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8F221D0-D5C1-6E40-AE19-E4532A4C651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T402" i="1"/>
  <c r="BF403" i="1"/>
  <c r="BT403" i="1"/>
  <c r="BF404" i="1"/>
  <c r="BT404"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T418" i="1"/>
  <c r="BF419" i="1"/>
  <c r="BT419" i="1"/>
  <c r="BF420" i="1"/>
  <c r="BT420" i="1"/>
  <c r="BF421" i="1"/>
  <c r="BT421" i="1"/>
  <c r="BF422" i="1"/>
  <c r="BT422" i="1"/>
  <c r="BT423" i="1"/>
  <c r="BF424" i="1"/>
  <c r="BT424" i="1"/>
  <c r="BF425" i="1"/>
  <c r="BT425" i="1"/>
  <c r="BF426" i="1"/>
  <c r="BT426" i="1"/>
  <c r="BF427" i="1"/>
  <c r="BT427" i="1"/>
  <c r="BF428" i="1"/>
  <c r="BT428" i="1"/>
  <c r="BF429" i="1"/>
  <c r="BT429" i="1"/>
  <c r="BF430" i="1"/>
  <c r="BT430" i="1"/>
  <c r="BF431" i="1"/>
  <c r="BT431" i="1"/>
  <c r="BF432" i="1"/>
  <c r="BT432"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<sst xmlns="http://schemas.openxmlformats.org/spreadsheetml/2006/main" count="59768" uniqueCount="19362">
  <si>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</si>
  <si>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</si>
  <si>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</si>
  <si>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</si>
  <si>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</si>
  <si>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</si>
  <si>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</si>
  <si>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</si>
  <si>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</si>
  <si>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</si>
  <si>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</si>
  <si>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</si>
  <si>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</si>
  <si>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</si>
  <si>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</si>
  <si>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</si>
  <si>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</si>
  <si>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</si>
  <si>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</si>
  <si>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</si>
  <si>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</si>
  <si>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</si>
  <si>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</si>
  <si>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</si>
  <si>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</si>
  <si>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</si>
  <si>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</si>
  <si>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</si>
  <si>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</si>
  <si>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</si>
  <si>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</si>
  <si>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</si>
  <si>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</si>
  <si>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</si>
  <si>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</si>
  <si>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</si>
  <si>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</si>
  <si>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</si>
  <si>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</si>
  <si>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</si>
  <si>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</si>
  <si>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</si>
  <si>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</si>
  <si>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</si>
  <si>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</si>
  <si>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</si>
  <si>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</si>
  <si>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</si>
  <si>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</si>
  <si>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</si>
  <si>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</si>
  <si>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</si>
  <si>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</si>
  <si>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</si>
  <si>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</si>
  <si>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</si>
  <si>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</si>
  <si>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</si>
  <si>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</si>
  <si>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</si>
  <si>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</si>
  <si>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</si>
  <si>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</si>
  <si>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</si>
  <si>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</si>
  <si>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</si>
  <si>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</si>
  <si>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</si>
  <si>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</si>
  <si>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</si>
  <si>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</si>
  <si>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</si>
  <si>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</si>
  <si>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Gui, K; Che, HZ; Zeng, ZL; Wang, YQ; Zhai, SX; Wang, ZM; Luo, M; Zhang, L; Liao, TT; Zhao, HJ; Li, L; Zheng, Y; Zhang, XY</t>
  </si>
  <si>
    <t/>
  </si>
  <si>
    <t>Gui, Ke; Che, Huizheng; Zeng, Zhaoliang; Wang, Yaqiang; Zhai, Shixian; Wang, Zemin; Luo, Ming; Zhang, Lei; Liao, Tingting; Zhao, Hujia; Li, Lei; Zheng, Yu; Zhang, Xiaoye</t>
  </si>
  <si>
    <t>Construction of a virtual PM2.5 observation network in China based on high-density surface meteorological observations using the Extreme Gradient Boosting model</t>
  </si>
  <si>
    <t>ENVIRONMENT INTERNATIONAL</t>
  </si>
  <si>
    <t>English</t>
  </si>
  <si>
    <t>Article</t>
  </si>
  <si>
    <t>Virtual PM2.5 observation network; Surface meteorological observations; Visibility; Extreme Gradient Boosting model</t>
  </si>
  <si>
    <t>AEROSOL OPTICAL-PROPERTIES; PARTICULATE AIR-POLLUTION; GROUND-LEVEL PM2.5; VERTICAL DISTRIBUTIONS; SATELLITE-OBSERVATIONS; SPATIOTEMPORAL TRENDS; EASTERN CHINA; VISIBILITY; HAZE; EMISSIONS</t>
  </si>
  <si>
    <t>With increasing public concerns on air pollution in China, there is a demand for long-term continuous PM2.5 datasets. However, it was not until the end of 2012 that China established a national PM2.5 observation network. Before that, satellite-retrieved aerosol optical depth (AOD) was frequently used as a primary predictor to estimate surface PM2.5. Nevertheless, satellite-retrieved AOD often encounter incomplete daily coverage due to its sampling frequency and interferences from cloud, which greatly affect the representation of these AOD-based PM2.5. Here, we constructed a virtual ground-based PM2.5 observation network at 1180 meteorological sites across China using the Extreme Gradient Boosting (XGBoost) model with high-density meteorological observations as major predictors. Cross-validation of the XGBoost model showed strong robustness and high accuracy in its estimation of the daily (monthly) PM2.5 across China in 2018, with R-2, root-mean-square error (RMSE) and mean absolute error values of 0.79 (0.92), 15.75 mu g/m(3) (6.75 mu g/m(3)) and 9.89 mu g/m(3) (4.53 mu g/m(3)), respectively. Meanwhile, we find that surface visibility plays the dominant role in terms of the relative importance of variables in the XGBoost model, accounting for 39.3% of the overall importance. We then use meteorological and PM2.5 data in the year 2017 to assess the predictive capability of the model. Results showed that the XGBoost model is capable to accurately hindcast historical PM2.5 at monthly (R-2 = 0.80, RMSE = 14.75 mu g/m(3)), seasonal (R-2 = 0.86, RMSE = 12.28 mu g/m(3)), and annual (R-2 = 0.81, RMSE = 10.10 mu g/m(3)) mean levels. In general, the newly constructed virtual PM2.5 observation network based on high-density surface meteorological observations using the Extreme Gradient Boosting model shows great potential in reconstructing historical PM2.5 at similar to 1000 meteorological sites across China. It will be of benefit to filling gaps in AOD-based PM2.5 data, as well as to other environmental studies including epidemiology.</t>
  </si>
  <si>
    <t>[Gui, Ke; Che, Huizheng; Wang, Yaqiang; Zhang, Lei; Zhao, Hujia; Li, Lei; Zheng, Yu; Zhang, Xiaoye] Chinese Acad Meteorol Sci, State Key Lab Severe Weather LASW, CMA, Beijing 100081, Peoples R China; [Gui, Ke; Che, Huizheng; Wang, Yaqiang; Zhang, Lei; Zhao, Hujia; Li, Lei; Zheng, Yu; Zhang, Xiaoye] Chinese Acad Meteorol Sci, Key Lab Atmospher Chem LAC, CMA, Beijing 100081, Peoples R China; [Gui, Ke] Univ Chinese Acad Sci, Beijing 100049, Peoples R China; [Zeng, Zhaoliang; Wang, Zemin] Wuhan Univ, Chinese Antarctic Ctr Surveying &amp; Mapping, Wuhan, Peoples R China; [Zhai, Shixian] Harvard Univ, John A Paulson Sch Engn &amp; Appl Sci, Cambridge, MA 02138 USA; [Luo, Ming] Sun Yat Sen Univ, Sch Geog &amp; Planning, Guangzhou, Peoples R China; [Luo, Ming] Sun Yat Sen Univ, Guangdong Key Lab Urbanizat &amp; Geosimulat, Guangzhou, Peoples R China; [Liao, Tingting] Chengdu Univ Informat Technol, Coll Atmosphere Sci, Plateau Atmospher &amp; Environm Key Lab Sichuan Prov, Chengdu 610225, Peoples R China</t>
  </si>
  <si>
    <t>China Meteorological Administration; Chinese Academy of Meteorological Sciences (CAMS); China Meteorological Administration; Chinese Academy of Meteorological Sciences (CAMS); Chinese Academy of Sciences; University of Chinese Academy of Sciences, CAS; Wuhan University; Harvard University; Sun Yat Sen University; Sun Yat Sen University; Chengdu University of Information Technology</t>
  </si>
  <si>
    <t>Che, HZ (corresponding author), Chinese Acad Meteorol Sci, State Key Lab Severe Weather LASW, CMA, Beijing 100081, Peoples R China.;Che, HZ (corresponding author), Chinese Acad Meteorol Sci, Key Lab Atmospher Chem LAC, CMA, Beijing 100081, Peoples R China.</t>
  </si>
  <si>
    <t>chehz@cma.gov.cn</t>
  </si>
  <si>
    <t>Zhai, Shixian/GYA-2560-2022; Zeng, Zhaoliang/AAV-8359-2021; Luo, Ming/AAE-8527-2021; Li, Lei/AAC-1382-2022; CHE, Huizheng/B-1354-2014; Luo, Ming/IUQ-1554-2023; Gui, Ke/F-6377-2016; Zheng, Yu/AGI-0869-2022; Hujia, Zhao/N-3905-2018; Wang, Yaqiang/ADG-8040-2022; zhang, jt/JVE-1333-2024; zhang, lei/AAE-2435-2022</t>
  </si>
  <si>
    <t>Zhai, Shixian/0000-0002-0073-7809; Luo, Ming/0000-0002-5474-3892; Li, Lei/0000-0003-4502-7533; CHE, Huizheng/0000-0002-9458-3387; Luo, Ming/0000-0002-5474-3892; Gui, Ke/0000-0002-8444-9547; Zheng, Yu/0000-0002-5991-8014; Hujia, Zhao/0000-0003-3719-5182; zhang, lei/0000-0001-6268-934X; Zeng, Zhaoliang/0000-0002-9108-8575</t>
  </si>
  <si>
    <t>National Science Fund for Distinguished Young Scholars [41825011]; National Key RAMP;D Program Pilot Projects of China [2016YFA0601901, 2016YFC0203304]; National Natural Science Foundation of China [41590874]</t>
  </si>
  <si>
    <t>National Science Fund for Distinguished Young Scholars(National Natural Science Foundation of China (NSFC)National Science Fund for Distinguished Young Scholars); National Key RAMP;D Program Pilot Projects of China; National Natural Science Foundation of China(National Natural Science Foundation of China (NSFC))</t>
  </si>
  <si>
    <t>This work was supported by the National Science Fund for Distinguished Young Scholars (41825011), the National Key R&amp;D Program Pilot Projects of China (2016YFA0601901 and 2016YFC0203304), and the National Natural Science Foundation of China (41590874). The datasets described in this paper have been deposited in the figshare database (https://doi.org/10.6084/m9.figshare.12096564.v1).</t>
  </si>
  <si>
    <t>PERGAMON-ELSEVIER SCIENCE LTD</t>
  </si>
  <si>
    <t>OXFORD</t>
  </si>
  <si>
    <t>THE BOULEVARD, LANGFORD LANE, KIDLINGTON, OXFORD OX5 1GB, ENGLAND</t>
  </si>
  <si>
    <t>0160-4120</t>
  </si>
  <si>
    <t>1873-6750</t>
  </si>
  <si>
    <t>ENVIRON INT</t>
  </si>
  <si>
    <t>Environ. Int.</t>
  </si>
  <si>
    <t>AUG</t>
  </si>
  <si>
    <t>10.1016/j.envint.2020.105801</t>
  </si>
  <si>
    <t>Environmental Sciences</t>
  </si>
  <si>
    <t>Science Citation Index Expanded (SCI-EXPANDED)</t>
  </si>
  <si>
    <t>Environmental Sciences &amp; Ecology</t>
  </si>
  <si>
    <t>ME8FI</t>
  </si>
  <si>
    <t>gold</t>
  </si>
  <si>
    <t>2024-04-21</t>
  </si>
  <si>
    <t>WOS:000544888300006</t>
  </si>
  <si>
    <t>Samrat, NH; King, MA; Watson, C; Hooper, A; Chen, XY; Barletta, VR; Bordoni, A</t>
  </si>
  <si>
    <t>Samrat, Nahidul Hoque; King, Matt A.; Watson, Christopher; Hooper, Andrew; Chen, Xianyao; Barletta, Valentina R.; Bordoni, Andrea</t>
  </si>
  <si>
    <t>Reduced ice mass loss and three-dimensional viscoelastic deformation in northern Antarctic Peninsula inferred from GPS</t>
  </si>
  <si>
    <t>GEOPHYSICAL JOURNAL INTERNATIONAL</t>
  </si>
  <si>
    <t>Satellite geodesy; Space geodetic surveys; Antarctica; Dynamics of lithosphere and mantle; Rheology: crust and lithosphere; Rheology: mantle</t>
  </si>
  <si>
    <t>EMPIRICAL MODE DECOMPOSITION; RAPID BEDROCK UPLIFT; SEA-LEVEL RISE; VARIABILITY; RETREAT; SHELF</t>
  </si>
  <si>
    <t>We consider the viscoelastic rheology of the solid Earth under the Antarctic Peninsula due to ice mass loss that commenced after the breakup of the Larsen-B ice shelf. We extend the previous analysis of nearby continuous GPS time-series to include five additional years and the additional consideration of the horizontal components of deformation. They show strong uplift from similar to 2002 to 2011 followed by reduced uplift rates to 2018. Modelling the GPS-derived uplift as a viscoelastic response to ongoing regional ice unloading from a new ice model confirms earlier estimates of low upper-mantle viscosities of similar to 0.3-3 x 10(18) Pa s in this region but allows a wide range of elastic lithosphere thickness. The observed and modelled north coordinate component shows little nonlinear variation due to the location of ice mass change to the east of the GPS sites. However, comparison of the observed and modelled east coordinate component constrains the upper-mantle viscosity to be less than similar to 9 x 10(18) Pa s, consistent with the viscosity range suggested by the uplift rates alone and providing important, largely independent, confirmation of that result. Our horizontal analysis showed only marginal sensitivity to modelled lithospheric thickness. The results for the horizontal components are sensitive to the adopted plate rotation model, with the estimate based on ITRF2014 suggesting that the sum of residual plate motion and pre-2002 glacial isostatic adjustment is likely less than similar to +/- 0.5 mm yr(-1) in the east component.</t>
  </si>
  <si>
    <t>[Samrat, Nahidul Hoque; King, Matt A.; Watson, Christopher] Univ Tasmania, Sch Technol Environm &amp; Design, Discipline Geog &amp; Spatial Sci, Hobart, Tas 7001, Australia; [Hooper, Andrew] Univ Leeds, Sch Earth &amp; Environm, COMET, Leeds LS2 9JT, W Yorkshire, England; [Chen, Xianyao] Ocean Univ China, Phys Oceanograplty Lab, CIMST, Qingdao 266100, Peoples R China; [Chen, Xianyao] Qingdao Natl Lab Marine Sci &amp; Technol, Qingdao 266100, Peoples R China; [Barletta, Valentina R.] Tech Univ Denmark, DTU Space, DK-2800 Lyngby, Denmark; [Bordoni, Andrea] Tech Univ Denmark, DTU Compute, DK-2800 Lyngby, Denmark</t>
  </si>
  <si>
    <t>University of Tasmania; University of Leeds; Ocean University of China; Laoshan Laboratory; Technical University of Denmark; Technical University of Denmark</t>
  </si>
  <si>
    <t>Samrat, NH (corresponding author), Univ Tasmania, Sch Technol Environm &amp; Design, Discipline Geog &amp; Spatial Sci, Hobart, Tas 7001, Australia.</t>
  </si>
  <si>
    <t>nahidul.samrat@utas.edu.au</t>
  </si>
  <si>
    <t>King, Matt/B-4622-2008; Barletta, Valentina R./E-9128-2012</t>
  </si>
  <si>
    <t>King, Matt/0000-0001-5611-9498; Barletta, Valentina Roberta/0000-0003-4427-0830</t>
  </si>
  <si>
    <t>Australian Government Research Training Program Scholarship; School of Technology, Environments and Design, University of Tasmania top-up scholarship; Australian Research Council [FT110100207]; Australian Research Council's Special Research Initiative for Antarctic Gateway Partnership [SR140300001]; Natural Environment Research Council [NE/L006065/1]; NERC [NE/L006065/1, NE/T009462/1, come30001] Funding Source: UKRI</t>
  </si>
  <si>
    <t>Australian Government Research Training Program Scholarship(Australian GovernmentDepartment of Industry, Innovation and Science); School of Technology, Environments and Design, University of Tasmania top-up scholarship; Australian Research Council(Australian Research Council); Australian Research Council's Special Research Initiative for Antarctic Gateway Partnership(Australian Research Council); Natural Environment Research Council(UK Research &amp; Innovation (UKRI)Natural Environment Research Council (NERC)); NERC(UK Research &amp; Innovation (UKRI)Natural Environment Research Council (NERC))</t>
  </si>
  <si>
    <t>NHS is a recipient of an Australian Government Research Training Program Scholarship and the School of Technology, Environments and Design, University of Tasmania top-up scholarship. GPS data used in this study were downloaded from public archives at UNAVCO and International GNSS Service. The ITRF2014 plate motion estimationwas from the UNAVCO public archives database. We thank NASA JPL formaking GIPSY available. MAK was supported by an Australian Research Council's Future Fellowship (project number FT110100207) and the Australian Research Council's Special Research Initiative for Antarctic Gateway Partnership (Project ID SR140300001). This work was also supported by the Natural Environment Research Council grant number NE/L006065/1. VE-CL0V3RS is a self-funded project by VRB and AB.</t>
  </si>
  <si>
    <t>OXFORD UNIV PRESS</t>
  </si>
  <si>
    <t>GREAT CLARENDON ST, OXFORD OX2 6DP, ENGLAND</t>
  </si>
  <si>
    <t>0956-540X</t>
  </si>
  <si>
    <t>1365-246X</t>
  </si>
  <si>
    <t>GEOPHYS J INT</t>
  </si>
  <si>
    <t>Geophys. J. Int.</t>
  </si>
  <si>
    <t>10.1093/gji/ggaa229</t>
  </si>
  <si>
    <t>Geochemistry &amp; Geophysics</t>
  </si>
  <si>
    <t>NJ2SD</t>
  </si>
  <si>
    <t>Green Submitted, Green Published</t>
  </si>
  <si>
    <t>WOS:000565896700021</t>
  </si>
  <si>
    <t>Kelley, M; Schmidt, GA; Nazarenko, LS; Bauer, SE; Ruedy, R; Russell, GL; Ackerman, AS; Aleinov, I; Bauer, M; Bleck, R; Canuto, V; Cesana, G; Cheng, Y; Clune, TL; Cook, B; Cruz, CA; Del Genio, AD; Elsaesser, GS; Faluvegi, G; Kiang, NY; Kim, D; Lacis, AA; Leboissetier, A; LeGrande, AN; Lo, KK; Marshall, J; Matthews, EE; McDermid, S; Mezuman, K; Miller, RL; Murray, LT; Oinas, V; Orbe, C; García-Pando, CP; Perlwitz, JP; Puma, MJ; Rind, D; Romanou, A; Shindell, DT; Sun, S; Tausnev, N; Tsigaridis, K; Tselioudis, G; Weng, ES; Wu, JB; Yao, MS</t>
  </si>
  <si>
    <t>Kelley, Maxwell; Schmidt, Gavin A.; Nazarenko, Larissa S.; Bauer, Susanne E.; Ruedy, Reto; Russell, Gary L.; Ackerman, Andrew S.; Aleinov, Igor; Bauer, Michael; Bleck, Rainer; Canuto, Vittorio; Cesana, Gregory; Cheng, Ye; Clune, Thomas L.; Cook, Ben, I; Cruz, Carlos A.; Del Genio, Anthony D.; Elsaesser, Gregory S.; Faluvegi, Greg; Kiang, Nancy Y.; Kim, Daehyun; Lacis, Andrew A.; Leboissetier, Anthony; LeGrande, Allegra N.; Lo, Ken K.; Marshall, John; Matthews, Elaine E.; McDermid, Sonali; Mezuman, Keren; Miller, Ron L.; Murray, Lee T.; Oinas, Valdar; Orbe, Clara; Perez Garcia-Pando, Carlos; Perlwitz, Jan P.; Puma, Michael J.; Rind, David; Romanou, Anastasia; Shindell, Drew T.; Sun, Shan; Tausnev, Nick; Tsigaridis, Kostas; Tselioudis, George; Weng, Ensheng; Wu, Jingbo; Yao, Mao-Sung</t>
  </si>
  <si>
    <t>GISS-E2.1: Configurations and Climatology</t>
  </si>
  <si>
    <t>JOURNAL OF ADVANCES IN MODELING EARTH SYSTEMS</t>
  </si>
  <si>
    <t>General Circulation Model; climate change; CMIP6; NASA GISS</t>
  </si>
  <si>
    <t>ANTARCTIC CIRCUMPOLAR CURRENT; MODIS-LAI PRODUCT; SATELLITE-OBSERVATIONS; ATMOSPHERIC CHEMISTRY; MULTISCALE ANALYSIS; BOUNDARY-LAYER; OCEAN MODEL; DATA RECORD; LEAF-AREA; IN-SITU</t>
  </si>
  <si>
    <t>This paper describes the GISS-E2.1 contribution to the Coupled Model Intercomparison Project, Phase 6 (CMIP6). This model version differs from the predecessor model (GISS-E2) chiefly due to parameterization improvements to the atmospheric and ocean model components, while keeping atmospheric resolution the same. Model skill when compared to modern era climatologies is significantly higher than in previous versions. Additionally, updates in forcings have a material impact on the results. In particular, there have been specific improvements in representations of modes of variability (such as the Madden-Julian Oscillation and other modes in the Pacific) and significant improvements in the simulation of the climate of the Southern Oceans, including sea ice. The effective climate sensitivity to 2 x CO(2)is slightly higher than previously at 2.7-3.1 degrees C (depending on version) and is a result of lower CO(2)radiative forcing and stronger positive feedbacks.</t>
  </si>
  <si>
    <t>[Kelley, Maxwell; Ruedy, Reto; Ackerman, Andrew S.; Leboissetier, Anthony; Lo, Ken K.; Oinas, Valdar; Tausnev, Nick; Yao, Mao-Sung] SciSpace LLC, New York, NY USA; [Kelley, Maxwell; Schmidt, Gavin A.; Nazarenko, Larissa S.; Bauer, Susanne E.; Ruedy, Reto; Russell, Gary L.; Aleinov, Igor; Bauer, Michael; Canuto, Vittorio; Cesana, Gregory; Cheng, Ye; Cook, Ben, I; Del Genio, Anthony D.; Elsaesser, Gregory S.; Faluvegi, Greg; Kiang, Nancy Y.; Lacis, Andrew A.; Leboissetier, Anthony; LeGrande, Allegra N.; Lo, Ken K.; Matthews, Elaine E.; Mezuman, Keren; Miller, Ron L.; Oinas, Valdar; Orbe, Clara; Perlwitz, Jan P.; Puma, Michael J.; Rind, David; Romanou, Anastasia; Tausnev, Nick; Tsigaridis, Kostas; Tselioudis, George; Weng, Ensheng; Wu, Jingbo; Yao, Mao-Sung] NASA, Goddard Inst Space Studies, New York, NY 10025 USA; [Nazarenko, Larissa S.; Aleinov, Igor; Bauer, Michael; Cesana, Gregory; Cheng, Ye; Faluvegi, Greg; Mezuman, Keren; Puma, Michael J.; Tsigaridis, Kostas; Weng, Ensheng] Columbia Univ, Earth Inst, Ctr Climate Syst Res, New York, NY USA; [Bleck, Rainer] Univ Colorado, CIRES, Boulder, CO 80309 USA; [Bleck, Rainer; Sun, Shan] NOAA, ESRL, Global Syst Lab, Boulder, CO USA; [Clune, Thomas L.; Cruz, Carlos A.] Goddard Space Flight Ctr, Greenbelt, MD USA; [Cruz, Carlos A.] SSAI, Greenbelt, MD USA; [Elsaesser, Gregory S.; Wu, Jingbo] Columbia Univ, Dept Appl Phys &amp; Appl Math, New York, NY USA; [Kim, Daehyun] Univ Washington, Dept Atmospher Sci, Seattle, WA 98195 USA; [Marshall, John] MIT, Dept Earth Atmospher &amp; Planetary Sci, Cambridge, MA USA; [McDermid, Sonali] NYU, Dept Environm Studies, New York, NY USA; [Murray, Lee T.] Univ Rochester, Dept Earth &amp; Environm Sci, Rochester, NY USA; [Perez Garcia-Pando, Carlos] Barcelona Supercomp Ctr, Barcelona, Spain; [Perez Garcia-Pando, Carlos] Catalan Inst Res &amp; Adv Studies, ICREA, Barcelona, Spain; [Perlwitz, Jan P.] Climate Aerosol &amp; Pollut Res LLC, Bronx, NY USA; [Shindell, Drew T.] Duke Univ, Nicholas Sch Environm, Durham, NC 27708 USA</t>
  </si>
  <si>
    <t>National Aeronautics &amp; Space Administration (NASA); NASA Goddard Space Flight Center; Goddard Institute for Space Studies; Columbia University; University of Colorado System; University of Colorado Boulder; National Oceanic Atmospheric Admin (NOAA) - USA; National Aeronautics &amp; Space Administration (NASA); NASA Goddard Space Flight Center; Columbia University; University of Washington; University of Washington Seattle; Massachusetts Institute of Technology (MIT); New York University; University of Rochester; Universitat Politecnica de Catalunya; Barcelona Supercomputer Center (BSC-CNS); ICREA; Duke University</t>
  </si>
  <si>
    <t>Schmidt, GA (corresponding author), NASA, Goddard Inst Space Studies, New York, NY 10025 USA.</t>
  </si>
  <si>
    <t>gavin.a.schmidt@nasa.gov</t>
  </si>
  <si>
    <t>Del Genio, Anthony D/D-4663-2012; Keyes, Dennis/AAZ-9285-2021; Shindell, Drew/D-4636-2012; Bleck, Rainer/AAQ-2905-2021; Lacis, Andrew A/D-4658-2012; Wu, Jing/GZK-5063-2022; Schmidt, Gavin/D-4427-2012; Murray, Lee Thomas/AAE-2840-2020; Miller, Ron L/E-1902-2012; Tsigaridis, Kostas/K-8292-2012; Ackerman, Andrew/D-4433-2012; Weng, Ensheng/E-4390-2012; Lacis, Andrew/GVT-2947-2022; Perez Garcia-Pando, Carlos/HHN-6201-2022; LeGrande, Allegra N./D-8920-2012</t>
  </si>
  <si>
    <t>Shindell, Drew/0000-0003-1552-4715; Bleck, Rainer/0000-0001-7387-4620; Schmidt, Gavin/0000-0002-2258-0486; Murray, Lee Thomas/0000-0002-3447-3952; Perez Garcia-Pando, Carlos/0000-0002-4456-0697; LeGrande, Allegra N./0000-0002-5295-0062; Russell, Gary/0000-0001-7174-5825; Ruedy, Reto/0000-0002-1270-1088; Cesana, Gregory/0000-0002-8899-0509; Leboissetier, Anthony/0000-0001-9685-7815; Mezuman, Keren/0000-0003-2497-7425; McDermid, Sonali/0000-0002-4244-772X</t>
  </si>
  <si>
    <t>NASA Modeling, Analysis and Prediction program; NASA High-End Computing (HEC) Program through the NASA Center for Climate Simulation (NCCS) at Goddard Space Flight Center</t>
  </si>
  <si>
    <t>NASA Modeling, Analysis and Prediction program(National Aeronautics &amp; Space Administration (NASA)); NASA High-End Computing (HEC) Program through the NASA Center for Climate Simulation (NCCS) at Goddard Space Flight Center</t>
  </si>
  <si>
    <t>Climate modeling at GISS is supported by the NASA Modeling, Analysis and Prediction program, and resources supporting this work were provided by the NASA High-End Computing (HEC) Program through the NASA Center for Climate Simulation (NCCS) at Goddard Space Flight Center. We thank Angel Adames and John Fasullo for providing figures and data from their multimodel comparisons. We also thank the two anonymous reviewers who helped improve the clarity and usefulness of the manuscript.</t>
  </si>
  <si>
    <t>AMER GEOPHYSICAL UNION</t>
  </si>
  <si>
    <t>WASHINGTON</t>
  </si>
  <si>
    <t>2000 FLORIDA AVE NW, WASHINGTON, DC 20009 USA</t>
  </si>
  <si>
    <t>1942-2466</t>
  </si>
  <si>
    <t>J ADV MODEL EARTH SY</t>
  </si>
  <si>
    <t>J. Adv. Model. Earth Syst.</t>
  </si>
  <si>
    <t>e2019MS002025</t>
  </si>
  <si>
    <t>10.1029/2019MS002025</t>
  </si>
  <si>
    <t>Meteorology &amp; Atmospheric Sciences</t>
  </si>
  <si>
    <t>NJ7FN</t>
  </si>
  <si>
    <t>gold, Green Published</t>
  </si>
  <si>
    <t>Y</t>
  </si>
  <si>
    <t>N</t>
  </si>
  <si>
    <t>WOS:000566209200032</t>
  </si>
  <si>
    <t>Uchida, H; Kawano, T; Nakano, T; Wakita, M; Tanaka, T; Tanihara, S</t>
  </si>
  <si>
    <t>Uchida, Hiroshi; Kawano, Takeshi; Nakano, Toshiya; Wakita, Masahide; Tanaka, Tatsuya; Tanihara, Sonoka</t>
  </si>
  <si>
    <t>An Expanded Batch-to-Batch Correction for IAPSO Standard Seawater</t>
  </si>
  <si>
    <t>JOURNAL OF ATMOSPHERIC AND OCEANIC TECHNOLOGY</t>
  </si>
  <si>
    <t>STABILITY; SALINITY</t>
  </si>
  <si>
    <t>We expanded the batch-to-batch offsets of The International Association for the Physical Sciences of the Oceans (IAPSO) Standard Seawater (SSW) batches P145-P163 by intercomparison measurements using salinometers. On the basis of our results, we recommend using the correction factors instead of the offsets to correct the batch-to-batch differences, especially for salinity data outside the range of 30-40 g kg(-1). We evaluated the expanded batch-to-batch correction factors by applying them to time series salinity data collected in the northwestern North Pacific Ocean and found that they are effective for detecting recent freshening (-0.6 +/- 0.1 X 10(-3) g kg(-1 )decade(-1)) in the deep North Pacific, which might be related to a reduction of the formation rate of Antarctic Bottom Water. We also evaluated the SSW linearity pack by applying the batchto-batch correction factors. Linearity errors of the salinometers estimated from decade resistance substituters were consistent with the results of the linearity pack measurements. To correct the linearity errors of a salinometer, it might be suitable to use the more detailed distribution of those estimated from the decade resistance substituter than the linearity pack measurements. Since the cause of large batch-to-batch differences is still unclear, a reference seawater that is more robust and stable than SSW might be necessary to establish a high-level of international comparability of salinity measurements; the Multiparametric Standard Seawater (MSSW) currently under development might be a candidate for such reference seawater, because MSSW is expected to be more stable than SSW not only in practical salinity but also in absolute salinity.</t>
  </si>
  <si>
    <t>[Uchida, Hiroshi; Kawano, Takeshi] Japan Agcy Marine Earth Sci &amp; Technol, Res Inst Global Change, Yokosuka, Kanagawa, Japan; [Nakano, Toshiya] Japan Meteorol Agcy, Nagasaki Meteorol Off, Nagasaki, Japan; [Wakita, Masahide] Japan Agcy Marine Earth Sci &amp; Technol, Res Inst Global Change, Mutsu Inst Oceanog, Mutsu, Aomori, Japan; [Tanaka, Tatsuya; Tanihara, Sonoka] Marine Works Japan Ltd, Yokosuka, Kanagawa, Japan</t>
  </si>
  <si>
    <t>Japan Agency for Marine-Earth Science &amp; Technology (JAMSTEC); Japan Meteorological Agency; Japan Agency for Marine-Earth Science &amp; Technology (JAMSTEC)</t>
  </si>
  <si>
    <t>Uchida, H (corresponding author), Japan Agcy Marine Earth Sci &amp; Technol, Res Inst Global Change, Yokosuka, Kanagawa, Japan.</t>
  </si>
  <si>
    <t>huchida@jamstec.go.jp</t>
  </si>
  <si>
    <t>Japan Society for the Promotion of Science KAKENHI [26610154, 18K03752]; Grants-in-Aid for Scientific Research [18K03752, 26610154, 20H04349] Funding Source: KAKEN</t>
  </si>
  <si>
    <t>Japan Society for the Promotion of Science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</si>
  <si>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Part of this work was supported by the Japan Society for the Promotion of Science KAKENHI Grants 26610154 and 18K03752. We thank the marine technicians of Marine Works Japan, Ltd., who analyzed salinity for some of the standard seawaters. We also thank Richard Williams of Ocean Scientific International, Ltd., for providing calibration information for the SSWlinearity pack. TheMultiparametric Standard Seawater was developed through cooperative research by KANSO Co., Ltd. (Hitoshi Mitsuda) and JAMSTEC (author Uchida), and its salinity was evaluated through cooperative research by Marine Works Japan, Ltd. (author Tanaka), and JAMSTEC (Uchida). This work contributes to the tasks of the Joint SCOR/IAPSO/IAPWS Committee on the Properties of Seawater (JCS).</t>
  </si>
  <si>
    <t>AMER METEOROLOGICAL SOC</t>
  </si>
  <si>
    <t>BOSTON</t>
  </si>
  <si>
    <t>45 BEACON ST, BOSTON, MA 02108-3693 USA</t>
  </si>
  <si>
    <t>0739-0572</t>
  </si>
  <si>
    <t>1520-0426</t>
  </si>
  <si>
    <t>J ATMOS OCEAN TECH</t>
  </si>
  <si>
    <t>J. Atmos. Ocean. Technol.</t>
  </si>
  <si>
    <t>10.1175/JTECH-D-19-0184.1</t>
  </si>
  <si>
    <t>Engineering, Ocean; Meteorology &amp; Atmospheric Sciences</t>
  </si>
  <si>
    <t>Engineering; Meteorology &amp; Atmospheric Sciences</t>
  </si>
  <si>
    <t>OS2BM</t>
  </si>
  <si>
    <t>hybrid</t>
  </si>
  <si>
    <t>WOS:000589970300013</t>
  </si>
  <si>
    <t>Yamazaki, K; Aoki, S; Shimada, K; Kobayashi, T; Kitade, Y</t>
  </si>
  <si>
    <t>Yamazaki, Kaihe; Aoki, Shigeru; Shimada, Keishi; Kobayashi, Taiyo; Kitade, Yujiro</t>
  </si>
  <si>
    <t>Structure of the Subpolar Gyre in the Australian-Antarctic Basin Derived From Argo Floats</t>
  </si>
  <si>
    <t>JOURNAL OF GEOPHYSICAL RESEARCH-OCEANS</t>
  </si>
  <si>
    <t>Southern Ocean; circumpolar deep water; subpolar gyre; Antarctic Circumpolar Current; Argo float; under-ice float</t>
  </si>
  <si>
    <t>SEA-ICE PRODUCTION; BOTTOM WATER; CONTINENTAL-SLOPE; INDIAN-OCEAN; WEDDELL GYRE; LEVEL RISE; PRYDZ BAY; CIRCULATION; VARIABILITY; MASSES</t>
  </si>
  <si>
    <t>The climatological structure of the subpolar cyclonic circulation off East Antarctica is delineated with Argo float data from the past decade. Up to 40% of the float profiles in the seasonal ice zone have been without satellite positioning. We refined their position data as following the bathymetry to get appropriate positions in the continental margin. The error of the terrain-following interpolation was estimated by using positioned data to be 23 +/- 27 (78 +/- 70) km for 90 (390) day period. Profiles with the under-ice period shorter than 360 days are adopted. The float trajectories reveal the extent of the subpolar gyre adjoined to the westward Antarctic Slope Current to its south and the southernmost eastward jet of the Antarctic Circumpolar Current along 4,000 m isobath to its north. The subpolar circulation in the Australian-Antarctic Basin comprises of a series of quasi-barotropic subgyre circulations, which are bounded by bathymetric spurs in the continental slope. The temperature field reveals shoreward excursions of Circumpolar Deep Water associated with the subgyres, effectively supplying heat to the continental shelves. An along-slope temperature variation up to 1 degrees C in 27.7-27.8 kg/m(3) sigma(theta) indicates an active cross-slope exchange within the layer. Provided the velocity field and the water mass structure, the subsurface water mass exchange is likely accomplished by a combination of topographically controlled mean flow and the eddy transports. Our findings suggest that the bathymetry primarily determines the structure of the subpolar gyre. Plain Language Summary Subpolar gyres in the Southern Ocean are clockwise circulations that separate cold shelf water from warm offshore water. These circulations are essential for the Antarctic climate since they control heat supply onto the continental shelves. In this study, the physical structure of the subpolar gyre off East Antarctica was investigated using autonomous profiling float data with a new methodology. We found that the subpolar gyre in the Australian-Antarctic Basin is composed of a series of smaller circulations, which are called subgyres. Subgyres are associated with the bathymetry and likely regulate the water exchange across the continental slope. We refined the traditional picture of the basin-scale subpolar gyre, and the circulation structure was described in the context of water transport from offshore to inshore.</t>
  </si>
  <si>
    <t>[Yamazaki, Kaihe] Hokkaido Univ, Grad Sch Environm Sci, Sapporo, Hokkaido, Japan; [Yamazaki, Kaihe; Aoki, Shigeru] Hokkaido Univ, Inst Low Temp Sci, Sapporo, Hokkaido, Japan; [Shimada, Keishi; Kitade, Yujiro] Tokyo Univ Marine Sci &amp; Technol, Tokyo, Japan; [Kobayashi, Taiyo] Japan Agcy Marine Earth Sci &amp; Technol, Yokosuka, Kanagawa, Japan</t>
  </si>
  <si>
    <t>Hokkaido University; Hokkaido University; Tokyo University of Marine Science &amp; Technology; Japan Agency for Marine-Earth Science &amp; Technology (JAMSTEC)</t>
  </si>
  <si>
    <t>Yamazaki, K (corresponding author), Hokkaido Univ, Grad Sch Environm Sci, Sapporo, Hokkaido, Japan.;Yamazaki, K (corresponding author), Hokkaido Univ, Inst Low Temp Sci, Sapporo, Hokkaido, Japan.</t>
  </si>
  <si>
    <t>kaiheyamazaki@gmail.com</t>
  </si>
  <si>
    <t>KITADE, Yujiro/O-1912-2014; Yamazaki, Kaihe/HRC-7878-2023</t>
  </si>
  <si>
    <t>KITADE, Yujiro/0000-0002-9312-6870; Yamazaki, Kaihe/0000-0003-3631-5365; Kobayashi, Taiyo/0000-0001-6456-6167</t>
  </si>
  <si>
    <t>MEXT of the Japanese Government [17H01615]; Grants-in-Aid for Scientific Research [17H01615, 20K20634] Funding Source: KAKEN</t>
  </si>
  <si>
    <t>MEXT of the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</si>
  <si>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We thank Hirano, Vigan, Ohshima, Mitsudera, and Nakayama for their countless comments on the analysis and paper writing. Suga incentivized this study. Katsumata and Williams also provided valuable feedbacks. We are grateful to anonymous reviewers for profoundly improving the manuscript. This work was supported by Grant-in-Aid for Scientific Research (17H01615) of the MEXT of the Japanese Government.</t>
  </si>
  <si>
    <t>2169-9275</t>
  </si>
  <si>
    <t>2169-9291</t>
  </si>
  <si>
    <t>J GEOPHYS RES-OCEANS</t>
  </si>
  <si>
    <t>J. Geophys. Res.-Oceans</t>
  </si>
  <si>
    <t>e2019JC015406</t>
  </si>
  <si>
    <t>10.1029/2019JC015406</t>
  </si>
  <si>
    <t>Oceanography</t>
  </si>
  <si>
    <t>NZ5GC</t>
  </si>
  <si>
    <t>WOS:000577126400032</t>
  </si>
  <si>
    <t>Denis-Roy, L; Ling, SD; Fraser, KM; Edgar, GJ</t>
  </si>
  <si>
    <t>Denis-Roy, Lara; Ling, Scott D.; Fraser, Kate M.; Edgar, Graham J.</t>
  </si>
  <si>
    <t>Relationships between invertebrate benthos, environmental drivers and pollutants at a subcontinental scale</t>
  </si>
  <si>
    <t>MARINE POLLUTION BULLETIN</t>
  </si>
  <si>
    <t>Macroalgal epifauna; Infauna; Environmental impact assessment; Meiofauna; Macrofauna; Heavy metal pollution</t>
  </si>
  <si>
    <t>TAXONOMIC SUFFICIENCY; SPECIES DISTRIBUTIONS; REEF BIODIVERSITY; HEAVY-METALS; COASTAL; POLLUTION; CONTAMINATION; SEDIMENTS; ACCUMULATION; COMMUNITIES</t>
  </si>
  <si>
    <t>Marine ecosystems are structured by an array of natural and anthropogenic drivers, their diverse influences varying between different community types and across space. We assessed consistency in variation in composition and richness for three communities (macro- and meio-faunal communities associated with macroalgae, and soft-sediment infaunal communities) across natural and pollution gradients at the subcontinental scale of southeastern Australia. Community structure varied with natural environmental factors (temperature, wave exposure) and, to a lesser extent, pollutant loads (catchment effects, heavy metals, hydrocarbons and nutrients) across 43 sites spanning 2700 km. The community types showed differing sensitivities to pollutants: algal macrofauna was most strongly associated with hydrocarbon pollution and nutrient loading; algal meiofauna with heavy metals and nutrients; and infauna with catchment effects and nutrients. Different taxonomic resolutions were needed to detect significant pollution relationships for the three community types, indicating that monitoring programmes are most effective if pollutant- and fauna-specific.</t>
  </si>
  <si>
    <t>[Denis-Roy, Lara; Ling, Scott D.; Fraser, Kate M.; Edgar, Graham J.] Univ Tasmania, Inst Marine &amp; Antarctic Studies, 15-21 Nubeena Cres, Taroona, Tas 7053, Australia; [Denis-Roy, Lara] Univ Basque Country, Plentzia Marine Stn PiE, Areatza Pasealekua 48620, Plentzia, Spain</t>
  </si>
  <si>
    <t>University of Tasmania; University of Basque Country</t>
  </si>
  <si>
    <t>Denis-Roy, L (corresponding author), Univ Tasmania, Inst Marine &amp; Antarctic Studies, 15-21 Nubeena Cres, Taroona, Tas 7053, Australia.</t>
  </si>
  <si>
    <t>lara.denisroy@gmail.com</t>
  </si>
  <si>
    <t>Edgar, Graham/AAY-3797-2020</t>
  </si>
  <si>
    <t>Edgar, Graham/0000-0003-0833-9001; Denis-Roy, Lara/0000-0003-4965-7591; Fraser, Kate/0000-0002-3057-5257</t>
  </si>
  <si>
    <t>Marine Biodiversity Hub (Australian Government's National Environmental Science Programme); Australian Research Council; Department of Environment and Natural Resources (South Australia); Department of Primary Industries, Parks, Water and Environment (Tasmania); Department of Primary Industries, New South Wales; Parks Victoria</t>
  </si>
  <si>
    <t>Marine Biodiversity Hub (Australian Government's National Environmental Science Programme); Australian Research Council(Australian Research Council); Department of Environment and Natural Resources (South Australia); Department of Primary Industries, Parks, Water and Environment (Tasmania); Department of Primary Industries, New South Wales; Parks Victoria</t>
  </si>
  <si>
    <t>We are grateful for support provided by the Marine Biodiversity Hub (a collaborative partnership established through the Australian Government's National Environmental Science Programme), by the Australian Research Council, and by State management authorities: Department of Environment and Natural Resources (South Australia), Department of Primary Industries, Parks, Water and Environment (Tasmania), Department of Primary Industries, New South Wales, and Parks Victoria. We would also like to thank: Adam Davey and Simon Reeves, who helped with the sampling of infauna; Emma Johnston, Beth Strain and Jeff Ross for their advice regarding pollution sampling methods; Ana Bugnot, Amanda Scholes, and Paul Hallam for their assistance with the sampling equipment for surveys of pollutant markers; and Warwick Noble and Matthew Nelson for field assistance in South Australia.</t>
  </si>
  <si>
    <t>0025-326X</t>
  </si>
  <si>
    <t>1879-3363</t>
  </si>
  <si>
    <t>MAR POLLUT BULL</t>
  </si>
  <si>
    <t>Mar. Pollut. Bull.</t>
  </si>
  <si>
    <t>10.1016/j.marpolbul.2020.111316</t>
  </si>
  <si>
    <t>Environmental Sciences; Marine &amp; Freshwater Biology</t>
  </si>
  <si>
    <t>Environmental Sciences &amp; Ecology; Marine &amp; Freshwater Biology</t>
  </si>
  <si>
    <t>MK1FD</t>
  </si>
  <si>
    <t>WOS:000548531100059</t>
  </si>
  <si>
    <t>Andraka, JM; Sharma, N; Marchalant, Y</t>
  </si>
  <si>
    <t>Andraka, John M.; Sharma, Naveen; Marchalant, Yannick</t>
  </si>
  <si>
    <t>Can krill oil be of use for counteracting neuroinflammatory processes induced by high fat diet and aging?</t>
  </si>
  <si>
    <t>NEUROSCIENCE RESEARCH</t>
  </si>
  <si>
    <t>Review</t>
  </si>
  <si>
    <t>Neuroinflammation; Aging; Krill oil; Omega-3 polyunsaturated fatty acids; Obesity; High fat diet</t>
  </si>
  <si>
    <t>BODY-MASS INDEX; ALZHEIMERS-DISEASE; ACID SUPPLEMENTATION; OXIDATIVE STRESS; CHOLINE SUPPLEMENTATION; COGNITIVE PERFORMANCE; CYTOKINE PRODUCTION; MEMORY IMPAIRMENT; BRAIN-INJURY; FISH-OIL</t>
  </si>
  <si>
    <t>Most neurodegenerative diseases, such as Alzheimer's and Parkinson's disease, demonstrate preceding or on-going inflammatory processes. Therefore, discovering effective means of counteracting detrimental inflammatory mediators in the brain could help alter aging-related disease onset and progression. Fish oil and marine-derived omega-3, long-chain polyunsaturated fatty acids (LC n-3) have shown promising anti-inflammatory effects both systemically and centrally. More specifically, krill oil (KO), extracted from small Antarctic crustaceans, is an alternative type of LC n-3 with reported health benefits including improvement of spatial memory and learning, memory loss, systemic inflammation and depression symptoms. Similar to the more widely studied fish oil, KO contains the long chain fatty acids eicosapentaenoic acid (EPA) and docosahexaenoic acid (DHA) which are essential for basic brain functions. Moreover, the phospholipid bound nature of fatty acids found in KO improves bioavailability and efficiency of absorption, thus supporting the belief that KO may offer a superior method of dietary n-3 delivery. Finally, KO contains astaxanthin, an antioxidant capable of reducing potentially excessive oxidative stress and inflammation within the brain. This review will discuss the potential benefits of KO over other marine-based LC n-3 on brain inflammation and cognitive function in the context of high fat diets and aging. (C) 2019 Elsevier B.V. and Japan Neuroscience Society. All rights reserved.</t>
  </si>
  <si>
    <t>[Andraka, John M.] Cent Michigan Univ, Dept Phys Therapy, Mt Pleasant, MI 48859 USA; [Andraka, John M.; Sharma, Naveen; Marchalant, Yannick] Cent Michigan Univ, Neurosci Program, Mt Pleasant, MI 48859 USA; [Sharma, Naveen] Cent Michigan Univ, Sch Hlth Sci, Mt Pleasant, MI 48859 USA; [Marchalant, Yannick] Cent Michigan Univ, Dept Psychol, Mt Pleasant, MI 48859 USA; [Marchalant, Yannick] Cent Michigan Univ, Hlth Profess Bldg,East Preston Rd, Mt Pleasant, MI 48859 USA</t>
  </si>
  <si>
    <t>Central Michigan University; Central Michigan University; Central Michigan University; Central Michigan University; Central Michigan University</t>
  </si>
  <si>
    <t>Marchalant, Y (corresponding author), Cent Michigan Univ, Neurosci Program, Mt Pleasant, MI 48859 USA.;Marchalant, Y (corresponding author), Cent Michigan Univ, Dept Psychol, Mt Pleasant, MI 48859 USA.;Marchalant, Y (corresponding author), Cent Michigan Univ, Hlth Profess Bldg,East Preston Rd, Mt Pleasant, MI 48859 USA.</t>
  </si>
  <si>
    <t>march1y@cmich.edu</t>
  </si>
  <si>
    <t>Andraka, John/JDV-7083-2023</t>
  </si>
  <si>
    <t>Central Michigan University</t>
  </si>
  <si>
    <t>The present work was funded by Central Michigan University.</t>
  </si>
  <si>
    <t>ELSEVIER IRELAND LTD</t>
  </si>
  <si>
    <t>CLARE</t>
  </si>
  <si>
    <t>ELSEVIER HOUSE, BROOKVALE PLAZA, EAST PARK SHANNON, CO, CLARE, 00000, IRELAND</t>
  </si>
  <si>
    <t>0168-0102</t>
  </si>
  <si>
    <t>1872-8111</t>
  </si>
  <si>
    <t>NEUROSCI RES</t>
  </si>
  <si>
    <t>Neurosci. Res.</t>
  </si>
  <si>
    <t>10.1016/j.neures.2019.08.001</t>
  </si>
  <si>
    <t>Neurosciences</t>
  </si>
  <si>
    <t>Neurosciences &amp; Neurology</t>
  </si>
  <si>
    <t>NH3IL</t>
  </si>
  <si>
    <t>WOS:000564567300001</t>
  </si>
  <si>
    <t>Prader, S; Kotthoff, U; Greenwood, DR; McCarthy, FMG; Schmiedl, G; Donders, TH</t>
  </si>
  <si>
    <t>Prader, Sabine; Kotthoff, Ulrich; Greenwood, David R.; McCarthy, Francine M. G.; Schmiedl, Gerhard; Donders, Timme H.</t>
  </si>
  <si>
    <t>New Jersey's paleoflora and eastern North American climate through Paleogene-Neogene warm phases</t>
  </si>
  <si>
    <t>REVIEW OF PALAEOBOTANY AND PALYNOLOGY</t>
  </si>
  <si>
    <t>Palynology; Paleoclimate; Miocene; Oligocene; Fagaceae; Paleovegetation</t>
  </si>
  <si>
    <t>ANTARCTIC ICE-SHEET; IODP EXPEDITION 313; BRANDON LIGNITE; EARLY OLIGOCENE; PALYNOLOGICAL EVIDENCE; HOLOCENE VEGETATION; MIOCENE SEQUENCES; BRITISH-COLUMBIA; POLLEN TRANSPORT; EOCENE-MIOCENE</t>
  </si>
  <si>
    <t>Pollen of middle Oligocene to early Miocene age from core sediments from the New Jersey Shallow Shelf (Atlantic Coastal Plain: IODP-Expedition 313, Site M0027A), was analyzed using light- and scanning electron microscopy, and a pollen-based bioclimatic analysis was performed. The microflora is dominated by Quercus pollen. Pollen ornamentations indicate that Quercus pollen most likely originated from species of sections Quercus, Lobatae, Quercus/Lobatae and aff. section Protobalanus. Eotrigonobalanus, an extinct Fagaceae lineage, was present in the coastal plain. Relative abundances of several tree taxa (e.g., Carya) did not change significantly between the Oligocene warm phases, but contrast to late middle Miocene (comprising most of the Langhian and Serravallian) records from the same area. By assigning terrestrial palynomorphs to paleovegetation units, topographic movements of these units were identified. The mesophytic forest was the most widespread and zonal vegetation type in the hinterland through the analyzed interval. Periodic changes in the relative abundances of paleovegetation units suggest altitudinal vegetation movements responding to global climate change. Observed movement signals are generally weak, but increases in bisaccate pollen, representing spread of high- and mid-latitude forest, probably reflect the onset of cold intervals such as cooling phases at similar to 29.1, similar to 28.5, and 23.5 Ma. Spread of edaphically controlled forest formations during regression phases also indicates climate change. The onset of the Mi-1 event at similar to 23.03 Ma is probably reflected by a decrease in pollen-inferred paleotemperatures, although the event itself occurred during a sedimentation hiatus. Pollen-based paleoclimate reconstructions indicate long-term stability in temperature and precipitation within the humid warm temperate zone. (C) 2020 Elsevier B.V. All rights reserved.</t>
  </si>
  <si>
    <t>[Prader, Sabine; Kotthoff, Ulrich] Hamburg Univ, Ctr Nat Hist, Bundesstr 55, D-20146 Hamburg, Germany; [Prader, Sabine; Kotthoff, Ulrich; Schmiedl, Gerhard] Univ Hamburg, Inst Geol, Bundesstr 55, D-20146 Hamburg, Germany; [Greenwood, David R.] Brandon Univ, Dept Biol, 270 18th St, Brandon, MB R7A 6A9, Canada; [McCarthy, Francine M. G.] Brock Univ, Dept Earth Sci, 1812 Sir Isaac Brock Way, St Catharines, ON L2S 3A1, Canada; [Schmiedl, Gerhard] Hamburg Univ, Ctr Earth Syst Res &amp; Sustainabil, Bundesstr 55, D-20146 Hamburg, Germany; [Donders, Timme H.] Dept Phys Geog, Palaeoecol, Heidelberglaan 2, NL-3584 CS Utrecht, Netherlands</t>
  </si>
  <si>
    <t>University of Hamburg; University of Hamburg; Brandon University; Brock University; University of Hamburg</t>
  </si>
  <si>
    <t>Kotthoff, U (corresponding author), Hamburg Univ, Ctr Nat Hist, Bundesstr 55, D-20146 Hamburg, Germany.</t>
  </si>
  <si>
    <t>ulrich.kotthoff@uni-hamburg.de</t>
  </si>
  <si>
    <t>Donders, Timme H/J-5044-2012; Greenwood, David R./C-2758-2008; Prader, Sabine/ISV-2175-2023; Schmiedl, Gerhard/E-6644-2017</t>
  </si>
  <si>
    <t>Greenwood, David R./0000-0002-8569-9695; Prader, Sabine/0000-0003-0013-6154; Donders, Timme/0000-0003-4698-3463; Schmiedl, Gerhard/0000-0002-2177-6858</t>
  </si>
  <si>
    <t>German Research Foundation [DFG] [Ko 3944/5]; Natural Sciences and Engineering Research Council of Canada [2016-04337]</t>
  </si>
  <si>
    <t>German Research Foundation [DFG](German Research Foundation (DFG)); Natural Sciences and Engineering Research Council of Canada(Natural Sciences and Engineering Research Council of Canada (NSERC)CGIAR)</t>
  </si>
  <si>
    <t>We thank the entire Integrated Ocean Drilling Program (IODP) Expedition 313 Scientific Party and the staff of the IODP Core Repository Bremen. We acknowledge A. Krueger, Palynology Lab at Brock University; E. Czymoch and K. A. Harps, University of Hamburg, for sample processing and Y. Milker, M. Theodor and R. Walter, for support at the SEM, J. Reolid and K. Miller for animating discussion, T. Denk for his highly useful comments on an earlier draft of this manuscript, and M. Finotti for technical support. The researchwas supported by the German Research Foundation [DFG; Project Ko 3944/5]. DRG's participation was further supported by a grant from the Natural Sciences and Engineering Research Council of Canada [2016-04337].</t>
  </si>
  <si>
    <t>ELSEVIER</t>
  </si>
  <si>
    <t>AMSTERDAM</t>
  </si>
  <si>
    <t>RADARWEG 29, 1043 NX AMSTERDAM, NETHERLANDS</t>
  </si>
  <si>
    <t>0034-6667</t>
  </si>
  <si>
    <t>1879-0615</t>
  </si>
  <si>
    <t>REV PALAEOBOT PALYNO</t>
  </si>
  <si>
    <t>Rev. Palaeobot. Palynology</t>
  </si>
  <si>
    <t>10.1016/j.revpalbo.2020.104224</t>
  </si>
  <si>
    <t>Plant Sciences; Paleontology</t>
  </si>
  <si>
    <t>LV0NX</t>
  </si>
  <si>
    <t>Green Published</t>
  </si>
  <si>
    <t>WOS:000538142100005</t>
  </si>
  <si>
    <t>Ausems, ANMA; Skrzypek, G; Wojczulanis-Jakubas, K; Jakubas, D</t>
  </si>
  <si>
    <t>Ausems, Anne N. M. A.; Skrzypek, Grzegorz; Wojczulanis-Jakubas, Katarzyna; Jakubas, Dariusz</t>
  </si>
  <si>
    <t>Sharing menus and kids' specials: Inter- and intraspeci fic differences in stable isotope niches between sympatrically breeding storm -petrels</t>
  </si>
  <si>
    <t>SCIENCE OF THE TOTAL ENVIRONMENT</t>
  </si>
  <si>
    <t>Satable isotopes; Niche partitioning; Chick growth rate; Wilson's storm-petrel; Black-bellied storm-petrel; Antarctica</t>
  </si>
  <si>
    <t>KING-GEORGE-ISLAND; STORMPETREL FREGETTA-TROPICA; KRILL EUPHAUSIA-SUPERBA; ANTARCTIC KRILL; FORAGING AREAS; OCEANITES-OCEANICUS; INDIVIDUAL SPECIALIZATION; TROPHIC RELATIONSHIPS; HYDROBATES-PELAGICUS; SEXUAL SEGREGATION</t>
  </si>
  <si>
    <t>Species sharing resources are predicted to compete, but co-occurring species can avoid competition through niche partitioning. Here, we investigated the inter- and intra-specific differences using stable isotope analyses in the black-bellied storm-petrel (Fregetta tropica) and the Wilson's storm-petrel (Oceanites oceanicus), breeding sympatrically in maritime Antarctica. We analysed stable carbon, nitrogen and oxygen isotopes in samples representing different life stages; chick down (pre-laying females), chick feather (chick), and adult blood (chick-rearing adults). Pre-laying females had wider stable isotope niches than chicks or chick-rearing adults, due to pre-laying females being free roaming while chick-rearing adults were central-place-foragers. Chicks were fed at a higher trophic level than the adults (higher delta N-15), likely to compensate for the high nutritional demands of the growing chicks. Wilson's storm-petrels showed substantial overlap in stable isotope niches between all life stages, while the black-bellied storm-petrel chicks showed very little overlap. Wilson's storm-petrel niches significantly overlapped with those of pre-laying and chick-rearing black-bellied storm-petrels, suggesting negligible niche partitioning. Chick growth rate was negatively correlated with chick delta N-15 values, suggesting nutritional stress resulting in the use endogenous instead of dietary amino acids in protein synthesis. The higher trophic level of the relatively larger black-bellied storm-petrel chicks may be due to their longer stay in the nest, and relatively larger body mass gain, despite chick growth rates being similar to the smaller Wilson's storm-petrel chicks. Despite breeding sympatrically, the studied storm-petrel species showed considerable overlap in isotopic niches, which may be explained by sharing the same main prey species, reducing the detectability of foraging niche partitioning through stable isotope analyses. We found dietary shifts in black-bellied storm-petrels that are absent in Wilson's, showing different chick provisioning strategies, and shows that the high productivity of the Antarctic marine ecosystem may facilitate foraging niche overlap of sympatrically living species.</t>
  </si>
  <si>
    <t>[Ausems, Anne N. M. A.; Wojczulanis-Jakubas, Katarzyna; Jakubas, Dariusz] Univ Gdansk, Fac Biol, Dept Vertebrate Ecol &amp; Zool, Ul Wita Stwosza 59, PL-80308 Gdansk, Poland; [Skrzypek, Grzegorz] Univ Western Australia, Sch Biol Sci, West Australian Biogeochem Ctr, 35 Stirling Highway, Crawley, WA 6009, Australia</t>
  </si>
  <si>
    <t>Fahrenheit Universities; University of Gdansk; University of Western Australia</t>
  </si>
  <si>
    <t>Ausems, ANMA (corresponding author), Univ Gdansk, Fac Biol, Dept Vertebrate Ecol &amp; Zool, Ul Wita Stwosza 59, PL-80308 Gdansk, Poland.</t>
  </si>
  <si>
    <t>anne.ausems@gmail.com</t>
  </si>
  <si>
    <t>Skrzypek, Grzegorz/B-4202-2008; Ausems, Anne N.M.A./AAP-6725-2021; Wojczulanis-Jakubas, Katarzyna/AAO-4126-2021; Jakubas, Dariusz/N-3680-2019</t>
  </si>
  <si>
    <t>Ausems, Anne N.M.A./0000-0002-6683-6674; Wojczulanis-Jakubas, Katarzyna/0000-0001-6230-0509; Jakubas, Dariusz/0000-0002-1879-4342; Skrzypek, Grzegorz/0000-0002-5686-2393</t>
  </si>
  <si>
    <t>Polish National Science Centre, Poland [2015/19/B/NZ8/01981, 3/2016, 08/2017]; Henryk Arctowski Polish Antarctic Station</t>
  </si>
  <si>
    <t>Polish National Science Centre, Poland; Henryk Arctowski Polish Antarctic Station</t>
  </si>
  <si>
    <t>Thisworkwas supported by a grant fromthe Polish National Science Centre, Poland (2015/19/B/NZ8/01981). The study was conducted under the permission of the PolishNational SCAR, Institute of Biochemistry and Biophysics (permit for entering the Antarctic Specially Protected Area No. 3/2016 &amp; No. 08/2017). We would like to thank the Henryk Arctowski Polish Antarctic Station and theDepartment of Antarctic Biology of the Polish Academy of Sciences for their hospitality and logistic support during our stay on King George Island. We are grateful to Rosanne Michielsen for her support in the field. Lastly, we would like to thank two anonymous reviewers for their constructive on earlier versions of the manuscript.</t>
  </si>
  <si>
    <t>0048-9697</t>
  </si>
  <si>
    <t>1879-1026</t>
  </si>
  <si>
    <t>SCI TOTAL ENVIRON</t>
  </si>
  <si>
    <t>Sci. Total Environ.</t>
  </si>
  <si>
    <t>AUG 1</t>
  </si>
  <si>
    <t>10.1016/j.scitotenv.2020.138768</t>
  </si>
  <si>
    <t>LZ1RK</t>
  </si>
  <si>
    <t>Green Submitted, hybrid</t>
  </si>
  <si>
    <t>WOS:000541006700021</t>
  </si>
  <si>
    <t>Sandiford, D; Moresi, LM; Sandiford, M; Farrington, R; Yang, T</t>
  </si>
  <si>
    <t>Sandiford, D.; Moresi, L. M.; Sandiford, M.; Farrington, R.; Yang, T.</t>
  </si>
  <si>
    <t>The Fingerprints of Flexure in Slab Seismicity</t>
  </si>
  <si>
    <t>TECTONICS</t>
  </si>
  <si>
    <t>earthquakes; seismicity; slabs; subduction</t>
  </si>
  <si>
    <t>OUTER-RISE SEISMICITY; EARTHQUAKES BENEATH; INTERMEDIATE-DEPTH; ZONE BENEATH; NAZCA PLATE; DRIVING MECHANISM; TRANSITION-ZONE; FLAT SUBDUCTION; GLOBAL SURVEY; LOWER PLANES</t>
  </si>
  <si>
    <t>Earthquake moment tensors in eastern Pacific (ePac) slabs typically show downdip tensional (DT) axes, whereas in the western Pacific (wPac), they typically show downdip compressional (DC) axes or have mixed orientations indicative of unbending. Prevailing conceptual models emphasize uniform stress/deformation modes, that is, bulk slab stretching or shortening, as the dominant control on intermediate depth seismic expression. In contrast, we propose that a diversity of seismic expression, including DT- and DC-dominated regions, is consistent with expectations of flexural strain accumulation, based on systemic differences in slab geometry. Our analysis reveals two largely unrecognized features of ePac intraslab seismicity. First, earthquake clusters consistent with slab unbending are present in ePac slabs, albeit at much shallower depths than typical of wPac slabs. Second, intermediate depth ePac DT seismicity is strongly localized to the upper half of zones undergoing curvature increase, such as flat slab segments. Our study highlights how the seismic expression of slab flexure is impacted by the relative contribution of brittle and ductile deformation. The strongly asymmetric temperature structure that is preserved in sinking slabs means that seismicity disproportionately records the deformation regime in the colder part of the slab, above the neutral plane of bending. The expression of in-plane stress may be discernible in terms of a systematic modifying effect on the seismic expression of flexure.</t>
  </si>
  <si>
    <t>[Sandiford, D.] Univ Tasmania, Inst Marine &amp; Antarctic Studies, Hobart, Tas, Australia; [Sandiford, D.; Moresi, L. M.; Sandiford, M.; Farrington, R.] Univ Melbourne, Sch Earth Sci, Melbourne, Vic, Australia; [Sandiford, D.] German Res Ctr Geosci GFZ, Helmholtz Ctr Potsdam, Potsdam, Germany; [Moresi, L. M.] Australian Natl Univ, Res Sch Earth Sci, Canberra, ACT, Australia; [Yang, T.] Southern Univ Sci &amp; Technol, Dept Earth &amp; Space Sci, Shenzhen, Peoples R China</t>
  </si>
  <si>
    <t>University of Tasmania; University of Melbourne; Melbourne Bioinformatics; Helmholtz Association; Helmholtz-Center Potsdam GFZ German Research Center for Geosciences; Australian National University; Southern University of Science &amp; Technology</t>
  </si>
  <si>
    <t>Sandiford, D (corresponding author), Univ Tasmania, Inst Marine &amp; Antarctic Studies, Hobart, Tas, Australia.;Sandiford, D (corresponding author), Univ Melbourne, Sch Earth Sci, Melbourne, Vic, Australia.;Sandiford, D (corresponding author), German Res Ctr Geosci GFZ, Helmholtz Ctr Potsdam, Potsdam, Germany.</t>
  </si>
  <si>
    <t>dan.sandiford@utas.edu.au</t>
  </si>
  <si>
    <t>; Yang, Ting/K-5026-2018; Sandiford, Mike/B-5020-2016</t>
  </si>
  <si>
    <t>Sandiford, Dan/0000-0002-2207-6837; Yang, Ting/0000-0003-2301-2525; Farrington, Rebecca/0000-0002-2594-6965; Sandiford, Mike/0000-0002-9757-745X; Moresi, Louis-Noel/0000-0003-3685-174X</t>
  </si>
  <si>
    <t>Australian Research Council [DP150102887]; AuScope; Baragwanath Geology Research Scholarship; Australian Government; Government of Western Australia; Nectar Research Cloud, a collaborative Australian research platform - National Collaborative Research Infrastructure Strategy (NCRIS).</t>
  </si>
  <si>
    <t>Australian Research Council(Australian Research Council); AuScope; Baragwanath Geology Research Scholarship; Australian Government(Australian Government); Government of Western Australia; Nectar Research Cloud, a collaborative Australian research platform - National Collaborative Research Infrastructure Strategy (NCRIS).</t>
  </si>
  <si>
    <t>This work was supported by the Australian Research Council (Discovery grant DP150102887). Development of the Underworld2 code (http://www.underworldcode.org/) was supported by AuScope. DS's postgraduate research at the University of Melbourne was supported by a Baragwanath Geology Research Scholarship. This work was supported by resources provided by The Pawsey Supercomputing Centre with funding from the Australian Government and the Government of Western Australia. This work was supported by the Nectar Research Cloud, a collaborative Australian research platform supported by the National Collaborative Research Infrastructure Strategy (NCRIS). The study benefited from discussions and reviews by Greg Houseman, Claire Currie, Norman Sleep, and Laurent Jolivet.</t>
  </si>
  <si>
    <t>0278-7407</t>
  </si>
  <si>
    <t>1944-9194</t>
  </si>
  <si>
    <t>Tectonics</t>
  </si>
  <si>
    <t>e2019TC005894</t>
  </si>
  <si>
    <t>10.1029/2019TC005894</t>
  </si>
  <si>
    <t>NL3KN</t>
  </si>
  <si>
    <t>Green Submitted, Green Published, hybrid</t>
  </si>
  <si>
    <t>WOS:000567319100007</t>
  </si>
  <si>
    <t>Wang, TT; Lin, SY; Cui, PB; Bao, ZJ; Liu, KX; Jiang, PF; Zhu, BW; Sun, N</t>
  </si>
  <si>
    <t>Wang, Tongtong; Lin, Songyi; Cui, Pengbo; Bao, Zhijie; Liu, Kexin; Jiang, Pengfei; Zhu, Beiwei; Sun, Na</t>
  </si>
  <si>
    <t>Antarctic krill derived peptide as a nanocarrier of iron through the gastrointestinal tract</t>
  </si>
  <si>
    <t>FOOD BIOSCIENCE</t>
  </si>
  <si>
    <t>Antarctic krill peptide; Euphausia superba; Iron binding sites; Caco-2 cells; Iron bio-delivery</t>
  </si>
  <si>
    <t>CALCIUM-BINDING PEPTIDE; THR-LYS-GLU; CHELATING PEPTIDES; PROTEIN HYDROLYSATE; AMINO-ACIDS; ABSORPTION; IDENTIFICATION; BIOAVAILABILITY; SOLUBILITY; TRANSPORT</t>
  </si>
  <si>
    <t>Antarctic krill (Euphausia superba ) might have specific peptides that chelate iron ions and are iron carriers. In this study, iron -binding peptides were isolated from Antarctic krill using enzymatic (trypsin) hydrolysis and im- mobilized metal affinity chromatography (IMAC); the binding mode and surface morphology of Antarctic krill peptides (AKP)-iron complexes as well as their iron delivery behavior in the gastrointestinal tract were in-vestigated. Results showed that the AKP bound 79.3% of available iron from the enzymatic hydrolysis for 180 min. The contents of negatively-charged amino acids (Asp and Glu) on the AKP showed a positive corre-lation (r = 0.80) with iron-binding activities (the data includes Asn and Gln), while positively-charged amino acids showed a negative correlation (r = -0.83). Moreover, His, Ser and Thr on the AKP were also involved in the iron-binding activities. Iron-binding peptides from Antarctic krill hydrolysates, isolated using IMAC-Fe3+ and identified using HPLC-MS/MS, showed a mass of 712-2451 Da, and were enriched in Asp (Asn), Glu (Gln), His, Ser or Thr. The iron ions mainly bound to carboxyl groups of AKP, thus forming nano-scale, spherical particles. The iron nanocarriers formed by AKP showed a significant iron transport activity after simulated gastrointestinal digestion, as compared to FeSO 4 (P &lt; 0.05). The results suggested that the AKP-iron nano - composite has the potential to be a nutraceutical supplement for improving iron absorption.</t>
  </si>
  <si>
    <t>[Wang, Tongtong; Lin, Songyi; Cui, Pengbo; Bao, Zhijie; Liu, Kexin; Jiang, Pengfei; Zhu, Beiwei; Sun, Na] Dalian Polytech Univ, Sch Food Sci &amp; Technol, Natl Engn Res Ctr Seafood, Dalian 116034, Liaoning, Peoples R China</t>
  </si>
  <si>
    <t>Dalian Polytechnic University</t>
  </si>
  <si>
    <t>Sun, N (corresponding author), 1 Qinggongyuan, Ganjingzi Dist, Peoples R China.</t>
  </si>
  <si>
    <t>sunna1215@126.com</t>
  </si>
  <si>
    <t>Liu, Yixuan/JFJ-2820-2023; wang, tong/HTR-5412-2023; Liu, Kexin/GQH-0970-2022; li, tong/JYO-7530-2024</t>
  </si>
  <si>
    <t>National Natural Science Foundation of China [31972008]; Young Elite Scientists Sponsorship Program of the China Association for Science and Technology [2017QNRC001]; Natural Science Foundation of Liaoning Province of China [2019-ZD-0130]</t>
  </si>
  <si>
    <t>National Natural Science Foundation of China(National Natural Science Foundation of China (NSFC)); Young Elite Scientists Sponsorship Program of the China Association for Science and Technology; Natural Science Foundation of Liaoning Province of China(Natural Science Foundation of Liaoning Province)</t>
  </si>
  <si>
    <t>This work was financially supported by the National Natural Science Foundation of China (NO. 31972008), the Young Elite Scientists Sponsorship Program of the China Association for Science and Technology (No. 2017QNRC001) and the Natural Science Foundation of Liaoning Province of China (NO. 2019-ZD-0130).</t>
  </si>
  <si>
    <t>2212-4292</t>
  </si>
  <si>
    <t>2212-4306</t>
  </si>
  <si>
    <t>FOOD BIOSCI</t>
  </si>
  <si>
    <t>Food Biosci.</t>
  </si>
  <si>
    <t>10.1016/j.fbio.2020.100657</t>
  </si>
  <si>
    <t>Food Science &amp; Technology</t>
  </si>
  <si>
    <t>MM1EG</t>
  </si>
  <si>
    <t>WOS:000549901100005</t>
  </si>
  <si>
    <t>Ibañez, AE; Morales, LM; Torres, DS; Borghello, P; Haidr, NS; Montalti, D</t>
  </si>
  <si>
    <t>Ibanez, A. E.; Morales, L. M.; Torres, D. S.; Borghello, P.; Haidr, N. S.; Montalti, D.</t>
  </si>
  <si>
    <t>Plastic ingestion risk is related to the anthropogenic activity and breeding stage in an Antarctic top predator seabird species</t>
  </si>
  <si>
    <t>Plastic ingestion; Breeding cycle; Feeding niche; Antarctica; Brown Skua; Stercorarius antarcticus</t>
  </si>
  <si>
    <t>CATHARACTA-SKUA-LONNBERGI; MARINE DEBRIS; SOUTH POLAR; BROWN SKUAS; FULMARUS-GLACIALIS; DIET COMPOSITION; ISLAND; SHEARWATERS; PARTICLES; PENGUINS</t>
  </si>
  <si>
    <t>During the last decades plastic pollution has become a common issue in marine environments. Studies on seabirds have focused on species that ingest plastics mistaken for prey or indirectly through their preferred prey or, on how foraging strategy influences this behaviour. We evaluated plastic ingestion in relation to the proximity of nests to areas with different anthropogenic pressure, breeding status and breeding stage. We analyzed regurgitated pellets (n. = 1001) from a seabird, the Brown Skua (Stercorarius antarcticus lonnbergi) at Esperanza/Hope Bay, Antarctic Peninsula. Plastics were found in 9% of pellets, only in breeders from an area with high antropogenic activity. The prevalence of plastic increased during the brooding of chicks stage, when skuas expand their feeding niche. Our results support previous work which demonstrated that seabirds with wider feeding niche show higher loads of plastics. Altogether, this provides insights into the dynamics of plastic transfer within the environment.</t>
  </si>
  <si>
    <t>[Ibanez, A. E.; Morales, L. M.; Torres, D. S.; Borghello, P.; Montalti, D.] Div Zool Vert Museo La Plata FCNyM UNLP, Secc Ornitol, Paseo Bosque S-N,B1900FWA, La Plata, Buenos Aires, Argentina; [Ibanez, A. E.; Montalti, D.] Consejo Nacl Invest Cient &amp; Tecn CCT CONICET La P, Ctr Cient Tecnol, La Plata, Buenos Aires, Argentina; [Haidr, N. S.] Fdn Miguel Lillo CCT CONICET Tucuman, San Miguel De Tucuman, Tucuman, Argentina; [Montalti, D.] Inst Antartico Argentino IAA, Buenos Aires, DF, Argentina</t>
  </si>
  <si>
    <t>Ibañez, AE (corresponding author), Div Zool Vert Museo La Plata FCNyM UNLP, Secc Ornitol, Paseo Bosque S-N,B1900FWA, La Plata, Buenos Aires, Argentina.</t>
  </si>
  <si>
    <t>aeibanez@fcnym.unlp.edu.ar</t>
  </si>
  <si>
    <t>Direccion Nacional del Antartico (DNA), Proyecto de Investigacion Plurianual (PIP-CONICET) [0158]; Instituto Antartico Argentino [PICTA-2010-0080]; Agencia Nacional de Promocion Cientifica y Tecnologica; [PICT-2014-3323]</t>
  </si>
  <si>
    <t>Direccion Nacional del Antartico (DNA), Proyecto de Investigacion Plurianual (PIP-CONICET); Instituto Antartico Argentino; Agencia Nacional de Promocion Cientifica y Tecnologica(ANPCyTSpanish Government);</t>
  </si>
  <si>
    <t>This work was supported by and Direccion Nacional del Antartico (DNA), Proyecto de Investigacion Plurianual (PIP-CONICET n degrees 0158) and Agencia Nacional de Promocion Cientifica y Tecnologica and Instituto Antartico Argentino (PICTA-2010-0080) (to DM), and partially supported by (PICT-2014-3323) (to AEI).</t>
  </si>
  <si>
    <t>10.1016/j.marpolbul.2020.111351</t>
  </si>
  <si>
    <t>WOS:000548531100052</t>
  </si>
  <si>
    <t>Mousavi, SE; Patil, JG</t>
  </si>
  <si>
    <t>Mousavi, Seyed Ehsan; Patil, Jawahar G.</t>
  </si>
  <si>
    <t>Light-cardiogram, a simple technique for heart rate determination in adult zebrafish, Danio rerio</t>
  </si>
  <si>
    <t>COMPARATIVE BIOCHEMISTRY AND PHYSIOLOGY A-MOLECULAR &amp; INTEGRATIVE PHYSIOLOGY</t>
  </si>
  <si>
    <t>Videograph; Digital motion analysis; Pixel intensity; Diastolic; Heartbeat; Heart frequency; Zebrafish</t>
  </si>
  <si>
    <t>PARAMETERS; MS-222; MODEL; TIME; TOOL</t>
  </si>
  <si>
    <t>Current techniques for heart rate determination in adult zebrafish require specialist expertise and are often invasive, technically challenging and not readily transferable to other laboratories for routine assessment. Here, we present a simple, noninvasive and inexpensive light-cardiogram technique to assess heart rate and frequency in adult zebrafish. Brightfield microscope paired with a high-resolution camera and ImageJ (an open source software) were employed as core recording and processing platforms respectively. The heart was visualised ventrally and located by juxtaposing an isosceles triangle between the opercula as reference to analyse pixel intensity fluctuations generated by each cardiac cycle to derive heart rate and frequency. Compared to transparent embryos, the cardiograms generated reverse light signal oscillations, with contraction and relaxation of the heart (ventricle) corresponding to reduced and increased pixel intensities respectively. The heart rates (male 122.58 +/- 2.15 and female 121.37 +/- 2.63 beat/min) and mean dominant frequency (female 2.04 +/- 0.035 and female 2.05 +/- 0.048 Hz) between the sexes were not significantly (P &gt; .05) different at 28 degrees C. However, the FD amplitudes between males (0.26 +/- 0.03) and females (0.45 +/- 0.05) were significantly different (P &lt; .05) suggesting sex specific diastolic cardiac outputs. Collectively, the technique can be used to measure heartbeats as well as readily adaptable to record relative cardiac outputs and compare differences between physiological states (e.g. sexes). Moreover, the approach could be amenable to automation and applicable to other fish species, enabling researchers the flexibility to measure these and other critical heart health endpoint with relative ease.</t>
  </si>
  <si>
    <t>[Mousavi, Seyed Ehsan; Patil, Jawahar G.] Univ Tasmania, Fisheries &amp; Aquaculture Ctr, Inst Marine &amp; Antarctic Studies, Hobart, Tas, Australia; [Patil, Jawahar G.] Inland Fisheries Serv, New Norfolk, Tas, Australia</t>
  </si>
  <si>
    <t>University of Tasmania</t>
  </si>
  <si>
    <t>Patil, JG (corresponding author), Univ Tasmania, Fisheries &amp; Aquaculture Ctr, Inst Marine &amp; Antarctic Studies, Hobart, Tas, Australia.</t>
  </si>
  <si>
    <t>jawahar.patil@utas.edu.au</t>
  </si>
  <si>
    <t>Mousavi, Seyed Ehsan/AAG-3771-2021</t>
  </si>
  <si>
    <t>Mousavi, Seyed Ehsan/0000-0002-7099-6355; Patil, Jawahar G/0000-0002-2154-4627</t>
  </si>
  <si>
    <t>Australian Research Council [ARC LP140100428]</t>
  </si>
  <si>
    <t>Australian Research Council(Australian Research Council)</t>
  </si>
  <si>
    <t>This work was supported by the Australian Research Council (ARC LP140100428).</t>
  </si>
  <si>
    <t>ELSEVIER SCIENCE INC</t>
  </si>
  <si>
    <t>NEW YORK</t>
  </si>
  <si>
    <t>STE 800, 230 PARK AVE, NEW YORK, NY 10169 USA</t>
  </si>
  <si>
    <t>1095-6433</t>
  </si>
  <si>
    <t>1531-4332</t>
  </si>
  <si>
    <t>COMP BIOCHEM PHYS A</t>
  </si>
  <si>
    <t>Comp. Biochem. Physiol. A-Mol. Integr. Physiol.</t>
  </si>
  <si>
    <t>10.1016/j.cbpa.2020.110705</t>
  </si>
  <si>
    <t>Biochemistry &amp; Molecular Biology; Physiology; Zoology</t>
  </si>
  <si>
    <t>MH4HD</t>
  </si>
  <si>
    <t>WOS:000546691400001</t>
  </si>
  <si>
    <t>Schrader, DL; Nagashima, K; Davidson, J; McCoy, TJ; Ogliore, RC; Fu, RR</t>
  </si>
  <si>
    <t>Schrader, Devin L.; Nagashima, Kazuhide; Davidson, Jemma; McCoy, Timothy J.; Ogliore, Ryan C.; Fu, Roger R.</t>
  </si>
  <si>
    <t>Outward migration of chondrule fragments in the early Solar System: O -isotopic evidence for rocky material crossing the Jupiter Gap</t>
  </si>
  <si>
    <t>GEOCHIMICA ET COSMOCHIMICA ACTA</t>
  </si>
  <si>
    <t>Jupiter gap; Chondrule; Protoplanetary disk; Migration; Oxygen isotope; Dust</t>
  </si>
  <si>
    <t>CARBONACEOUS CHONDRITES; AL-26-MG-26 SYSTEMATICS; PROTOPLANETARY DISK; OXYGEN; CR; OLIVINE; ORIGIN; DUST; CONSTRAINTS; PRECURSORS</t>
  </si>
  <si>
    <t>Determining the origins of chondrule precursors is key to constraining how material migrated in the early Solar System. Chondrules that were only partially melted during their formation retain portions of their solid precursors, termed relict grains. By measuring the chemical and O -isotopic compositions of relict grains in chondrules from an unequilibrated ordinary chondrite (UOC), and Renazzo-like carbonaceous (CR) and Mighei-like carbonaceous (CM) chondrites we constrain their origins and discuss implications for disk transport within the first 4 million years of the Solar System. For all three chondrite groups, the chemical and O -isotopic compositions of dusty olivine grains are sometimes consistent with the reduction of type I (FeO-poor) and/or type II (FeO-rich) chondrules from the same meteorite group. However, other dusty olivine grains from the CM chondrites and the UOC are found to be xenocrysts that require an origin from a source distinct from the host mete- orite. This material plausibly originated as fragments of earlier -formed chondrules from another chondrite group or of par- tially or fully differentiated planetesimals that migrated into an active chondrule-forming region. Multiple CM chondrite dusty olivine chondrules have O -isotope compositions that match those of UOC chondrule olivine (D-17 O - 0%0), suggesting an origin from an UOC source. This implies that UOC chondrules and/or chondrule fragments migrated from the inner Solar System outwards to CM chondrite chondrule-forming region, likely beyond the orbit of Jupiter. These UOC chondrules or chondrule fragments could have migrated outwards in the protoplanetary disk before the formation of the Jupiter Gap, or &lt;300 lm diameter fragments could have migrated outwards after Gap formation as CM chondrite chondrule dusty olivine grains with D 17 O - 0%0 were small enough to pass through Jupiter Gap. The identification of xenocrysts in each meteorite group studied here argues for widespread migration of material in the early Solar System, potentially crossing the Jupiter Gap. (C) 2020 Elsevier Ltd. All rights reserved.</t>
  </si>
  <si>
    <t>[Schrader, Devin L.; Davidson, Jemma] Arizona State Univ, Ctr Meteorite Studies, Sch Earth &amp; Space Explorat, 781 East Terrace Rd,POB 871404, Tempe, AZ 85287 USA; [Nagashima, Kazuhide] Univ Hawaii Manoa, HIGP SOEST, Honolulu, HI 96822 USA; [McCoy, Timothy J.] Smithsonian Inst, Dept Mineral Sci, Natl Museum Nat Hist, 10th &amp; Constitut Ave NW, Washington, DC 20560 USA; [Ogliore, Ryan C.] Washington Univ, Dept Phys, St Louis, MO 63130 USA; [Fu, Roger R.] Harvard Univ, Dept Earth &amp; Planetary Sci, 20 Oxford St, Cambridge, MA 02138 USA</t>
  </si>
  <si>
    <t>Arizona State University; Arizona State University-Tempe; University of Hawaii System; University of Hawaii Manoa; Smithsonian Institution; Smithsonian National Museum of Natural History; Washington University (WUSTL); Harvard University</t>
  </si>
  <si>
    <t>Schrader, DL (corresponding author), Arizona State Univ, Ctr Meteorite Studies, Sch Earth &amp; Space Explorat, 781 East Terrace Rd,POB 871404, Tempe, AZ 85287 USA.</t>
  </si>
  <si>
    <t>devin.schrader@asu.edu</t>
  </si>
  <si>
    <t>Schrader, Devin L/H-6293-2012; Davidson, Jemma/ABB-2655-2021</t>
  </si>
  <si>
    <t>Davidson, Jemma/0000-0002-3725-2960; /0000-0003-3635-2676; McCoy, Timothy/0000-0002-4573-3553; Schrader, Devin/0000-0001-5282-232X</t>
  </si>
  <si>
    <t>NSF; NASA; Arizona State University Center for Meteorite Studies</t>
  </si>
  <si>
    <t>NSF(National Science Foundation (NSF)); NASA(National Aeronautics &amp; Space Administration (NASA)); Arizona State University Center for Meteorite Studies</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</si>
  <si>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are grateful to Ken Domanik and Axel Wittmann for assistance with the EPMA at UA and ASU, respectively. The authors would like to thank Steven Desch for helpful discussions. We are also grateful to Daisuke Nakashima, Andreas Hertwig, an anonymous reviewer, and Associate Editor Sara Russell, whose constructive comments improved the quality of the manuscript. This research was funded in part by the Arizona State University Center for Meteorite Studies.</t>
  </si>
  <si>
    <t>0016-7037</t>
  </si>
  <si>
    <t>1872-9533</t>
  </si>
  <si>
    <t>GEOCHIM COSMOCHIM AC</t>
  </si>
  <si>
    <t>Geochim. Cosmochim. Acta</t>
  </si>
  <si>
    <t>10.1016/j.gca.2020.05.014</t>
  </si>
  <si>
    <t>MG6UJ</t>
  </si>
  <si>
    <t>WOS:000546164200007</t>
  </si>
  <si>
    <t>Quirico, E; Bonal, L; Montagnac, G; Beck, P; Reynard, B</t>
  </si>
  <si>
    <t>Quirico, Eric; Bonal, Lydie; Montagnac, Gilles; Beck, Pierre; Reynard, Bruno</t>
  </si>
  <si>
    <t>New insights into the structure and formation of coals, terrestrial and extraterrestrial kerogens from resonant UV Raman spectroscopy</t>
  </si>
  <si>
    <t>Organic matter; UV Raman; Kerogens; Coals; Chondrites</t>
  </si>
  <si>
    <t>INSOLUBLE ORGANIC-MATTER; CARBONACEOUS MATERIAL; ANTARCTIC MICROMETEORITES; MURCHISON METEORITES; CHONDRITES; ORIGIN; GRADE; EVOLUTION; ORGUEIL; STATE</t>
  </si>
  <si>
    <t>Resonant UV (244 nm-excitation) Raman spectroscopy was used to characterize a series of coals, type II kerogens, Insol- uble Organic Matter (IOM) extracted from primitive chondrites and two stratospheric Interplanetary Dust Particles. UV - Raman spectra of immature terrestrial kerogens and coals are distinct from those of extraterrestrial kerogens extracted from type 1 and 2 primitive chondrites, allowing unambiguous identification. The degree of disorder in the refractory carbonaceous matter in the considered IDPs is found to be higher than in primitive chondrites, confirming former interpretation of visible (514 nm-excitation) Raman spectra of IDPs. Spectral and structural features of laboratory analogues of chondritic organic matter formed in cold plasma reactors at 500-700 degrees C differ from those of natural samples, challenging the hypothesis that chondritic organic matter within the protosolar disk may form through plasma reactions. Finally, UV Raman data shed new light in the structural evolution of coals during maturation and support the presence of an sp 2 structural transition at vitrinite reflectance Ro similar to 0.4-0.5%. Comparison with former visible Raman and infrared spectroscopic data confirms the exis- tence of this structural transition, which is related to a dramatic drop of oxygenated species (carboxyl, hydroxyl, ketone and ether groups). Oxygen thus plays an indirect but significant role in the control of the Raman spectra of polyaromatic mate- rials. A potential application of this technique is the determination of the biotic versus abiotic origin of kerogens in ancient rocks on Earth, and of soils and rocks on Mars that is otherwise difficult with classical visible -excitation Raman spectroscopy. (C) 2020 Elsevier Ltd. All reserved.</t>
  </si>
  <si>
    <t>[Quirico, Eric; Bonal, Lydie; Beck, Pierre] Univ Grenoble Alpes, CNRS, Inst Planetol &amp; Astrophys Grenoble IPAG, UMR 5274, F-38041 Grenoble, France; [Montagnac, Gilles; Reynard, Bruno] Univ Lyon 1, Univ Lyon, ENSL, CNRS,LGL TPE, F-69007 Lyon, France</t>
  </si>
  <si>
    <t>Centre National de la Recherche Scientifique (CNRS); CNRS - National Institute for Earth Sciences &amp; Astronomy (INSU); Communaute Universite Grenoble Alpes; Universite Grenoble Alpes (UGA); Institut de Planetologie et d'Astrophysique de Grenoble (IPAG); Ecole Normale Superieure de Lyon (ENS de LYON); Universite Claude Bernard Lyon 1; Centre National de la Recherche Scientifique (CNRS)</t>
  </si>
  <si>
    <t>Quirico, E (corresponding author), Univ Grenoble Alpes, CNRS, Inst Planetol &amp; Astrophys Grenoble IPAG, UMR 5274, F-38041 Grenoble, France.</t>
  </si>
  <si>
    <t>Montagnac, Gilles/S-6440-2019; Reynard, Bruno/C-8301-2012; quirico, eric/K-9650-2013</t>
  </si>
  <si>
    <t>Montagnac, Gilles/0000-0001-9938-0282; Reynard, Bruno/0000-0002-4782-6163; BONAL, Lydie/0000-0002-0655-4034; quirico, eric/0000-0003-2768-0694</t>
  </si>
  <si>
    <t>Centre National d'Etudes Spatiales (CNES-France); Institut National des Sciences de l'Univers (INSU)</t>
  </si>
  <si>
    <t>Centre National d'Etudes Spatiales (CNES-France)(Centre National D'etudes Spatiales); Institut National des Sciences de l'Univers (INSU)</t>
  </si>
  <si>
    <t>We thank three anonymous reviewers for their comments and suggestions that improved the manuscript. This work has been funded by the Centre National d'Etudes Spatiales (CNES-France). We thank the Museum National d'Histoire Naturelle (Paris, France) for providing the meteorite samples, the Institut Franc commaa is du Pe ' trole for the type II kerogens and the Coal Sample Bank of the Penn State University for the coal samples. The Raman facility in ENS-Lyon is supported by the Institut National des Sciences de l'Univers (INSU).</t>
  </si>
  <si>
    <t>10.1016/j.gca.2020.05.028</t>
  </si>
  <si>
    <t>MF9BJ</t>
  </si>
  <si>
    <t>Green Published, hybrid</t>
  </si>
  <si>
    <t>WOS:000545632300002</t>
  </si>
  <si>
    <t>Muir, RA; Bordy, EM; Mundil, R; Frei, D</t>
  </si>
  <si>
    <t>Muir, Robert A.; Bordy, Emese M.; Mundil, Roland; Frei, Dirk</t>
  </si>
  <si>
    <t>Recalibrating the breakup history of SW Gondwana: U-Pb radioisotopic age constraints from the southern Cape of South Africa</t>
  </si>
  <si>
    <t>GONDWANA RESEARCH</t>
  </si>
  <si>
    <t>Rift initiation; Southwest Gondwana; U-Pb geochronology; Tephrochronology; Maximum depositional age</t>
  </si>
  <si>
    <t>FORMATION UITENHAGE GROUP; CRETACEOUS KIRKWOOD FORMATION; PLASMA-MASS SPECTROMETRY; LARGE IGNEOUS PROVINCE; FALKLAND-ISLANDS; CONTINENTAL-MARGIN; SOUTHWESTERN GONDWANA; ANTARCTIC PENINSULA; GAMTOOS BASIN; EASTERN CAPE</t>
  </si>
  <si>
    <t>Syn-rift deposits often provide the only means to determine the chronology of rift initiation and evolution. However, the earliest syn-rift packages deposited in Jurassic - Cretaceous rift basins that formed during the breakup of SW Gondwana are poorly understood because they are deeply buried beneath overlying passive margin sequences. The exhumed remnants of several such rift basins are exposed in the southern Cape of South Africa and contain the Suurberg and Uitenhage groups, which are predominantly continental, taphrogenic, fossiliferous strata interbedded with volcanidastics. Here we present the first robust U-Pb chronostratigraphic framework for these groups by dating zircon in nine pyroclastic and five resedimented volcanidastic deposits using Laser Ablation - Inductively Coupled Plasma Mass Spectrometry (LA-ICPMS).To further improve the precision and accuracy of the results, we utilize Chemical Abrasion - Thermal Ionisation Mass Spectrometry (CA-TIMS) on four selected samples minimizing the effects of Pb-loss and further constraining depositional uncertainties. We thereby show that the Suurberg Group was deposited rapidly during the emplacement of the Karoo Large Igneous Province in the Early Jurassic and likely predates the main phase of rifting, whereas the Uitenhage Group was deposited over a prolonged (&gt;40 Ma) period beginning in the Early Jurassic and continuing into the Early Cretaceous. The Uitenhage Group records two phases of rifling: an initial Jurassic episode that roughly coincides with the separation of East and West Gondwana and is contemporaneous with widespread volcanism in SW Gondwana, and a subsequent period of renewed rifting during the Early Cretaceous opening of the South Atlantic and initiation of the Agulhas Falkland Transform. This framework illustrates the complexity of long-lived rift-basin sedimentation and highlights the importance of high-resolution chronostratigraphy when investigating and integrating the tectonic, palaeogeographic and palaeontological records from the final stages of a unified SW Gondwana. (C) 2020 International Association for Gondwana Research. Published by Elsevier B.V. All rights reserved.</t>
  </si>
  <si>
    <t>[Muir, Robert A.; Bordy, Emese M.] Univ Cape Town, Dept Geol Sci, Cape Town, South Africa; [Mundil, Roland] Berkeley Geochronol Ctr, Berkeley, CA USA; [Frei, Dirk] Univ Western Cape, Dept Earth Sci, Cape Town, South Africa</t>
  </si>
  <si>
    <t>University of Cape Town; Berkeley Geochronolgy Center; University of the Western Cape</t>
  </si>
  <si>
    <t>Muir, RA (corresponding author), Univ Cape Town, Dept Geol Sci, Cape Town, South Africa.</t>
  </si>
  <si>
    <t>robert.muir@uct.ac.za</t>
  </si>
  <si>
    <t>Bordy, Emese/JPW-9200-2023; Frei, Dirk/B-8410-2009; Bordy, Emese M/J-1361-2016</t>
  </si>
  <si>
    <t>Frei, Dirk/0000-0002-3734-737X; Bordy, Emese M/0000-0003-4699-0823</t>
  </si>
  <si>
    <t>National Research Foundation (NRF) African Origins Platform [GUN 91601]; DST-NRF Centre of Excellence in Palaeosciences [GUN CoE2017-050, COE2016-347]; NRF; DST-NRF Centre of Excellence in Palaeosciences (CoE-Pal); Palaeontological Scientific Trust (PAST); University of Cape Town</t>
  </si>
  <si>
    <t>National Research Foundation (NRF) African Origins Platform; DST-NRF Centre of Excellence in Palaeosciences; NRF; DST-NRF Centre of Excellence in Palaeosciences (CoE-Pal); Palaeontological Scientific Trust (PAST); University of Cape Town</t>
  </si>
  <si>
    <t>Special thanks go to Jurie Viljoen, who helped immensely throughout this research project and upon whose investigations into the volcaniclastics of the southern Cape we built. Goonie Marsh is thanked for guidance during investigations of the Suurberg Group. Field assistants from the Sedimentology-Palaeo Research Group at the University of Cape Town, Miengah Abrahams, Yambi Dinis, Devon Bowen, Chris van De Linde and Travis America are thanked for their help during several field trips in the southern Cape to study the Kirkwood and Enon formations. We are appreciative of the various land owners and quarry managerswho gave us access to outcrops, including Yoann Hoibian, Stephen Drew, Jono Berry, Handre Marx, Francoir Whittle and Kieth Barbier. This project was supported by grants from the National Research Foundation (NRF) African Origins Platform (GUN 91601 to EMB) and the DST-NRF Centre of Excellence in Palaeosciences (GUN CoE2017-050; COE2016-347 to EMB). A doctoral bursary to RAM was provided by the NRF and the DST-NRF Centre of Excellence in Palaeosciences (CoE-Pal). The Palaeontological Scientific Trust (PAST), NRF and theUniversity of Cape Town supported RAMin several international study visits. We gratefully acknowledge all these financial contributions. The careful reviews provided by Milo Barham and an anonymous reviewer improved the manuscript.</t>
  </si>
  <si>
    <t>1342-937X</t>
  </si>
  <si>
    <t>1878-0571</t>
  </si>
  <si>
    <t>GONDWANA RES</t>
  </si>
  <si>
    <t>Gondwana Res.</t>
  </si>
  <si>
    <t>10.1016/j.gr.2020.02.011</t>
  </si>
  <si>
    <t>Geosciences, Multidisciplinary</t>
  </si>
  <si>
    <t>Geology</t>
  </si>
  <si>
    <t>MC0KA</t>
  </si>
  <si>
    <t>WOS:000542985400011</t>
  </si>
  <si>
    <t>Burton-Johnson, A; Macpherson, CG; Millar, IL; Whitehouse, MJ; Ottley, CJ; Nowell, GM</t>
  </si>
  <si>
    <t>Burton-Johnson, A.; Macpherson, C. G.; Millar, I. L.; Whitehouse, M. J.; Ottley, C. J.; Nowell, G. M.</t>
  </si>
  <si>
    <t>A Triassic to Jurassic arc in north Borneo: Geochronology, geochemistry, and genesis of the Segama Valley Felsic Intrusions and the Sabah ophiolite</t>
  </si>
  <si>
    <t>SE Asia; Borneo; Tectonics; Ophiolite; Paleo-Pacific</t>
  </si>
  <si>
    <t>OXYGEN-ISOTOPE VARIATIONS; MIOCENE COLLISIONAL BELT; PB ZIRCON GEOCHRONOLOGY; TRACE-ELEMENT; LU-HF; UPLIFT MECHANISM; EVOLUTION; ROCKS; BASIN; SR</t>
  </si>
  <si>
    <t>New field, geochemical, and geochronological data from the Segama Valley Felsic Intrusions (SVFI) of Sabah, north Borneo, shows them to be arc-derived tonalites: not windows or partial melts of a crystalline basement be-neath Sabah. U-Pb zircon ages date emplacement in the Triassic and Jurassic: 241.1 +/- 2.0 Ma, 250.7 +/- 1.9 Ma, 178.7 +/- 2.4 Ma, and 178.6 +/- 13 Ma: contemporaneous with peaks in magmatism and detrital zircons in Sarawak and west Kalimantan (west Borneo). Isotopic data for Sr, Nd, and Pb from whole rocks, and for Hf and O from zir-con all show mantle and/or MORB affinities indicating a mantle-derived origin. Enrichment of fluid mobile trace elements and trace element ratios indicate that the most likely setting for this is in a continuation of the Sundaland continental arc. There is no evidence in the field, geochemical, or zircon U-Pb data for continental basement in the Segama Valley region. The intrusive nature of the Segama Valley tonalites constrains the emplacement age of their supra-subduction zone host rocks to at least the Triassic. This new data expands the Triassic and Jurassic extent of Borneo and the Sundaland arc, and challenges models of Borneo's development predominantly through allochthonous ter-rane accretion in the Cretaceous. Instead, we propose a model of protracted autochthonous growth through supra-subduction zone crustal extension and associated magmatism. (C) 2020 International Association for Gondwana Research. Published by Elsevier B.V. All rights reserved.</t>
  </si>
  <si>
    <t>[Burton-Johnson, A.] British Antarctic Survey, Madingley Rd, Cambridge CB3 0ET, England; [Macpherson, C. G.; Ottley, C. J.; Nowell, G. M.] Univ Durham, Dept Earth Sci, Durham DH1 3LE, England; [Millar, I. L.] British Geol Survey, Nottingham NG12 5GG, England; [Whitehouse, M. J.] Swedish Museum Nat Hist, Box 50007, SE-10405 Stockholm, Sweden</t>
  </si>
  <si>
    <t>UK Research &amp; Innovation (UKRI); Natural Environment Research Council (NERC); NERC British Antarctic Survey; Durham University; UK Research &amp; Innovation (UKRI); Natural Environment Research Council (NERC); NERC British Geological Survey; Swedish Museum of Natural History</t>
  </si>
  <si>
    <t>Burton-Johnson, A (corresponding author), British Antarctic Survey, Madingley Rd, Cambridge CB3 0ET, England.</t>
  </si>
  <si>
    <t>alerto@bas.ac.uk</t>
  </si>
  <si>
    <t>Millar, Ian L/F-1541-2010; Whitehouse, Martin J/E-1425-2013; Macpherson, Colin/F-3861-2012</t>
  </si>
  <si>
    <t>Macpherson, Colin/0000-0001-5302-6405; Nowell, Geoff/0000-0003-3229-128X</t>
  </si>
  <si>
    <t>NERC; SE Asia Research Group at Royal Holloway; NERC [bgs06001, bas0100029] Funding Source: UKRI</t>
  </si>
  <si>
    <t>NERC(UK Research &amp; Innovation (UKRI)Natural Environment Research Council (NERC)); SE Asia Research Group at Royal Holloway; NERC(UK Research &amp; Innovation (UKRI)Natural Environment Research Council (NERC))</t>
  </si>
  <si>
    <t>NERC supported this study through a PhD studentship to AB-J. We thank Richard Hinton for his analytical support in acquiring the U-Pb data, and Robert Hall, Mike Cottam, Juliane Hennig and the SE Asia Research Group at Royal Holloway for their support throughout this project and comments on this manuscript. We thank A.J. Barber and anonymous reviewer for their helpful and positive reviews, and Sanghoon Kwon for their work as our editor.</t>
  </si>
  <si>
    <t>10.1016/j.gr.2020.03.006</t>
  </si>
  <si>
    <t>Green Accepted</t>
  </si>
  <si>
    <t>WOS:000542985400014</t>
  </si>
  <si>
    <t>Arora, D; Pant, N; Pandey, M; Chattopadhyay, A; Greenbaum, J; Siegert, M; Bo, S; Blankenship, D; Rao, NVC; Bhandari, A</t>
  </si>
  <si>
    <t>Arora, Devsamridhi; Pant, Naresh; Pandey, Mayuri; Chattopadhyay, Anupam; Greenbaum, Jamin; Siegert, Martin; Bo, Sun; Blankenship, Donald; Rao, N. V. Chalapathi; Bhandari, Anubha</t>
  </si>
  <si>
    <t>Insights into geological evolution of Princess Elizabeth Land, East Antarctica-clues for continental suturing and breakup since Rodinian time</t>
  </si>
  <si>
    <t>DRONNING MAUD LAND; U-PB ZIRCON; GRANULITE-FACIES METAMORPHISM; LARSEMANN-HILLS AREA; T-T PATH; PRYDZ-BAY; GHATS BELT; SM-ND; REACTION TEXTURES; VESTFOLD HILLS</t>
  </si>
  <si>
    <t>Svenner Islands-Brattstrand Bluffs-Larsemann Hills constitutes similar to 70 km long coastal outcrops of Princess Elizabeth Land (PEL), comprising complexly deformed metapelites and orthogneisses. Pelitic granulites from these outcrops are investigated in this work. Conventional geothermobarometric estimations and Pseudosection modelling consistently indicate that the peak metamorphic grade throughout the area is high to ultra-high temperature (800-950 degrees C) at low to medium pressure (2-5 kbar). A high pressure (similar to 10 kbar) relict metamorphic event and a substantial decompression component of similar to 5 kbar, corresponding to &gt;15 km uplift, are inferred through petrographic as well as pseudosection analysis. Two set of ages are estimated (similar to 800 Ma and similar to 500 Ma), corresponding to Tonian and Pan-African metamorphic events, respectively. Field data, petrographic studies and ages estimated from orthogneisses from the Brattstrand Bluffs and the Groynes Peninsula suggest that this unit is a product of in-situ melting of the pelitic granulites. Pelitic granulites of PEL possess similarities with those exposed in the Eastern Ghat Mobile Belt of India. We propose that these sectors represent a contiguous terrane with two major orogenic imprints, reflecting Rodinia and Gondwana amalgamations. An attempt is made to mark out paleo-orogenic belt axes, supported by both field as well as recent aero-magnetic signatures in interior PEL. We support that the parent sediments of the pelitic granulites were deposited during Stenian period, which underwent compressional UHT-HP(?) metamorphism at similar to 800 Ma. Another extensive basin is proposed at similar to 600 Ma prior to the Pan-African orogenic event. We propose that the Pan-African orogeny marked the collision of Indo-Australo-Africo-Antarctic cratons and stitched the East Gondwana. We also propose a thinned lithosphere along the system of subglacial lakes-canyons confirmed by ICECAP data. Analog modelling is used to demonstrate the influence of pervasive mechanical anisotropy of the basement in defining the orientation of this rift system and its connection to the Lambert Graben. (C) 2020 International Association for Gondwana Research. Published by Elsevier B.V. All rights reserved.</t>
  </si>
  <si>
    <t>[Arora, Devsamridhi; Pant, Naresh; Chattopadhyay, Anupam] Univ Delhi, Dept Geol, Delhi 110007, India; [Pandey, Mayuri; Rao, N. V. Chalapathi] Banaras Hindu Univ, Dept Geol, Varanasi 221005, Uttar Pradesh, India; [Greenbaum, Jamin; Blankenship, Donald] Univ Texas Austin, Inst Geophys, Austin, TX USA; [Siegert, Martin] Imperial Coll, Grantham Inst, London SW7 2AZ, England; [Siegert, Martin] Imperial Coll, Dept Earth Sci &amp; Engn, London SW7 2AZ, England; [Bo, Sun] Polar Res Inst China, Shanghai, Peoples R China; [Bhandari, Anubha] Geol Survey India, Faridabad, Haryana, India</t>
  </si>
  <si>
    <t>University of Delhi; Banaras Hindu University (BHU); University of Texas System; University of Texas Austin; Imperial College London; Imperial College London; Polar Research Institute of China; Geological Survey India</t>
  </si>
  <si>
    <t>Pant, N (corresponding author), Univ Delhi, Dept Geol, Delhi 110007, India.</t>
  </si>
  <si>
    <t>pantnc@gmail.com</t>
  </si>
  <si>
    <t>Arora, Devsamridhi/AAQ-6364-2020; Siegert, Martin/M-9939-2019</t>
  </si>
  <si>
    <t>Siegert, Martin/0000-0002-0090-4806; CHALAPATHI RAO, N.V./0000-0003-0476-5302; PANDEY, MAYURI/0000-0001-8125-8051; Arora, Devsamridhi/0000-0003-1790-6960</t>
  </si>
  <si>
    <t>ICECAP/PEL project - Polar Research Institute of China; University of Texas at Austin; Beijing Normal University; British Council's Global Innovation Initiative programme between the UK, US, China and India; Department of Geology, Centre of Advanced Studies, University of Delhi [MoES/PAMC/HC/51/2013-PC-II]; Ministry of Earth Sciences (MoES) [MoES/PAMC/HC/51/2013-PC-II]</t>
  </si>
  <si>
    <t>ICECAP/PEL project - Polar Research Institute of China; University of Texas at Austin; Beijing Normal University; British Council's Global Innovation Initiative programme between the UK, US, China and India; Department of Geology, Centre of Advanced Studies, University of Delhi; Ministry of Earth Sciences (MoES)</t>
  </si>
  <si>
    <t>The authors are thankful to ESSO National Centre for Polar andOcean Research (NCPOR), MoES, India and the logistic teams of 35th and 36th Indian Scientific Expedition to Antarctica (ISEA) for providing all the logistic help during the expedition. DA and NCP acknowledge Dr. Rahul Mohan and Mr. M. Javed Beg for support and help. The authors also acknowledgeMs. Chinchu for help during EPMA analysis at GSI Faridabad. Dr. Dunggao Zhao is thanked for help during the SEMand EPMA analysis at University of Texas, Austin sponsored by ICECAP/PEL project funded by the Polar Research Institute of China, the University of Texas at Austin and Beijing Normal University. Jeev Jatan Sharma and Aditya Naik helped in pseudosection construction and geothermobarometric calculations. We acknowledge support fromthe British Council's Global Innovation Initiative programme between the UK, US, China and India. Facilities of the Department of Geology, Centre of Advanced Studies, University of Delhi and the Ministry of Earth Sciences (MoES) funded project (MoES/PAMC/H&amp;C/51/2013-PC-II) are thankfully acknowledged.</t>
  </si>
  <si>
    <t>10.1016/j.gr.2020.05.002</t>
  </si>
  <si>
    <t>WOS:000542985400016</t>
  </si>
  <si>
    <t>Ghigliotti, L; Cheng, CHC; Ozouf-Costaz, C; Guidi-Rontani, C; Vacchi, M; Federici, S; Pisano, E</t>
  </si>
  <si>
    <t>Ghigliotti, Laura; Cheng, Chi-Hing C.; Ozouf-Costaz, Catherine; Guidi-Rontani, Chantal; Vacchi, Marino; Federici, Sara; Pisano, Eva</t>
  </si>
  <si>
    <t>Cytogenetic characterization of the Antarctic silverfish Pleuragramma antarctica (Boulenger 1902) through analysis of mitotic chromosomes from early larvae</t>
  </si>
  <si>
    <t>MARINE GENOMICS</t>
  </si>
  <si>
    <t>Fluorescence in situ hybridization; Karyotype; LINEs; Notothenioidei; Ribosomal genes</t>
  </si>
  <si>
    <t>TRANSPOSABLE ELEMENTS; EVOLUTION; KARYOTYPE; COLD</t>
  </si>
  <si>
    <t>This paper describes the cytogenetic features of the Antarctic silverfish Pleuragramma antarctica (Boulenger 1902), a keystone species of the Antarctic coastal marine ecosystem. Conventional cytogenetic analyses and physical mapping of repetitive DNA sequences were performed on metaphase plates obtained through direct chromosome preparation from P. antarctica early larvae. The Antarctic silverfish have a diploid number (2n) = 48, and a karyotype made up of a majority of twoarmed chromosomes (karyotype formula36m/sm + 1 Ost + 2a, fundamental number = 94). Major ribosomal gene repeats were detected on three chromosome pairs (20, 21, and 23), in correspondence of dim DAPI stained regions. Long Interspersed Nuclear Elements (LINEs) were abundant and wide spread over all chromosomes. Overall, the cytogenetic data presented herein are consistent with a long independent cytogenetic and evolutionary history for the species. The large number of two-armed chromosomes, indicative of highly-rearranged karyotype, coupled with a diploid number of 48, a presumed primitive character for this fish group, and the spread of the major ribosomal genes on three chromosome pairs, make the Antarctic silverfish distinct from all other notothenioid species.</t>
  </si>
  <si>
    <t>[Ghigliotti, Laura; Vacchi, Marino; Pisano, Eva] Natl Res Council Italy CNR, IAS, Genoa, Italy; [Cheng, Chi-Hing C.] Univ Illinois, Dept Evolut Ecol &amp; Behav, Urbana, IL 61801 USA; [Ozouf-Costaz, Catherine] Univ Paris 06, Inst Biol Paris Seine, CNRS, UMR 7138,Evolution Paris Seine, Paris, France; [Guidi-Rontani, Chantal] Museum Natl Hist Nat, UMR 7205, CNRS, Inst Systemat Evolut Biodiversite ISYEB, Paris, France; [Federici, Sara; Pisano, Eva] Univ Genoa, Dept Earth Environm &amp; Life Sci DISTAV, Genoa, Italy</t>
  </si>
  <si>
    <t>Consiglio Nazionale delle Ricerche (CNR); University of Illinois System; University of Illinois Urbana-Champaign; Centre National de la Recherche Scientifique (CNRS); CNRS - National Institute for Biology (INSB); Museum National d'Histoire Naturelle (MNHN); Sorbonne Universite; Sorbonne Universite; Museum National d'Histoire Naturelle (MNHN); Centre National de la Recherche Scientifique (CNRS); CNRS - Institute of Ecology &amp; Environment (INEE); University of Genoa</t>
  </si>
  <si>
    <t>Ghigliotti, L (corresponding author), Natl Res Council Italy CNR, IAS, Genoa, Italy.</t>
  </si>
  <si>
    <t>laura.ghigliotti@cnr.it</t>
  </si>
  <si>
    <t>Ghigliotti, Laura/AAN-6843-2021</t>
  </si>
  <si>
    <t>Ghigliotti, Laura/0000-0003-2139-1381</t>
  </si>
  <si>
    <t>Italian National Programme for Antarctic Research (PNRA) [PdR 2013/AZ1.11, PNRA16_00281]; US NSF [OPP-1645087]</t>
  </si>
  <si>
    <t>Italian National Programme for Antarctic Research (PNRA); US NSF(National Science Foundation (NSF))</t>
  </si>
  <si>
    <t>The work was carried out within the project IMAGES (PdR 2013/AZ1.11) and POLICY (PNRA16_00281) funded by the Italian National Programme for Antarctic Research (PNRA), and contributes to the SCAR Scientific Research Program AntERA (Antarctic Thresholds Ecosystems Resilience and Adaptation). We thank Jean-Pierre Coutanceau for the technical support to the analysis at the Institute of Biology Paris Seine. CHCC acknowledges support from US NSF award OPP-1645087.</t>
  </si>
  <si>
    <t>1874-7787</t>
  </si>
  <si>
    <t>1876-7478</t>
  </si>
  <si>
    <t>MAR GENOM</t>
  </si>
  <si>
    <t>Mar. Genom.</t>
  </si>
  <si>
    <t>10.1016/j.margen.2019.100737</t>
  </si>
  <si>
    <t>Genetics &amp; Heredity; Marine &amp; Freshwater Biology</t>
  </si>
  <si>
    <t>MC4GL</t>
  </si>
  <si>
    <t>WOS:000543247400006</t>
  </si>
  <si>
    <t>Queirós, JP; Hill, SL; Pinkerton, M; Vacchi, M; Coelho, JP; Pereira, E; Ramos, JA; Seco, J; Stevens, DW; Xavier, JC</t>
  </si>
  <si>
    <t>Queiros, Jose P.; Hill, Simeon L.; Pinkerton, Matt; Vacchi, Marino; Coelho, Joao P.; Pereira, Eduarda; Ramos, Jaime A.; Seco, Jose; Stevens, Darren W.; Xavier, Jose C.</t>
  </si>
  <si>
    <t>High mercury levels in Antarctic toothfish Dissostichus mawsoni from the Southwest Pacific sector of the Southern Ocean</t>
  </si>
  <si>
    <t>ENVIRONMENTAL RESEARCH</t>
  </si>
  <si>
    <t>Fisheries; Contaminants; Antarctic resources; Trace elements</t>
  </si>
  <si>
    <t>ROSS SEA; PATAGONIAN TOOTHFISH; ELEGINOIDES; CONSERVATION; SEABIRDS; ECOLOGY; DIET</t>
  </si>
  <si>
    <t>Mercury is a bioaccumulating toxic pollutant which can reach humans through the consumption of contaminated food (e.g. marine fish). Although the Southern Ocean is often portrayed as a pristine ecosystem, its fishery products are not immune to mercury contamination. We analysed mercury concentration (organic and inorganic forms - T-Hg) in the muscle of Antarctic toothfish, Dissostichus mawsoni, a long-lived top predator which supports a highly profitable fishery. Our samples were collected in three fishing areas (one seamount and two on the continental slope) in the Southwest Pacific Sector of the Southern Ocean during the 2016/2017 fishing season. Mercury levels and the size range of fish varied between fishing areas, with the highest levels (0.68 +/- 0.45 mg kg(-1) wwt) occurring on the Amundsen Sea seamount where catches were dominated by larger, older fish. The most parsimonious model of mercury concentration included both age and habitat (seamount vs continental slope) as explanatory variables. Mean mercury levels for each fishing area were higher than those in all previous studies of D. mawsoni, with mean values for the Amundsen Sea seamount exceeding the 0.5 mg kg(-1) food safety threshold for the first time. It might therefore be appropriate to add D. mawsoni to the list of taxa, such as swordfish and sharks, which are known to exceed this threshold. This apparent increase in mercury levels suggests a recent contamination event which affected the Southwest Pacific sector, including both the Amundsen and Dumont D'Urville seas.</t>
  </si>
  <si>
    <t>[Queiros, Jose P.; Ramos, Jaime A.; Xavier, Jose C.] Univ Coimbra, MARE Marine &amp; Environm Sci Ctr, Dept Life Sci, P-3000456 Coimbra, Portugal; [Hill, Simeon L.; Xavier, Jose C.] NERC, British Antarctic Survey, Madingley Rd, Cambridge CB3 0ET, England; [Pinkerton, Matt; Stevens, Darren W.] NIWA Natl Inst Water &amp; Atmospher Res, 301 Evans Bay Parade, Wellington 6021, New Zealand; [Vacchi, Marino] CNR Genova, ISMAR Inst Marine Sci, I-16149 Genoa, Italy; [Coelho, Joao P.; Seco, Jose] Univ Aveiro, Dept Biol, Campus Univ Santiago, P-3810193 Aveiro, Portugal; [Coelho, Joao P.; Pereira, Eduarda; Seco, Jose] Univ Aveiro, CESAM, Campus Univ Santiago, P-3810193 Aveiro, Portugal; [Pereira, Eduarda] Univ Aveiro, Dept Quim, Campus Univ Santiago, P-3810193 Aveiro, Portugal; [Seco, Jose] Univ St Andrews, Sch Biol, St Andrews KY16 9ST, Fife, Scotland</t>
  </si>
  <si>
    <t>Universidade de Coimbra; UK Research &amp; Innovation (UKRI); Natural Environment Research Council (NERC); NERC British Antarctic Survey; National Institute of Water &amp; Atmospheric Research (NIWA) - New Zealand; Consiglio Nazionale delle Ricerche (CNR); Istituto di Scienze Marine (ISMAR-CNR); Universidade de Aveiro; Universidade de Aveiro; Universidade de Aveiro; University of St Andrews</t>
  </si>
  <si>
    <t>Queirós, JP (corresponding author), Univ Coimbra, MARE Marine &amp; Environm Sci Ctr, Dept Life Sci, P-3000456 Coimbra, Portugal.</t>
  </si>
  <si>
    <t>josequeiros@ua.pt</t>
  </si>
  <si>
    <t>Simeon, Hill L/B-2307-2008; Seco, José/AAS-4612-2020; Queirós, José P./K-4158-2019; Xavier, José/KFB-6739-2024; Coelho, João Pedro/C-1699-2008; Ramos, Jaime A./B-6616-2018</t>
  </si>
  <si>
    <t>Seco, José/0000-0002-7957-6488; Queirós, José P./0000-0003-2763-2529; Coelho, João Pedro/0000-0003-1975-8308; Ramos, Jaime A./0000-0002-9533-987X; /0000-0002-9621-6660</t>
  </si>
  <si>
    <t>FCT/MCTES through national funds (PIDDAC); Portuguese Polar Program (PROPOLAR); SCAR Ant-ERA; FCT-Portugal [SRFH/PD/BD113487]; CESAM [UID/AMB/50017/2019]; Integrated Program of SR&amp;TD 'Smart Valorization of Endogenous Marine Biological Resources Under a Changing Climate' [Centro-01-0145-FEDER-000018]; Centro 2020 program; Portugal 2020; European Regional Development Fund; NERC [bas0100035] Funding Source: UKRI</t>
  </si>
  <si>
    <t>FCT/MCTES through national funds (PIDDAC)(Fundacao para a Ciencia e a Tecnologia (FCT)); Portuguese Polar Program (PROPOLAR); SCAR Ant-ERA; FCT-Portugal(Fundacao para a Ciencia e a Tecnologia (FCT)); CESAM; Integrated Program of SR&amp;TD 'Smart Valorization of Endogenous Marine Biological Resources Under a Changing Climate'; Centro 2020 program; Portugal 2020; European Regional Development Fund(European Union (EU)); NERC(UK Research &amp; Innovation (UKRI)Natural Environment Research Council (NERC))</t>
  </si>
  <si>
    <t>Jose Queiros was supported by FCT/MCTES through national funds (PIDDAC) and Portuguese Polar Program (PROPOLAR). He was also supported by a travel grant of SCAR Ant-ERA.; FCT-Portugal supported Jose Seco through a PhD grant (SRFH/PD/BD113487). Joao Pedro Coelho is funded by CESAM (UID/AMB/50017/2019) and the Integrated Program of SR&amp;TD 'Smart Valorization of Endogenous Marine Biological Resources Under a Changing Climate' (Centro-01-0145-FEDER-000018), co-funded by Centro 2020 program, Portugal 2020 and the European Regional Development Fund.; NHK Japan supported the cost onboard of Jose Queiros and material for the field work.</t>
  </si>
  <si>
    <t>ACADEMIC PRESS INC ELSEVIER SCIENCE</t>
  </si>
  <si>
    <t>SAN DIEGO</t>
  </si>
  <si>
    <t>525 B ST, STE 1900, SAN DIEGO, CA 92101-4495 USA</t>
  </si>
  <si>
    <t>0013-9351</t>
  </si>
  <si>
    <t>1096-0953</t>
  </si>
  <si>
    <t>ENVIRON RES</t>
  </si>
  <si>
    <t>Environ. Res.</t>
  </si>
  <si>
    <t>10.1016/j.envres.2020.109680</t>
  </si>
  <si>
    <t>Environmental Sciences; Public, Environmental &amp; Occupational Health</t>
  </si>
  <si>
    <t>Environmental Sciences &amp; Ecology; Public, Environmental &amp; Occupational Health</t>
  </si>
  <si>
    <t>LZ5GH</t>
  </si>
  <si>
    <t>Green Published, hybrid, Green Accepted</t>
  </si>
  <si>
    <t>WOS:000541251900062</t>
  </si>
  <si>
    <t>Bond, AL; Lavers, JL</t>
  </si>
  <si>
    <t>Bond, Alexander L.; Lavers, Jennifer L.</t>
  </si>
  <si>
    <t>Biological archives reveal contrasting patterns in trace element concentrations in pelagic seabird feathers over more than a century</t>
  </si>
  <si>
    <t>ENVIRONMENTAL POLLUTION</t>
  </si>
  <si>
    <t>Ardenna carneipes; Flesh-footed Shearwater; Mercury; Lead; Cadmium; Western Australia</t>
  </si>
  <si>
    <t>FLESH-FOOTED SHEARWATERS; PLASTIC-DERIVED CHEMICALS; GULLS LARUS-ARGENTATUS; PUFFINUS-CARNEIPES; MERCURY CONCENTRATIONS; HEAVY-METAL; STABLE-ISOTOPES; TEMPORAL TRENDS; ARCTIC SEABIRDS; CLIMATE-CHANGE</t>
  </si>
  <si>
    <t>Contamination of diverse environments and wild species by some contaminants is projected to continue and increase in coming decades. In the marine environment, large volumes of data to assess how concentrations have changed over time can be gathered from indicator species such as seabirds, including through sampling feathers from archival collections and museums. As apex predators, Flesh-footed Shearwaters (Ardenna carneipes) are subject to high concentrations of bioaccumulative and bio-magnifying contaminants, and reflect the health of their local marine environment. We analysed Flesh-footed Shearwater feathers from Australia from museum specimens and live birds collected between 1900 and 2011 and assessed temporal trends in three trace elements of toxicological concern: cadmium, mercury, and lead. Concentrations of cadmium increased by 1.5% per year (95% CI: +0.6, +3.0), while mercury was unchanged through the time series (-0.3% per year; 05% CI: -2.1, +1.5), and lead decreased markedly (-2.1% per year, 95% CI: -3.2, -1.0). A reduction in birds' trophic position through the 20th century, and decreased atmospheric emissions were the likely driving factors for mercury and lead, respectively. By combining archival material from museum specimens with contemporary samples, we have been able to further elucidate the potential threats posed to these apex predators by metal contamination. (C) 2020 Elsevier Ltd. All rights reserved.</t>
  </si>
  <si>
    <t>[Bond, Alexander L.] Nat Hist Museum, Dept Life Sci, Bird Grp, Akeman St, Tring HP23 6AP, Herts, England; [Bond, Alexander L.; Lavers, Jennifer L.] Univ Tasmania, Inst Marine &amp; Antarctic Studies, 20 Castray Esplanade, Battery Point, Tas 7004, Australia</t>
  </si>
  <si>
    <t>Natural History Museum London; University of Tasmania</t>
  </si>
  <si>
    <t>Bond, AL (corresponding author), Nat Hist Museum, Dept Life Sci, Bird Grp, Akeman St, Tring HP23 6AP, Herts, England.</t>
  </si>
  <si>
    <t>a.bond@nhm.ac.uk</t>
  </si>
  <si>
    <t>Bond, Alexander L/A-3786-2010; Lavers, Jennifer/O-4831-2017; Lavers, Jennifer/IWM-5417-2023</t>
  </si>
  <si>
    <t>Lavers, Jennifer/0000-0001-7596-6588;</t>
  </si>
  <si>
    <t>Commonwealth Environment Research Facilities Programme; CSIRO Marine Biodiversity and Conservation Management Research Grant; Gould League NSW Cayley Memorial Scholarship for Avian Science [00002667]; Government of Australia Endeavour Research Fellowship; Royal Navy Bird Watching Society Captain Simpson Scholarship; W.V. Scott Charitable Trust [L0018313]; American Museum of Natural History Chapman Study Grant; Detached Foundation</t>
  </si>
  <si>
    <t>Commonwealth Environment Research Facilities Programme; CSIRO Marine Biodiversity and Conservation Management Research Grant; Gould League NSW Cayley Memorial Scholarship for Avian Science; Government of Australia Endeavour Research Fellowship(Australian GovernmentDepartment of Industry, Innovation and Science); Royal Navy Bird Watching Society Captain Simpson Scholarship; W.V. Scott Charitable Trust; American Museum of Natural History Chapman Study Grant; Detached Foundation</t>
  </si>
  <si>
    <t>The Commonwealth Environment Research Facilities Programme, CSIRO Marine Biodiversity and Conservation Management Research Grant, Gould League NSW Cayley Memorial Scholarship for Avian Science (grant 00002667), Government of Australia Endeavour Research Fellowship, Royal Navy Bird Watching Society Captain Simpson Scholarship, W.V. Scott Charitable Trust (grant L0018313), American Museum of Natural History Chapman Study Grant, and Detached Foundation provided funding and support for our research. For assistance obtaining samples we thank staff at the American Museum of Natural History, Burke Museum, Beaty Biodiversity Museum, Western Australia Museum, New Zealand National Institute of Water and Atmospheric Research, Mus~eum national d'Histoire naturelle-Paris, South Australia Museum, Tasmanian Museum and Art Gallery, Te Papa Museum, and the Victoria Museum. Samples were collected with the permission of the Western Australia Department of Environment and Conservation under the approval of the University of Tasmania and South Australian Animal Ethics Committees (A0010874 and M25957-1). Special thanks go to B. Baker, A. Booth, P. Collins, I. Hutton, R. Johnstone, C. Powell, J. Pridham, S. Seneviratne, C. Stone (Ngatiwai Trust), G. Taylor, T. Reid, and D. Thompson. W. Diegor and L. Hewa provided analytical support. This project benefited from discussions with A.M.V. Fournier, and anonymous reviewers improved previous drafts.</t>
  </si>
  <si>
    <t>ELSEVIER SCI LTD</t>
  </si>
  <si>
    <t>THE BOULEVARD, LANGFORD LANE, KIDLINGTON, OXFORD OX5 1GB, OXON, ENGLAND</t>
  </si>
  <si>
    <t>0269-7491</t>
  </si>
  <si>
    <t>1873-6424</t>
  </si>
  <si>
    <t>ENVIRON POLLUT</t>
  </si>
  <si>
    <t>Environ. Pollut.</t>
  </si>
  <si>
    <t>B</t>
  </si>
  <si>
    <t>10.1016/j.envpol.2020.114631</t>
  </si>
  <si>
    <t>LW8XV</t>
  </si>
  <si>
    <t>WOS:000539427600017</t>
  </si>
  <si>
    <t>Healy, TJ; Hill, NJ; Barnett, A; Chin, A</t>
  </si>
  <si>
    <t>Healy, Teleah Joy; Hill, Nicholas James; Barnett, Adam; Chin, Andrew</t>
  </si>
  <si>
    <t>A global review of elasmobranch tourism activities, management and risk</t>
  </si>
  <si>
    <t>MARINE POLICY</t>
  </si>
  <si>
    <t>Elasmobranch tourism; Marine-tourism management; Risk assessment; Sustainable tourism</t>
  </si>
  <si>
    <t>WHALE SHARK TOURISM; WILDLIFE TOURISM; CORAL-REEFS; PROVISIONING TOURISM; DIVING TOURISM; ECONOMIC VALUE; MARINE; BEHAVIOR; CONSERVATION; ECOTOURISM</t>
  </si>
  <si>
    <t>Elasmobranch tourism is a rapidly expanding global industry. While this industry can provide community and conservation benefits, it presents risks to target species, environments and humans when inappropriately managed. To ensure appropriate management is implemented, there is a need to identify the prevalence of elasmobranch tourism globally, the types of operations occurring and the controls used to mitigate risk. This study undertook a global literature review to develop an industry activity typology and establish the types of management controls present across elasmobranch tourism operations. In total, 151 unique species-activity-location conditions were identified, with four broad activity types categorised: diving, snorkelling, provisioning and cage diving. Spanning 42 countries and 49 different species, 32% of conditions identified lacked evidence of management. Further to this, many of the prevailing management controls in place (e.g. MPAs, shark sanctuaries, protected species status), were secondary in nature, having not been designed or implemented to manage elasmobranch tourism explicitly. Therefore, avoidable risks are likely widespread throughout the industry. Encouragingly, the application of activity specific management controls is likely to be effective at reducing risks across activity types. The theoretical case studies and management tools investigated herein provide operators and industry managers with guidance on how to reduce risk and safeguard industry benefits. With the elasmobranch tourism industry likely to continue expanding, it is important that appropriate management and regulatory frameworks are in place so that marine wildlife tourism can continue in a beneficial and sustainable manner.</t>
  </si>
  <si>
    <t>[Healy, Teleah Joy; Barnett, Adam; Chin, Andrew] James Cook Univ, Ctr Sustainable Fisheries &amp; Aquaculture, Townsville, Qld, Australia; [Healy, Teleah Joy; Barnett, Adam; Chin, Andrew] James Cook Univ, Coll Sci &amp; Engn, Townsville, Qld, Australia; [Hill, Nicholas James] Univ Tasmania, Inst Marine &amp; Antarctic Studies, Private Bag 49, Hobart, Tas 7001, Australia</t>
  </si>
  <si>
    <t>James Cook University; James Cook University; University of Tasmania</t>
  </si>
  <si>
    <t>Healy, TJ (corresponding author), 11A Quamby Ave, Sandy Bay, Tas 7005, Australia.</t>
  </si>
  <si>
    <t>Teleah.healy@gmail.com</t>
  </si>
  <si>
    <t>Chin, Andrew/C-2254-2008</t>
  </si>
  <si>
    <t>Chin, Andrew/0000-0003-1813-4042; Healy, Teleah/0000-0001-5938-0544</t>
  </si>
  <si>
    <t>0308-597X</t>
  </si>
  <si>
    <t>1872-9460</t>
  </si>
  <si>
    <t>MAR POLICY</t>
  </si>
  <si>
    <t>Mar. Pol.</t>
  </si>
  <si>
    <t>10.1016/j.marpol.2020.103964</t>
  </si>
  <si>
    <t>Environmental Studies; International Relations</t>
  </si>
  <si>
    <t>Social Science Citation Index (SSCI)</t>
  </si>
  <si>
    <t>Environmental Sciences &amp; Ecology; International Relations</t>
  </si>
  <si>
    <t>LZ5KU</t>
  </si>
  <si>
    <t>WOS:000541263600006</t>
  </si>
  <si>
    <t>Tang, JY; Li, YZ; Yang, XM; Chen, Y</t>
  </si>
  <si>
    <t>Tang, Jianye; Li, Yunzhou; Yang, Xiaoming; Chen, Yong</t>
  </si>
  <si>
    <t>Can the presidential diplomacy of China and France promote the East Antarctic marine protected area?</t>
  </si>
  <si>
    <t>SOUTHERN-OCEAN</t>
  </si>
  <si>
    <t>On November 6, 2019, China and France affirmed their commitments to the establishment of a marine protected area (MPA) in the Southern Ocean right after the close of the 2019 meeting of the Commission for the Conservation of Antarctic Marine Living Resources (CCAMLR). In the context of global ocean conservation, their pledge is worth expectation as well as scrutiny. After summarizing the latest development of MPAs in the Antarctic, this paper interpreted the commitment, analyzed the gaps between the two countries, and explored the possible ways forward. Should the commitment toward an MPA be fulfilled, there will be a significant breakthrough for the Antarctic, thus giving new impetus to global ocean conservation.</t>
  </si>
  <si>
    <t>[Tang, Jianye; Yang, Xiaoming] Shanghai Ocean Univ, Coll Marine Sci, Shanghai 201306, Peoples R China; [Li, Yunzhou] Ocean Univ China, Coll Fisheries, Qingdao 266003, Peoples R China; [Li, Yunzhou; Chen, Yong] Univ Maine, Sch Marine Sci, Orono, ME 04469 USA</t>
  </si>
  <si>
    <t>Shanghai Ocean University; Ocean University of China; University of Maine System; University of Maine Orono</t>
  </si>
  <si>
    <t>Tang, JY (corresponding author), Shanghai Ocean Univ, Coll Marine Sci, Shanghai 201306, Peoples R China.</t>
  </si>
  <si>
    <t>jytang@shou.edu.cn</t>
  </si>
  <si>
    <t>Li, Yunzhou/HDM-3957-2022</t>
  </si>
  <si>
    <t>Li, Yunzhou/0000-0002-0976-5582</t>
  </si>
  <si>
    <t>10.1016/j.marpol.2020.104002</t>
  </si>
  <si>
    <t>WOS:000541263600036</t>
  </si>
  <si>
    <t>Wendebourg, MR</t>
  </si>
  <si>
    <t>Wendebourg, Mara R.</t>
  </si>
  <si>
    <t>Southern Ocean fishery management - Is CCAMLR addressing the challenges posed by a changing climate?</t>
  </si>
  <si>
    <t>ANTARCTIC MARINE ECOSYSTEM; IMPLEMENTATION</t>
  </si>
  <si>
    <t>Climate change is having far reaching effects on the marine environment. Often considered a pristine and isolated region, the Southern Ocean is becoming increasingly more affected by the impacts of climate change. The legal framework governing fisheries and protecting the marine environment of the Southern Ocean is both global and regional. On the global level, most of the waters around Antarctica fall under the high seas regime of the United Nations Convention on Law of the Sea (UNCLOS), although seven states have asserted a claim to the territorial sea adjacent to their Antarctic territories under the Antarctic Treaty. On a regional level, the Convention for the Conservation of Antarctic Marine Living Resources (CCAMLR) manages fisheries. As climate change will inevitably have impacts on the Southern Ocean, it is important to assess how the current legal framework addresses this issue. The recommendations for climate change adaptation given by the Intergovernmental Panel on Climate Change (IPCC) are threefold: international cooperation, precautionary approach and ecosystem approach. By evaluating the extent to which these recommendations have been implemented in the global and regional legal frameworks, the flexibility and resilience to tackle climate change of the provisions can be assessed. On the global level, specific provisions from UNCLOS and the Fish Stock Agreement (FSA) provide for both the precautionary and ecosystem approaches. Regionally, CCAMLR has shown to be at the forefront in integrating the precautionary and ecosystem approaches in fishery management, providing an example of sustainable adaptation strategies for other Regional Fisheries Management Organizations (RFMOs).</t>
  </si>
  <si>
    <t>[Wendebourg, Mara R.] Kings Coll London, Dickson Poon Sch Law, Somerset House East Wing, London WC2R 2LS, England</t>
  </si>
  <si>
    <t>University of London; King's College London</t>
  </si>
  <si>
    <t>Wendebourg, MR (corresponding author), Kings Coll London, Dickson Poon Sch Law, Somerset House East Wing, London WC2R 2LS, England.</t>
  </si>
  <si>
    <t>mara.wendebourg@kcl.ac.uk</t>
  </si>
  <si>
    <t>Wendebourg, Mara/0000-0002-6104-5945</t>
  </si>
  <si>
    <t>10.1016/j.marpol.2020.103847</t>
  </si>
  <si>
    <t>WOS:000541263600005</t>
  </si>
  <si>
    <t>Détrée, C; Navarro, JM; Font, A; Gonzalez, M</t>
  </si>
  <si>
    <t>Detree, Camille; Navarro, Jorge M.; Font, Alejandro; Gonzalez, Marcelo</t>
  </si>
  <si>
    <t>Species vulnerability under climate change: Study of two sea urchins at their distribution margin</t>
  </si>
  <si>
    <t>Ocean warming; Trophic resources; Biodiversity redistribution; Energy metabolism; Gene expression</t>
  </si>
  <si>
    <t>LOXECHINUS-ALBUS ECHINODERMATA; MACROCYSTIS-PYRIFERA; ENVIRONMENTAL-STRESS; OCEAN ACIDIFICATION; REPRODUCTIVE-CYCLE; THERMAL TOLERANCE; FOOD AVAILABILITY; TEMPERATURE; RESPONSES; LIMITATION</t>
  </si>
  <si>
    <t>In order to develop powerful predictions on the impact of climate change on marine organisms, it is critical to understand how abiotic drivers such as temperature can directly and indirectly affect marine organisms. Here, we evaluated and compared the physiological vulnerability of the leading-edge populations of two species of sea urchins Loxechinus albus and Pseudechinus magellanicus in response to predicted ocean warming and food limitation. After exposing sea urchins to a 60-day experimental period to contrasting temperature (1 degrees C, 7 degrees C and 14 degrees C corresponding respectively to the actual average summer temperature in Antarctica, the control treatment temperature and the predicted future temperature in the Strait of Magellan) and diet levels (ad libitum or food limitation), sea urchin stress tolerance was assessed. Sea urchins' physiology was measured at the organismal and sub-cellular level by studying the organisms energy balance (behavior, growth, gonad index, ingestion rate, O-2 uptake, energy reserves) and the expression of genes associated with aerobic metabolism. Our results showed that at their distribution edge, and despite their distinct geographical repartition, both species might be resilient to ocean warming. However, the combination of ocean warming and food limitation reduced the stress tolerance of sea urchins. In a warming ocean, another strategy could be to migrate toward the pole to a cooler environment but incubation at 1 degrees C resulted in a diminution of both species' aerobic scope. Overall, if these engineer species are unable to acclimate to food limitation under future climate, population fitness could be affected with ecological and economic consequences.</t>
  </si>
  <si>
    <t>[Detree, Camille; Navarro, Jorge M.] Ctr FONDAP Invest Ecosistemas Marinos Altas Latit, Valdivia, Chile; [Detree, Camille; Navarro, Jorge M.] Univ Austral Chile, Fac Ciencias, Inst Ciencias Marinas &amp; Limnol, Valdivia, Chile; [Font, Alejandro; Gonzalez, Marcelo] Chilean Antarctic Inst, Sci Dept, Plaza Munoz Gamero, Punta Arenas, Chile</t>
  </si>
  <si>
    <t>Universidad Austral de Chile</t>
  </si>
  <si>
    <t>Détrée, C (corresponding author), Ctr FONDAP Invest Ecosistemas Marinos Altas Latit, Valdivia, Chile.</t>
  </si>
  <si>
    <t>camille.detree@gmail.com</t>
  </si>
  <si>
    <t>Detree, Camille/P-7073-2019; González, Marcelo/ABF-1450-2020</t>
  </si>
  <si>
    <t>Detree, Camille/0000-0001-5518-2380</t>
  </si>
  <si>
    <t>Center FONDAP-IDEAL [15150003]; CONICYT-Chile</t>
  </si>
  <si>
    <t>Center FONDAP-IDEAL; CONICYT-Chile(Comision Nacional de Investigacion Cientifica y Tecnologica (CONICYT))</t>
  </si>
  <si>
    <t>Funding was provided by Center FONDAP-IDEAL #15150003 awarded by CONICYT-Chile. We would like to thank JC Leclerc for his assistance with the statistical analysis (using PRIMER) and the scientific discussions and comments that greatly improved an earlier version of the manuscript.</t>
  </si>
  <si>
    <t>10.1016/j.scitotenv.2020.138850</t>
  </si>
  <si>
    <t>LZ1RD</t>
  </si>
  <si>
    <t>WOS:000541006000009</t>
  </si>
  <si>
    <t>Lai, JT; Anders, AM</t>
  </si>
  <si>
    <t>Lai, Jingtao; Anders, Alison M.</t>
  </si>
  <si>
    <t>Tectonic controls on rates and spatial patterns of glacial erosion through geothermal heat flux</t>
  </si>
  <si>
    <t>EARTH AND PLANETARY SCIENCE LETTERS</t>
  </si>
  <si>
    <t>landscape evolution; glacial erosion; numerical modeling; geothermal heat</t>
  </si>
  <si>
    <t>ANTARCTIC ICE SHEETS; LANDSCAPE EVOLUTION; FLOW; MODEL; HYDROLOGY; PRESSURE; CLIMATE; RELIEF</t>
  </si>
  <si>
    <t>Glacial erosion has shaped many mountain belts during the cold periods of the Late Cenozoic. The rate of glacial erosion is sensitive to the subglacial environment, including both the subglacial hydrology and the basal thermal regime. Geothermal heat from underlying bedrock is a major contributor to glacier energy budgets, controlling ice dynamics at the ice-bed interface by changing the basal temperature and the supply of meltwater. Despite the known influence of geothermal heat on the subglacial environment, its impact on glacial erosion has received little study. The geothermal heat flux in glaciated mountain ranges varies widely as a function of the tectonic setting. Therefore, if glacial erosion is sensitive to geothermal heat flux, the evolution of glaciated landscapes may depend upon tectonically-controlled geothermal gradients. We explore the impact of geothermal heat flux on the rates and spatial patterns of glacial erosion in mountain ranges using numerical models. We couple a sliding-dependent glacial erosion model with the Parallel Ice Sheet Model (PISM) to simulate the evolution of a synthetic glacial landscape. We find a robust tendency for increasing glacial erosion with increasing geothermal heat flux. The spatial pattern of erosion also varies with the magnitude of geothermal heat flux. At low geothermal heat flux, glacial erosion is consistently focused in major valleys. As geothermal heat flux increases, the area of significant glacial erosion expands into higher elevations and the rate of erosion increases. The location of maximum erosion migrates up-valley as geothermal heat flux increases, suggesting that glacial erosion tends to produce distinct landscapes as a function of geothermal heat flux. Our finding suggests that active mountain belts with high geothermal heat flux will express the glacial buzzsaw effect, in which high elevation topography is preferentially removed by glacial erosion. Glaciers at passive margins with low geothermal heat flux, in contrast, will tend to incise deep valleys at relatively low elevations. Previous work on the interaction between tectonics and landscape evolution has focused on relief generation and fracturing of rocks. Our results introduce a novel potential linkage between tectonics and erosion based on the sensitivity of glacial erosion to geothermal heat. (C) 2020 Elsevier B.V. All rights reserved.</t>
  </si>
  <si>
    <t>[Lai, Jingtao; Anders, Alison M.] Univ Illinois, Dept Geol, Champaign, IL 61820 USA</t>
  </si>
  <si>
    <t>University of Illinois System; University of Illinois Urbana-Champaign</t>
  </si>
  <si>
    <t>Lai, JT (corresponding author), Univ Illinois, Dept Geol, Champaign, IL 61820 USA.</t>
  </si>
  <si>
    <t>jlai11@illinois.edu</t>
  </si>
  <si>
    <t>Anders, Alison/I-3635-2016</t>
  </si>
  <si>
    <t>Anders, Alison/0000-0002-7597-5465; Lai, Jingtao/0000-0001-9745-150X</t>
  </si>
  <si>
    <t>0012-821X</t>
  </si>
  <si>
    <t>1385-013X</t>
  </si>
  <si>
    <t>EARTH PLANET SC LETT</t>
  </si>
  <si>
    <t>Earth Planet. Sci. Lett.</t>
  </si>
  <si>
    <t>10.1016/j.epsl.2020.116348</t>
  </si>
  <si>
    <t>LY3UB</t>
  </si>
  <si>
    <t>WOS:000540452500010</t>
  </si>
  <si>
    <t>Evangelinos, D; Escutia, C; Etourneau, J; Hoem, F; Bijl, P; Boterblom, W; van de Flierdt, T; Valero, L; Flores, JA; Rodriguez-Tovar, FJ; Jimenez-Espejo, FJ; Salabarnada, A; López-Quirós, A</t>
  </si>
  <si>
    <t>Evangelinos, Dimitris; Escutia, Carlota; Etourneau, Johan; Hoem, Frida; Bijl, Peter; Boterblom, Wilrieke; van de Flierdt, Tina; Valero, Luis; Flores, Jose-Abel; Rodriguez-Tovar, Francisco J.; Jimenez-Espejo, Francisco J.; Salabarnada, Ariadna; Lopez-Quiros, Adrian</t>
  </si>
  <si>
    <t>Late Oligocene-Miocene proto-Antarctic Circumpolar Current dynamics off the Wilkes Land margin, East Antarctica</t>
  </si>
  <si>
    <t>GLOBAL AND PLANETARY CHANGE</t>
  </si>
  <si>
    <t>ACC; CDW; Wilkes Land; DSDP 269; Late Oligocene-Miocene</t>
  </si>
  <si>
    <t>WALLED DINOFLAGELLATE CYSTS; SOUTHERN-OCEAN CIRCULATION; DIGITAL IMAGE TREATMENT; ICE-SHEET; ROSS SEA; ICHNOLOGICAL ANALYSIS; GDGT DISTRIBUTIONS; SHACKLETON SITE; WATER-COLUMN; TRACE FOSSIL</t>
  </si>
  <si>
    <t>At present, the Southern Ocean plays an important role in the global climate system and in modern Antarctic ice sheet dynamics. Past Southern Ocean configurations are however poorly understood. This information is yet important as it may provide important insights into the climate system and past ice-sheet behavior under warmer than present day climates. Here we study Southern Ocean dynamics during the Oligocene and Miocene when reconstructed atmospheric CO2 concentrations were similar to those expected during this century. We reconstruct snapshots of late Oligocene to earliest Miocene (similar to 24.2-23 Ma) paleoceanographic conditions in the East Antarctic Wilkes Land abyssal plain. For this, we combine marine sedimentological, geochemical (X-ray fluorescence, TEX86), palynological and isotopic (epsilon(Nd)) records from ocean sediments recovered at Deep Sea Drilling Project (DSDP) Site 269. Overall, we find that sediments, delivered to the site by gravity flows and hemipelagic settling during glacial-interglacial cycles, were persistently reworked by a proto-Circumpolar Deep Water (CDW) with varying strengths that result from climatically controlled frontal system migrations. Just prior to 24 Ma, terrigenous input of predominantly fine-grained sediments deposited under weak proto-CDW intensities and poorly ventilated bottom conditions dominates. In comparison, 24 Ma marks the start of episodic events of enhanced proto-CDW current velocities, associated with coarse-grained deposits and better-ventilated bottom conditions. In particular, the dominance of P-cyst and low Calcium (Ca) in the sediments between similar to 24.2 Ma and 23.6 Ma indicate the presence of an active open ocean upwelling associated with high nutrient conditions. This is supported by TEX86-derived sea surface temperature (SST) data pointing to cool ocean conditions. From similar to 23.6 to 23.2 Ma, our records reveal an enrichment of Ca in the sediments related to increased calcareous microfossil preservation, high amounts of G-cysts and increasing TEX86-SSTs. This implies warmer water masses reaching the Antarctic margin as the polar front migrated southward. Together with the radiogenic Nd isotope data indicating modern-like CDW values, our records suggest a prominent poleward expansion of proto-CDW over our study site and reduced AABW formation during the latest Oligocene (i.e. similar to 23.2 Ma ago). Our findings support the notion of a fundamentally different Southern Ocean, with a weaker proto-ACC than present during the late Oligocene and the earliest Miocene.</t>
  </si>
  <si>
    <t>[Evangelinos, Dimitris; Escutia, Carlota; Etourneau, Johan; Jimenez-Espejo, Francisco J.; Salabarnada, Ariadna; Lopez-Quiros, Adrian] Univ Granada, Inst Andaluz Ciencias Tierra, CSIC, Av Palmeras 4, Armilla 18100, Spain; [Etourneau, Johan] PSL Univ, EPHE, Paris, France; [Etourneau, Johan] Univ Bordeaux, CNRS, EPOC, UMR 5805, Bordeaux, France; [Hoem, Frida; Bijl, Peter; Boterblom, Wilrieke] Univ Utrecht, Fac Sci, Inst Environm Biol, Lab Palaeobot &amp; Palynol,Palaeoecol, Budapestlann 4, NL-3584 CD Utrecht, Netherlands; [van de Flierdt, Tina] Dept Earth Sci &amp; Engn, South Kensington Campus, London SW7 2AZ, England; [Valero, Luis] Univ Geneva, Dept Sci Terre, Rue Maraichers 13, CH-1205 Geneva, Switzerland; [Flores, Jose-Abel] Univ Salamanca, Dept Geol, Salamanca 37008, Spain; [Rodriguez-Tovar, Francisco J.] Univ Granada, Fac Ciencias, Dept Estratig &amp; Paleontol, Granada 18002, Spain</t>
  </si>
  <si>
    <t>Consejo Superior de Investigaciones Cientificas (CSIC); CSIC - Instituto Andaluz de Ciencias de la Tierra (IACT); University of Granada; Universite PSL; Ecole Pratique des Hautes Etudes (EPHE); Universite de Bordeaux; Centre National de la Recherche Scientifique (CNRS); CNRS - National Institute for Earth Sciences &amp; Astronomy (INSU); Utrecht University; University of Geneva; University of Salamanca; University of Granada</t>
  </si>
  <si>
    <t>Evangelinos, D (corresponding author), Univ Granada, Inst Andaluz Ciencias Tierra, CSIC, Av Palmeras 4, Armilla 18100, Spain.</t>
  </si>
  <si>
    <t>dimevangelinos@correo.ugr.es</t>
  </si>
  <si>
    <t>Roset, Ariadna Salabarnada/L-8798-2014; Evangelinos, Dimitris/ABH-5910-2020; Jimenez-Espejo, Francisco J./AAR-2318-2020; VALERO, LUIS/ABA-2245-2021; Flores, José-Abel/D-4218-2009; López Quirós, Adrián/K-6513-2017; Escutia, Carlota/B-8614-2015; Jimenez-Espejo, Francisco J/F-4486-2016; Evagelinos, Dimitris/ISU-3607-2023</t>
  </si>
  <si>
    <t>Roset, Ariadna Salabarnada/0000-0003-2239-2538; Evangelinos, Dimitris/0000-0002-4978-3056; VALERO, LUIS/0000-0003-1356-721X; Flores, José-Abel/0000-0003-1909-293X; López Quirós, Adrián/0000-0002-7522-2834; Jimenez-Espejo, Francisco J/0000-0002-0335-8580; Salabarnada, Ariadna/0000-0003-0858-8083</t>
  </si>
  <si>
    <t>NERC [NE/L004607/1, NE/I006257/1] Funding Source: UKRI</t>
  </si>
  <si>
    <t>NERC(UK Research &amp; Innovation (UKRI)Natural Environment Research Council (NERC))</t>
  </si>
  <si>
    <t>0921-8181</t>
  </si>
  <si>
    <t>1872-6364</t>
  </si>
  <si>
    <t>GLOBAL PLANET CHANGE</t>
  </si>
  <si>
    <t>Glob. Planet. Change</t>
  </si>
  <si>
    <t>10.1016/j.gloplacha.2020.103221</t>
  </si>
  <si>
    <t>Geography, Physical; Geosciences, Multidisciplinary</t>
  </si>
  <si>
    <t>Physical Geography; Geology</t>
  </si>
  <si>
    <t>LX9XD</t>
  </si>
  <si>
    <t>WOS:000540178200016</t>
  </si>
  <si>
    <t>Gallagher, SJ; Wade, B; Li, QY; Holdgate, GR; Bown, P; Korasidis, VA; Scher, H; Houben, AJP; McGowran, B; Allan, T</t>
  </si>
  <si>
    <t>Gallagher, Stephen J.; Wade, Bridget; Li Qianyu; Holdgate, Guy R.; Bown, Paul; Korasidis, Vera A.; Scher, Howie; Houben, Alexander J. P.; McGowran, Brian; Allan, Tony</t>
  </si>
  <si>
    <t>Eocene to Oligocene high paleolatitude neritic record of Oi-1 glaciation in the Otway Basin southeast Australia</t>
  </si>
  <si>
    <t>Eocene; Oligocene; Oi-1; EOT-1; Greenhouse; Icehouse; Southeast Australia</t>
  </si>
  <si>
    <t>CALCAREOUS NANNOFOSSILS; PALEOENVIRONMENTAL EVOLUTION; FORAMINIFERAL BIOFACIES; ISOTOPE STRATIGRAPHY; GLOBAL CLIMATE; TRANSITION; ONSET; OCEAN; BIOSTRATIGRAPHY; GREENHOUSE</t>
  </si>
  <si>
    <t>Multiple stable isotope investigations from upper Eocene to lower Oligocene deep-water marine sequences record the transition from global greenhouse to the icehouse conditions (Oi-1 glacial). While Southern Ocean high latitude deep sea records of this transition are well known, their shallow marine equivalents are rare and have the potential to record the eustatic and oceanic consequences of Paleogene glacial variability. The well-known high paleolatitude (similar to 55 degrees S) neritic carbonate sequence at Browns Creek and Castle Cove in the Otway Basin in southeast Australia spans the Eocene-Oligocene boundary. During this time the area lay on the northeastern margin of the Australo-Antarctic Gulf facing the evolving Southern Ocean. The importance of this record has been hampered by a lack of a consistent stratigraphy and contradictory microfossil interpretations. To reconcile these issues we combine new bio-, chemo- and lithostratigraphic analyses of the outcrops and a new core (Colac-2) with pre-existing data to revise the stratigraphy. This confirms the middle/upper Eocene boundary is near the base of the section. The overlying upper Eocene siliciclastic strata are truncated by an unconformity (of similar to 0.8 Ma in duration) and overlain by glauconitic sand (the Notrostrea greensand) deposited after similar to 35.9 Ma. Subsequently deepening to middle to outer neritic depths deposited cyclic carbonates. Shallowing after similar to 35 Ma deposited laterally variable calcareous siliciclastic facies. These strata were tilted and eroded prior to 34 Ma leading to shallow water facies that may have been subaerially exposed during uplift. Brachiopod strontium isotope dates and an 0.5 parts per thousand carbon isotope excursion above this unconformity suggests the top of the Browns Creek and the base of the Castle Cove section correlate to Eocene-Oligocene transition (EOT-1) at similar to 34 Ma. The subsequent persistence of positive C/O isotope values above this level records the transition to the Oi-1 glaciation at similar to 33.7 Ma. Strong cyclicity in the inner shelf Castle Cove limestone is interpreted to record the commencement of obliquity dominated glacio-eustacy during the Oi-1 glacial phase. The shallowing from outer to inner shelf palaeodepths from the late Eocene to the early Oligocene is likely related to the onset of cryosphere expansion, however, palaeodepth estimates are complicated by the onset of regional compressional tectonism at the Eocene/Oligocene boundary that caused localized tilting and an unconformity with possible antisiphoning effects in this near-field site.</t>
  </si>
  <si>
    <t>[Gallagher, Stephen J.; Holdgate, Guy R.; Korasidis, Vera A.] Univ Melbourne, Sch Earth Sci, Melbourne, Vic 3010, Australia; [Wade, Bridget; Bown, Paul] UCL, Dept Earth Sci, Gower St, London WC1E 6BT, England; [Li Qianyu] Tongji Univ, Sch Ocean &amp; Earth Sci, Shanghai 200092, Peoples R China; [Scher, Howie] Univ South Carolina, Sch Earth Ocean &amp; Environm, 701 Sumter St,EWS 617, Columbia, SC 29208 USA; [Houben, Alexander J. P.] Univ Utrecht, Fac Geosci, Dept Earth Sci, Lab Palaeobot &amp; Palynol,Marine Palynol &amp; Paleocea, Utrecht, Netherlands; [McGowran, Brian] Univ Adelaide, Sch Earth &amp; Environm Sci, Mawson DX 650 313, Adelaide, SA 5005, Australia; [Allan, Tony] CSIRO Energy, 11 Julius Ave, N Ryde, NSW 2113, Australia; [Korasidis, Vera A.] Smithsonian Inst, Dept Paleobiol, Natl Museum Nat Hist, Washington, DC 20013 USA; [Houben, Alexander J. P.] Geol Survey Netherlands TNO, Utrecht, Netherlands</t>
  </si>
  <si>
    <t>University of Melbourne; Melbourne Bioinformatics; University of London; University College London; Tongji University; University of South Carolina System; University of South Carolina Columbia; Utrecht University; University of Adelaide; Commonwealth Scientific &amp; Industrial Research Organisation (CSIRO); Smithsonian Institution; Smithsonian National Museum of Natural History; Netherlands Organization Applied Science Research</t>
  </si>
  <si>
    <t>Gallagher, SJ (corresponding author), Univ Melbourne, Sch Earth Sci, Melbourne, Vic 3010, Australia.</t>
  </si>
  <si>
    <t>sjgall@unimelb.edu.au</t>
  </si>
  <si>
    <t>Wade, Bridget S/F-4987-2014; Gallagher, Stephen/AFL-9448-2022; li, qianyu/GXV-6594-2022; Scher, Howie/C-4927-2013; Bown, Paul/C-5235-2011</t>
  </si>
  <si>
    <t>Wade, Bridget S/0000-0002-7245-8614; Gallagher, Stephen/0000-0002-5593-2740; Bown, Paul/0000-0001-6777-4463; Korasidis, Vera/0000-0002-2921-5641</t>
  </si>
  <si>
    <t>ARC Basins Genesis Hub [IH130200012]; Natural Environment Research Council [NE/G014817]; ARC [DP0558150]; Australian Research Council [DP0558150] Funding Source: Australian Research Council; NERC [NE/G014817/2] Funding Source: UKRI</t>
  </si>
  <si>
    <t>ARC Basins Genesis Hub; Natural Environment Research Council(UK Research &amp; Innovation (UKRI)Natural Environment Research Council (NERC)); ARC(Australian Research Council); Australian Research Council(Australian Research Council); NERC(UK Research &amp; Innovation (UKRI)Natural Environment Research Council (NERC))</t>
  </si>
  <si>
    <t>Funding was provided by the ARC Basins Genesis Hub (IH130200012) and ARC DP0558150 to S.J.G. B.W was supported by Natural Environment Research Council grant NE/G014817. We thank Charles Abele for allowing the authors access to his samples. We are grateful to Neville Exon who facilitated the coring of Colac-2. We thank two anonymous reviewers and the editor Alan Haywood for their constructive reviews.</t>
  </si>
  <si>
    <t>RADARWEG 29a, 1043 NX AMSTERDAM, NETHERLANDS</t>
  </si>
  <si>
    <t>10.1016/j.gloplacha.2020.103218</t>
  </si>
  <si>
    <t>WOS:000540178200013</t>
  </si>
  <si>
    <t>Zaffarana, CB; Lagorio, SL; Gallastegui, G; Worner, G; Orts, DL; Gregori, D; Poma, S; Busteros, A; Giacosa, R; Nieto, DS; Gonzalez, VR; Boltshauser, B; Negre, CP; Haller, M</t>
  </si>
  <si>
    <t>Beatriz Zaffarana, Claudia; Leonor Lagorio, Silvia; Gallastegui, Gloria; Worner, Gerhard; Leandro Orts, Dario; Gregori, Daniel; Poma, Stella; Busteros, Alicia; Giacosa, Raul; Silva Nieto, Diego; Ruiz Gonzalez, Victor; Boltshauser, Barbara; Puigdomenech Negre, Carla; Haller, Miguel</t>
  </si>
  <si>
    <t>Petrogenetic study of the Lonco Trapial volcanism and its comparison with the Early-Middle Jurassic magmatic units from northern Patagonia</t>
  </si>
  <si>
    <t>JOURNAL OF SOUTH AMERICAN EARTH SCIENCES</t>
  </si>
  <si>
    <t>NEUQUEN BASIN; ANTARCTIC PENINSULA; SILICIC VOLCANISM; SUBDUCTION ZONE; MANTLE PLUME; DYKE SWARM; BREAK-UP; EVOLUTION; ROCKS; MASSIF</t>
  </si>
  <si>
    <t>One of the largest silicic igneous provinces of the world, the Chon Aike Volcanic Province, is related to an extensional regime developed in Patagonia in Early to Middle Jurassic times. This work presents new geochemical analyses for major and trace elements from different units in the central domain of northern Patagonia, units known as Lonco Trapial and Garamilla formations. Additionally, some samples were analyzed from the Piltriquitron and Lago La Plata formations in the western domain of northern Patagonia. One new U-Pb age of a rhyolitic dike (177.26 +/- 0.96 Ma) and new Rb-Sr and Sm-Nd determinations from the Lonco Trapial Formation are also presented in this work. Results presented here fill a gap in geochemical data for the area with respect to the temporal and spatial coverage of the Chon Aike Volcanic Province in northern Patagonia. Our comparative study shows that all Early-Middle Jurassic igneous rocks from this area have mixed characteristics between slab-derived subduction-related settings and intraplate magmas. In the central domain melting must have involved both mantle and lower crust, so that a mixed source is envisaged. Ascent to shallow crustal levels with subsequent low-pressure differentiation followed by assimilation could explain the geochemical features of Lonco Trapial magmas from andesites to subordinated rhyolites. The arc signature of Lonco Trapial magmas located far from the volcanic arc is considered as the result of decompression melting of mantle enriched by previous subduction events rather than by contemporaneous Early Jurassic subduction involving additional contributions of crustal materials. Upper crustal contamination was facilitated by eastwards increasing crustal thicknesses, so Lonco Trapial magmas had to traverse a thicker crust on their way to the surface.</t>
  </si>
  <si>
    <t>[Beatriz Zaffarana, Claudia; Leandro Orts, Dario; Boltshauser, Barbara] Univ Nacl Rio Negro, Inst Invest Paleobiol &amp; Geol, Gen Roca, Rio Negro, Argentina; [Beatriz Zaffarana, Claudia; Leandro Orts, Dario; Gregori, Daniel; Poma, Stella; Ruiz Gonzalez, Victor; Boltshauser, Barbara; Puigdomenech Negre, Carla; Haller, Miguel] Consejo Nacl Invest Cient &amp; Tecn, Buenos Aires, DF, Argentina; [Leonor Lagorio, Silvia; Busteros, Alicia; Giacosa, Raul; Silva Nieto, Diego] Serv Geol &amp; Minero Argentino SEGEMAR, Villa Maipu, Argentina; [Gallastegui, Gloria] Inst Geol &amp; Minero Espana IGME, Oviedo, Spain; [Worner, Gerhard] Georg August Univ Gottingen, Dept Geochem, Gottingen, Germany; [Gregori, Daniel] Univ Nacl Sur UNS, Bahia Blanca, Buenos Aires, Argentina; [Poma, Stella; Ruiz Gonzalez, Victor; Puigdomenech Negre, Carla] Univ Buenos Aires UBA, Buenos Aires, DF, Argentina; [Haller, Miguel] Univ Nacl Patagonia San Juan Bosco, Puerto Madryn, Argentina</t>
  </si>
  <si>
    <t>Consejo Nacional de Investigaciones Cientificas y Tecnicas (CONICET); University of Gottingen; National University of the South; University of Buenos Aires; Universidad Nacional de la Patagonia San Juan Bosco</t>
  </si>
  <si>
    <t>Zaffarana, CB (corresponding author), Univ Nacl Rio Negro, Inst Invest Paleobiol &amp; Geol, Gen Roca, Rio Negro, Argentina.</t>
  </si>
  <si>
    <t>czaffarana@unrn.edu.ar</t>
  </si>
  <si>
    <t>Ruiz González, Víctor/JXX-2358-2024; Worner, Gerhard/GOE-5188-2022; Gregori, Daniel/ABB-5770-2020</t>
  </si>
  <si>
    <t>Ruiz González, Víctor/0000-0003-4456-5321; Zaffarana, Claudia/0000-0002-3655-2814; Gregori, Daniel/0000-0003-2345-1878; Orts, Dario Leandro/0000-0002-9789-0606</t>
  </si>
  <si>
    <t>PIP CONICET [112-200901-00766, PICT 2014-1394]; Torandes Project from the Plan de I + D + i Espanol [CGL 2012-38396-C03]; UE-FEDER funds; Universidad Nacional de Rio Negro [PI40A-547, PI-40A-631]</t>
  </si>
  <si>
    <t>PIP CONICET(Consejo Nacional de Investigaciones Cientificas y Tecnicas (CONICET)); Torandes Project from the Plan de I + D + i Espanol; UE-FEDER funds; Universidad Nacional de Rio Negro</t>
  </si>
  <si>
    <t>This work was financed with PIP CONICET 112-200901-00766, PICT 2014-1394 and with the Torandes Project (CGL 2012-38396-C03) from the Plan de I + D + i Espanol with UE-FEDER funds and the projects PI40A-547 and PI-40A-631 from the Universidad Nacional de Rio Negro. Special thanks are given to Maria Helena Hollanda for helping with the geochemical analysis of some samples at Acmelabs. Thanks are given to Dr. Alberto Saal for his valuable comments which helped to improve this manuscript. We would like to thank the landowners who kindly permitted us to study the rocks of their field. Special thanks are given to Carlos Rapela and to Gabriela Massaferro for their valuable suggestions which greatly helped to improve this manuscript. We want to dedicate this work to the memory of our mentor and friend Ruben Somoza.</t>
  </si>
  <si>
    <t>0895-9811</t>
  </si>
  <si>
    <t>1873-0647</t>
  </si>
  <si>
    <t>J S AM EARTH SCI</t>
  </si>
  <si>
    <t>J. South Am. Earth Sci.</t>
  </si>
  <si>
    <t>10.1016/j.jsames.2020.102624</t>
  </si>
  <si>
    <t>LW8CK</t>
  </si>
  <si>
    <t>WOS:000539370500030</t>
  </si>
  <si>
    <t>Navarrete, C; Butler, KL; Hurley, M; Márquez, M</t>
  </si>
  <si>
    <t>Navarrete, C.; Butler, K. L.; Hurley, M.; Marquez, M.</t>
  </si>
  <si>
    <t>An early Jurassic graben caldera of Chon Aike silicic LIP at the southernmost massif of the world: The Deseado caldera, Patagonia, Argentina</t>
  </si>
  <si>
    <t>Chon aike silicic LIP; Jurassic; Patagonia; Graben caldera</t>
  </si>
  <si>
    <t>LARGE IGNEOUS PROVINCES; IGNIMBRITE FLARE-UP; PIECEMEAL CALDERA; BREAK-UP; ANTARCTIC PENINSULA; WATER CONCENTRATION; GLENCOE VOLCANO; VEIN SYSTEM; SANTA-CRUZ; MAGMA</t>
  </si>
  <si>
    <t>Detailed geological mapping of 900 km(2), newly defined volcanic and volcaniclastic lithofacies, multiple stratigraphic profiles, and a new zircon U/Pb eruption age (178.7 +/- 1.9 Ma) describe an early Jurassic extensional-related piece-meal collapsed graben caldera in the eastern sector of Deseado Massif, at southern Patagonia. This volcano-tectonic structure, here referred to as The Deseado Caldera, collapsed at least twice controlled by two major NW-striking normal faults, during which a large acidic ignimbrite (predominantly moderate to extremely high-grade) and co-ignimbrite lag breccias were extruded through multiple NW-fissure vents. During the two post-collapse periods, alluvial fans, lagoons and laharic sedimentary environments re-worked the infra-caldera volcaniclastic deposits. Finally, numerous elongated and aligned rhyolitic lava domes and dykes were emplaced during the final magmatic resurgence stage. This caldera represents the first clear evidence of the extensional tectonic regime influence, associated with the inception of Gondwana breakup, on the eruptive mechanisms of the Jurassic Chon Aike Silicic LIP in the Deseado Massif.</t>
  </si>
  <si>
    <t>[Navarrete, C.; Marquez, M.] Univ Nacl La Patagonia San Juan Bosco, Lab Patagon Petro Tecton, Comodoro Rivadavia, Argentina; [Butler, K. L.] Univ Texas Austin, Dept Geol Sci, Jackson Sch Geosci, Austin, TX 78712 USA; [Butler, K. L.] Univ Texas Austin, Inst Geophys, Jackson Sch Geosci, Austin, TX 78712 USA; [Hurley, M.] Univ Buenos Aires, FCEN, Inst Estudios Andino Don Pablo Groeber, Dept Ciencias Geol,UBA,CONICET, Buenos Aires, DF, Argentina</t>
  </si>
  <si>
    <t>University of Texas System; University of Texas Austin; University of Texas System; University of Texas Austin; University of Buenos Aires; Consejo Nacional de Investigaciones Cientificas y Tecnicas (CONICET)</t>
  </si>
  <si>
    <t>Navarrete, C (corresponding author), Univ Nacl La Patagonia San Juan Bosco, Lab Patagon Petro Tecton, Comodoro Rivadavia, Argentina.</t>
  </si>
  <si>
    <t>cesarnavarrete@live.com.ar</t>
  </si>
  <si>
    <t>Navarrete, Cesar/0000-0001-7106-3672</t>
  </si>
  <si>
    <t>Universidad Nacional de la Patagonia San Juan Bosco (UNPSJB); Instituto de Estudios Andinos Don Pablo Groeber (IDEAN) of Universidad de Buenos Aires (UBA); CIUNPAT [1331]</t>
  </si>
  <si>
    <t>Universidad Nacional de la Patagonia San Juan Bosco (UNPSJB); Instituto de Estudios Andinos Don Pablo Groeber (IDEAN) of Universidad de Buenos Aires (UBA); CIUNPAT</t>
  </si>
  <si>
    <t>The authors wish to acknowledge the support received by the Universidad Nacional de la Patagonia San Juan Bosco (UNPSJB) and the Instituto de Estudios Andinos Don Pablo Groeber (IDEAN) of Universidad de Buenos Aires (UBA). Furthermore, the authors thank the corrections and suggestions of Dr. Pablo Rossel and an anonymous reviewer. This work was partially financed with the CIUNPAT No 1331 (UNPSJB) project. This paper is dedicated to Isabella Navarrete Calvo.</t>
  </si>
  <si>
    <t>10.1016/j.jsames.2020.102626</t>
  </si>
  <si>
    <t>WOS:000539370500032</t>
  </si>
  <si>
    <t>Genge, MJ; Van Ginneken, M; Suttle, MD</t>
  </si>
  <si>
    <t>Genge, Matthew J.; Van Ginneken, Matthias; Suttle, Martin D.</t>
  </si>
  <si>
    <t>Micrometeorites: Insights into the flux, sources and atmospheric entry of extraterrestrial dust at Earth</t>
  </si>
  <si>
    <t>PLANETARY AND SPACE SCIENCE</t>
  </si>
  <si>
    <t>Micrometeorites; Meteors; Interplanetary dust; Asteroids; Comets</t>
  </si>
  <si>
    <t>FINE-GRAINED MICROMETEORITES; COSMIC SPHERULES; ANTARCTIC MICROMETEORITES; TRANSANTARCTIC MOUNTAINS; ACCRETION RATE; CHONDRITIC MICROMETEORITES; ISOTOPIC COMPOSITIONS; COMET 81P/WILD-2; SOLAR-SYSTEM; OXYGEN</t>
  </si>
  <si>
    <t>Micrometeorites (MMs) provide constraints on the flux and sources of extraterrestrial dust falling on Earth as well as recording the processes occurring during atmospheric entry. Collections of micrometeorites have been recovered from a wide variety of environments including Antarctic moraine, rock traps, ice and snow and on roof tops in urban areas. Studies of the mineralogy and composition of MMs suggest that most particles (&gt;98%) &gt;50 pm in diameter have asteroidal sources, whilst similar to 50% of particles smaller than 50 mu m are likely to be derived from comets. The relative abundance of S(IV)-type asteroid materials, similar to ordinary chondrites increases with size, although C-type asteroidal materials, similar to carbonaceous chondrites dominate over all. Although MMs provide excellent evidence on the nature and abundance of extraterrestrial dust at the Earth's orbit they are not without bias and uncertainty. Mineralogical and compositional change during atmospheric entry makes the exact nature of their precursors uncertain complicating evaluation of source beyond basic classes of material. This is particularly true at larger sizes when complete melting to form cosmic spherules occurs, however, unmelted MMs &gt;50 mu m in size are also often thermally altered. Mixing with atmospheric oxygen and mass fractionation by evaporation furthermore complicates the use of oxygen isotope compositions in identifying parent bodies. All MM collections are suggested to exhibit biases owing to: (1) collection method, (2) terrestrial weathering, (3) terrestrial contamination, and (4) erosion and deposition by terrestrial surface processes. Even in the least biased collections, those collected by dedicated melting of Antarctic snow, erosive loss of material is suggested here to make fluxes uncertain by factors of up to similar to 2. The abundance of asteroid-derived MMs observed in collections contradicts models of the orbital evolution of interplanetary dust to Earth, which suggests &gt;70% should be provided by comets.</t>
  </si>
  <si>
    <t>[Genge, Matthew J.] Imperial Coll London, Dept Earth Sci &amp; Engn, Exhibit Rd, London SW7 2AZ, England; [Van Ginneken, Matthias] Univ Kent, Dept Phys, Canterbury, Kent, England; [Genge, Matthew J.; Suttle, Martin D.] Nat Hist Museum, Dept Earth Sci, Planetary Mat Grp, Cromwell Rd, London SW7 2BD, England</t>
  </si>
  <si>
    <t>Imperial College London; University of Kent; Natural History Museum London</t>
  </si>
  <si>
    <t>Genge, MJ (corresponding author), Imperial Coll London, Dept Earth Sci &amp; Engn, Exhibit Rd, London SW7 2AZ, England.</t>
  </si>
  <si>
    <t>m.genge@imperial.ac.uk</t>
  </si>
  <si>
    <t>Van Ginneken, Matthias/AFQ-5594-2022</t>
  </si>
  <si>
    <t>Van Ginneken, Matthias/0000-0002-2508-7021; Suttle, Martin/0000-0001-7165-2215</t>
  </si>
  <si>
    <t>Science and Technology Facilities Council (STFC) [ST/N000803/1]; STFC [ST/N000803/1] Funding Source: UKRI</t>
  </si>
  <si>
    <t>Science and Technology Facilities Council (STFC)(UK Research &amp; Innovation (UKRI)Science &amp; Technology Facilities Council (STFC)Science and Technology Development Fund (STDF)); STFC(UK Research &amp; Innovation (UKRI)Science &amp; Technology Facilities Council (STFC))</t>
  </si>
  <si>
    <t>This research was funded by the Science and Technology Facilities Council (STFC) on grant ST/N000803/1.</t>
  </si>
  <si>
    <t>0032-0633</t>
  </si>
  <si>
    <t>PLANET SPACE SCI</t>
  </si>
  <si>
    <t>Planet Space Sci.</t>
  </si>
  <si>
    <t>10.1016/j.pss.2020.104900</t>
  </si>
  <si>
    <t>Astronomy &amp; Astrophysics</t>
  </si>
  <si>
    <t>LW5AU</t>
  </si>
  <si>
    <t>WOS:000539160200017</t>
  </si>
  <si>
    <t>Li, YF; Huang, J; Li, Z; Zheng, K</t>
  </si>
  <si>
    <t>Li, Yuefang; Huang, Ju; Li, Zhen; Zheng, Kui</t>
  </si>
  <si>
    <t>Atmospheric pollution revealed by trace elements in recent snow from the central to the northern Tibetan Plateau</t>
  </si>
  <si>
    <t>Trace elements; EF values; Spatial distribution pattern; Pollution; Tibetan glaciers</t>
  </si>
  <si>
    <t>HEAVY-METALS; ICE-CORE; SEASONAL-VARIATIONS; ANTHROPOGENIC LEAD; ANTARCTIC SNOW; CENTRAL-ASIA; RECORD; ENRICHMENT; DEPOSITION; EMISSIONS</t>
  </si>
  <si>
    <t>In order to determine the current levels, spatial distribution patterns, and potential pollution of trace elements (TEs) in the atmosphere of the Tibetan Plateau (TP), snow pit samples were collected in May 2016 from five TP glaciers: Qiyi (QY), Hariqin (HRQ), Meikuang (MK), Yuzhufeng (YZF), and Xiao-dongkemadi (XDKMD). Concentrations of 13 TEs (Al, Ba, Cd, Co, Cr, Cu, Fe, Li, Pb, Sb, Sr, U, and Zn) in the snow were measured. The spatial distribution patterns and depth profiles of TEs from the studies sites revealed that the influence of dust on TEs was more significant on the MK and YZF glaciers than on the QY, HRQ, and XDKMD glaciers. The spatial distributions of TE EFFe values differed from their concentrations, however. The enrichment factor (EF) values and concentrations of some TEs in the YZF, QY, and XDKMD glaciers revealed that the pollution levels of these elements were significantly lower than those found in previous research. Examination based on EFs, principal component analysis, as well as the calculated non-dust contributions of TEs, revealed that dust was the principal source for most TEs in all five glaciers, while biomass burning was another potential natural source for TEs in some glaciers, such as QY. In contrast, Cd, Ba, Sr, Cu, Pb, Zn, and Sb were occasionally affected by anthropogenic sources such as road traffic emissions, fossil fuel combustion, and mining and smelting of nonferrous metals in and beyond the TP. Air mass backward trajectories revealed that potential pollutants were transported not only from local sources but also from Xinjiang Province in northwestern China, as well as South Asia, Central Asia, the Middle East, and Europe. (c) 2020 Elsevier Ltd. All rights reserved.</t>
  </si>
  <si>
    <t>[Li, Yuefang; Li, Zhen; Zheng, Kui] Chinese Acad Sci, Northwest Inst Ecoenvironm &amp; Resources, State Key Lab Cryospher Sci, Lanzhou 730000, Peoples R China; [Huang, Ju] Chinese Acad Sci, Inst Tibetan Plateau Res, Key Lab Tibetan Environm Changes &amp; Land Surface P, Beijing 100101, Peoples R China; [Huang, Ju; Zheng, Kui] Univ Chinese Acad Sci, Beijing 100049, Peoples R China</t>
  </si>
  <si>
    <t>Chinese Academy of Sciences; Chinese Academy of Sciences; Institute of Tibetan Plateau Research, CAS; Chinese Academy of Sciences; University of Chinese Academy of Sciences, CAS</t>
  </si>
  <si>
    <t>Li, YF (corresponding author), Chinese Acad Sci, Northwest Inst Ecoenvironm &amp; Resources, State Key Lab Cryospher Sci, Lanzhou 730000, Peoples R China.</t>
  </si>
  <si>
    <t>liyf@lzb.ac.cn</t>
  </si>
  <si>
    <t>National Natural Science Foundation of China [41276194, 40771046, 40601021, SKLCS-ZZ-2019]</t>
  </si>
  <si>
    <t>National Natural Science Foundation of China(National Natural Science Foundation of China (NSFC))</t>
  </si>
  <si>
    <t>This work was supported by the National Natural Science Foundation of China (Grant Nos. 41276194, 40771046, and 40601021)) and SKLCS-ZZ-2019. Thanks are owed to the spring 2016 field work team on the Tibetan Plateau for their diligent efforts. Our special thanks to Professor Yan Yang and master student Sha Liang from the School of Geographic Sciences and the Environment of Southwest University for their helpful assistance with sample determination. Many thanks to the three anonymous reviewers for their valuable comments and constructive suggestions, which helped us to improve this manuscript.</t>
  </si>
  <si>
    <t>A</t>
  </si>
  <si>
    <t>10.1016/j.envpol.2020.114459</t>
  </si>
  <si>
    <t>LW8XJ</t>
  </si>
  <si>
    <t>WOS:000539426400004</t>
  </si>
  <si>
    <t>Tavares, DC; Moura, JF; Acevedo-Trejos, E; Crawford, RJM; Makhado, A; Lavers, JL; Witteveen, M; Ryan, PG; Merico, A</t>
  </si>
  <si>
    <t>Tavares, Davi Castro; Moura, Jailson Fulgencio; Acevedo-Trejos, Esteban; Crawford, Robert J. M.; Makhado, Azwianewi; Lavers, Jennifer L.; Witteveen, Minke; Ryan, Peter G.; Merico, Agostino</t>
  </si>
  <si>
    <t>Confidence intervals and sample size for estimating the prevalence of plastic debris in seabird nests</t>
  </si>
  <si>
    <t>Confidence interval; Error estimation; Nests; Plastic; Prevalence; Sample size; Sampling design</t>
  </si>
  <si>
    <t>MARINE DEBRIS; MICROPLASTICS; LITTER; ISLAND</t>
  </si>
  <si>
    <t>Evidence is accumulating about the impacts of plastics on marine life. The prevalence of plastics in seabird nests has been used as an indicator of levels of this pollutant in the ocean. However, the lack of a framework for defining sample sizes and errors associated with estimating the prevalence of plastic in nests prevents researchers from optimising time and reducing impacts of fieldwork. We present a method to determine the confidence intervals for the prevalence of debris in seabird nests and provide, for the first time, information on the prevalence of these items in nests of the Hartlaub's gull Larus hartlaubii, the African penguin Spheniscus demersus, the great white pelican Pelecanus onocrotalus, and the white-breasted cormorant Phalacrocorax lucidus in South Africa. The method, based on observations and resampling simulations and tested here for nests of 12 seabird species from 15 locations worldwide, allows for straightforward hypothesis testing. Appropriate sample sizes can be defined by combining this method with a Bayesian approach. We show that precise estimates of prevalence of debris in nests can be obtained by sampling around 250 nests. Smaller sample sizes can be useful for obtaining rough estimates. For the Hartlaub's gull, the African penguin, the great white pelican, and the white-breasted cormorant, debris were present in 0.75%, 3.00%, 6.41%, and 25.62% of the respective nests. Our approach will help researchers to determine errors associated with the prevalence of debris recorded in seabird nests and to optimise time and costs spent collecting data. It can also be applied to estimate confidence intervals and define sample sizes for assessing prevalence of plastic ingestion by any organism. (C) 2020 Elsevier Ltd. All rights reserved.</t>
  </si>
  <si>
    <t>[Tavares, Davi Castro; Moura, Jailson Fulgencio; Acevedo-Trejos, Esteban; Merico, Agostino] Leibniz Ctr Trop Marine Res ZMT GmbH, Syst Ecol Grp, Fahrenheitstr 6, D-28359 Bremen, Germany; [Crawford, Robert J. M.; Makhado, Azwianewi] Dept Environm Forestry &amp; Fisheries, Oceans &amp; Coasts Branch, Cape Town, South Africa; [Lavers, Jennifer L.] Univ Tasmania, Inst Marine &amp; Antarctic Studies, Battery Point, Tas 7004, Australia; [Witteveen, Minke; Ryan, Peter G.] Univ Cape Town, DST NRF Ctr Excellence, FitzPatrick Inst African Ornithol, ZA-7701 Rondebosch, South Africa; [Merico, Agostino] Jacobs Univ Bremen, Dept Phys &amp; Earth Sci, Campus Ring 1, D-28759 Bremen, Germany</t>
  </si>
  <si>
    <t>University of Tasmania; University of Cape Town; National Research Foundation - South Africa; Jacobs University</t>
  </si>
  <si>
    <t>Tavares, DC (corresponding author), Leibniz Ctr Trop Marine Res ZMT GmbH, Syst Ecol Grp, Fahrenheitstr 6, D-28359 Bremen, Germany.</t>
  </si>
  <si>
    <t>davi.tavares@leibniz-zmt.de</t>
  </si>
  <si>
    <t>Tavares, Davi Castro/H-7960-2015; Lavers, Jennifer/IWM-5417-2023; Acevedo-Trejos, Esteban/N-1705-2013; Lavers, Jennifer/O-4831-2017; Merico, Agostino/C-1103-2013</t>
  </si>
  <si>
    <t>Tavares, Davi Castro/0000-0002-6811-9572; Acevedo-Trejos, Esteban/0000-0003-4222-7062; Lavers, Jennifer/0000-0001-7596-6588; Merico, Agostino/0000-0001-8095-8056; Witteveen, Minke/0000-0003-4115-763X</t>
  </si>
  <si>
    <t>Deutscher Akademischer Austauschdienst (DAAD) via the project COMPLEX [57384894/08]; Alexander von Humboldt Foundation/CAPES [88881.162169/2017-01]; National Research Foundation; German Research Foundation (DFG), as part of the Priority Program 1704 (DynaTrait) [AC 331/1-1]</t>
  </si>
  <si>
    <t>Deutscher Akademischer Austauschdienst (DAAD) via the project COMPLEX(Deutscher Akademischer Austausch Dienst (DAAD)); Alexander von Humboldt Foundation/CAPES; National Research Foundation; German Research Foundation (DFG), as part of the Priority Program 1704 (DynaTrait)(German Research Foundation (DFG))</t>
  </si>
  <si>
    <t>This study was financed by the Deutscher Akademischer Austauschdienst (DAAD) via the project COMPLEX (grant nr. 57384894/08) and the Alexander von Humboldt Foundation/CAPES (Project number 88881.162169/2017-01). Nest debris data were collected under permit from the WA Department of Biodiversity, Conservation and Attractions (01-000-125-2), US Fish and Wildlife Service (12514-2017-001), Great Barrier Reef Marine Park Authority (NCSM0699917), the Monash University and UTAS Animal Ethics Committees (A13746 and BSCI/2012/21). MW thanks the National Research Foundation for financial support. B. Congdon, A. Fidler, M. Gilmour, M. Grant, J. Haakonsson, J. Hodgson, J. King, K. Lyons, M. MacDonald, B. Peck, P. Sharp, S. Stuckenbrock, and A. Whittington generously provided data or logistical support. We are also grateful to two anonymous reviewers for providing insightful comments that improved the clarity of our manuscript. EAT was funded by the German Research Foundation (DFG) through the grant AC 331/1-1, as part of the Priority Program 1704 (DynaTrait).</t>
  </si>
  <si>
    <t>10.1016/j.envpol.2020.114394</t>
  </si>
  <si>
    <t>WOS:000539426400106</t>
  </si>
  <si>
    <t>dos Santos, EA; Evangelista, H; Valeriano, CD; Neto, CCA; Castagna, A; Heilbron, M</t>
  </si>
  <si>
    <t>dos Santos, Elaine Alves; Evangelista, Heitor; Valeriano, Claudio de Morisson; Aguiar Neto, Carla Cristine; Castagna, Alexandre; Heilbron, Monica</t>
  </si>
  <si>
    <t>Origin and radiogenic isotope fingerprinting of aerosols over the Southwestern Atlantic and corresponding Southern Ocean Sector</t>
  </si>
  <si>
    <t>AEOLIAN RESEARCH</t>
  </si>
  <si>
    <t>Aerosols; Sr-Nd isotopes; Dust provenance; Southern Atlantic; Patagonia</t>
  </si>
  <si>
    <t>MINERAL DUST; ATMOSPHERIC TRANSPORT; ANTARCTIC PENINSULA; DOME C; SR; ND; PROVENANCE; PATAGONIA; IRON; PB</t>
  </si>
  <si>
    <t>Tracing potential source regions of aerosols/dust is a key factor in understanding the atmospheric circulation regimes. In this context, Nd and Sr isotopes in continental fine sediments have been used as tracers (or fingerprints) of dust found in deep cores retrieved from the Antarctic ice sheets. In order to demonstrate the utility of radiogenic isotopes as dust fingerprint we have conducted atmospheric samplings from latitude 30 degrees S to 64 degrees S, over the Southwestern Atlantic Ocean, the Southern Ocean/Drake passage and coastal waters of the northern Antarctic Peninsula. We aimed at comparing the radiogenic isotope signature of the collected aerosols and their most likely sources as described in the literature. Aerosol samples were collected during oceanographic cruises carried out in 2010, 2011 and 2012 by the Brazilian Antarctic Program. Measured isotope ratios Sr-87/Sr-86 and Nd-143/Nd-144 were compared with inventories for Patagonia, Australia and Antarctica. In our study, origins of aerosols over sea were attributed to: (1) the Patagonian influence over the Argentine continental shelf; and (2) in the Southern Ocean where prevails a mix of dust sources from Patagonia, Australia and rock outcrops existing in the Antarctic continent.</t>
  </si>
  <si>
    <t>[dos Santos, Elaine Alves; Evangelista, Heitor; Castagna, Alexandre] Univ Estado Rio de Janeiro LARAMG IBRAG, Rio De Janeiro, RJ, Brazil; [dos Santos, Elaine Alves; Valeriano, Claudio de Morisson; Aguiar Neto, Carla Cristine; Heilbron, Monica] Univ Estado Rio de Janeiro, LAGIR Lab Gechronol &amp; Radiogen Isotopes, Rio De Janeiro, RJ, Brazil; [Castagna, Alexandre] Univ Ghent, Protistol &amp; Aquat Ecol Res Grp, Krijgslaan 281, B-9000 Ghent, Belgium</t>
  </si>
  <si>
    <t>Universidade do Estado do Rio de Janeiro; Ghent University</t>
  </si>
  <si>
    <t>dos Santos, EA (corresponding author), Pavilhao Haroldo Lisboa da Cunha, BR-20550013 Maracana Rio De Janeiro, RJ, Brazil.</t>
  </si>
  <si>
    <t>elainealves1301@gmail.com; evangelista.uerj@gmail.com; valeriano.claudio@gmail.com; neto.carla@hotmail.com; alexandre.castagna@gmail.com; monica.heilbron@gmail.com</t>
  </si>
  <si>
    <t>Heilbron, Monica/T-1389-2017; Castagna, Alexandre/GNM-6653-2022; Evangelista, Heitor/C-7561-2013; de Morisson Valeriano, Claudio/A-6090-2013; Heilbron, Monica/AAC-9663-2021</t>
  </si>
  <si>
    <t>Castagna, Alexandre/0000-0002-6069-1574; de Morisson Valeriano, Claudio/0000-0002-9341-2615; Heilbron, Monica/0000-0002-3521-9251; Santos, Elaine/0000-0001-9620-9498; Neto, Carla/0000-0002-6594-952X</t>
  </si>
  <si>
    <t>Brazilian National Institute for Cryosphere Sciences (INCT-CRIOSFERA, CNPq grant) [573720/2008-8]</t>
  </si>
  <si>
    <t>Brazilian National Institute for Cryosphere Sciences (INCT-CRIOSFERA, CNPq grant)</t>
  </si>
  <si>
    <t>We are grateful to the Brazilian Antarctic Program and the to crew of the Brazilian Navy vessel Almirante Maximiano for their collaboration throughout all cruises and to the Brazilian National Institute for Cryosphere Sciences (INCT-CRIOSFERA, CNPq grant #573720/2008-8). We are also indebted to the National Oceanic and Atmospheric Administration (NOAA) for the Hysplit4 atmospheric modeling program used in this publication. Gilberto Vaz is thanked for chemical procedures in the LAGIR-UERJ</t>
  </si>
  <si>
    <t>1875-9637</t>
  </si>
  <si>
    <t>2212-1684</t>
  </si>
  <si>
    <t>AEOLIAN RES</t>
  </si>
  <si>
    <t>Aeolian Res.</t>
  </si>
  <si>
    <t>10.1016/j.aeolia.2020.100596</t>
  </si>
  <si>
    <t>Geography, Physical</t>
  </si>
  <si>
    <t>Physical Geography</t>
  </si>
  <si>
    <t>LU7QH</t>
  </si>
  <si>
    <t>WOS:000537944900002</t>
  </si>
  <si>
    <t>Lu, XM; Hu, YX; Yang, YK; Bontempi, P; Omar, A; Baize, R</t>
  </si>
  <si>
    <t>Lu, Xiaomei; Hu, Yongxiang; Yang, Yuekui; Bontempi, Paula; Omar, Ali; Baize, Rosemary</t>
  </si>
  <si>
    <t>Antarctic spring ice-edge blooms observed from space by ICESat-2</t>
  </si>
  <si>
    <t>REMOTE SENSING OF ENVIRONMENT</t>
  </si>
  <si>
    <t>ICESat-2 lidar; Ice-edge blooms; Ocean color; Particulate backscattering coefficients</t>
  </si>
  <si>
    <t>PARTICULATE ORGANIC-CARBON; BACKSCATTERING PROPERTIES; OPTICAL-PROPERTIES; SPATIAL COHERENCE; OCEAN SUBSURFACE; SEA; COEFFICIENT; RETRIEVAL; LAND; TAIL</t>
  </si>
  <si>
    <t>Polar ocean ecosystems are experiencing rapid environmental change, but measuring the associated phyto-plankton responses is challenging using traditional satellite passive ocean color measurements due to signal contamination from clouds and sea ices and to low solar elevation angles. Active satellite lidar measurements allow retrieval of ocean phytoplankton properties under conditions prohibitive to passive ocean color sensors. The ICESat-2 satellite lidar measurements provide two-dimensional distributions of upper ocean phytoplankton properties. The spring phytoplankton blooms extending about 230 km horizontally from dense packs ice near Antarctic marginal ice zones and 15 m vertically below ocean surface are observed from space for the first time. Our findings highlight the advantages of satellite lidar technology for understanding high latitude plankton ecology and biogeochemistry.</t>
  </si>
  <si>
    <t>[Lu, Xiaomei] Sci Syst &amp; Applicat Inc, Hampton, VA 23666 USA; [Lu, Xiaomei; Hu, Yongxiang; Omar, Ali; Baize, Rosemary] NASA Langley Res Ctr, Hampton, VA 23681 USA; [Yang, Yuekui] NASA, Goddard Space Flight Ctr, Code 916, Greenbelt, MD 20771 USA; [Bontempi, Paula] NASA Headquarters, Washington, DC 20546 USA</t>
  </si>
  <si>
    <t>Science Systems and Applications Inc; National Aeronautics &amp; Space Administration (NASA); NASA Langley Research Center; National Aeronautics &amp; Space Administration (NASA); NASA Goddard Space Flight Center; National Aeronautics &amp; Space Administration (NASA); Mary W. Jackson NASA Headquarters</t>
  </si>
  <si>
    <t>Lu, XM (corresponding author), Sci Syst &amp; Applicat Inc, Hampton, VA 23666 USA.;Hu, YX (corresponding author), NASA Langley Res Ctr, Hampton, VA 23681 USA.</t>
  </si>
  <si>
    <t>xiaomei.lu@nasa.gov; yongxiang.hu-1@nasa.gov</t>
  </si>
  <si>
    <t>Lu, Xiaomei/IUQ-2139-2023; Yang, Yuekui/B-4326-2015; Huang, Kai/JVO-5066-2024; Hu, Yongxiang/K-4426-2012</t>
  </si>
  <si>
    <t>Yang, Yuekui/0000-0002-1630-272X; Hu, Yongxiang/0000-0001-8526-108X</t>
  </si>
  <si>
    <t>0034-4257</t>
  </si>
  <si>
    <t>1879-0704</t>
  </si>
  <si>
    <t>REMOTE SENS ENVIRON</t>
  </si>
  <si>
    <t>Remote Sens. Environ.</t>
  </si>
  <si>
    <t>10.1016/j.rse.2020.111827</t>
  </si>
  <si>
    <t>Environmental Sciences; Remote Sensing; Imaging Science &amp; Photographic Technology</t>
  </si>
  <si>
    <t>Environmental Sciences &amp; Ecology; Remote Sensing; Imaging Science &amp; Photographic Technology</t>
  </si>
  <si>
    <t>LU3VQ</t>
  </si>
  <si>
    <t>WOS:000537687300007</t>
  </si>
  <si>
    <t>Hanna, RD; Hamilton, VE; Haberle, CW; King, AJ; Abreu, NM; Friedrich, JM</t>
  </si>
  <si>
    <t>Hanna, R. D.; Hamilton, V. E.; Haberle, C. W.; King, A. J.; Abreu, N. M.; Friedrich, J. M.</t>
  </si>
  <si>
    <t>Distinguishing relative aqueous alteration and heating among CM chondrites with IR spectroscopy</t>
  </si>
  <si>
    <t>ICARUS</t>
  </si>
  <si>
    <t>Spectroscopy; Meteorites; Geological processes; Asteroids; Composition</t>
  </si>
  <si>
    <t>SPECTRAL REFLECTANCE PROPERTIES; INSOLUBLE ORGANIC-MATTER; CARBONACEOUS CHONDRITES; MU-M; THERMAL METAMORPHISM; MODAL MINERALOGY; INFRARED REFLECTANCE; ION IRRADIATION; TAGISH LAKE; WIS 91600</t>
  </si>
  <si>
    <t>Using infrared (IR) spectroscopy of thin sections, we characterize the relative degree of aqueous alteration and subsequent heating of a suite of CM chondrites to document spectral indicators of these processes that can contextualize observations of carbonaceous asteroids. We find that the progressive aqueous alteration of CMs manifests in two spectral regions. The low-wavenumber region (1200-400 cm(-1); 8-25 mu m) records the increasing proportion of Mg-Fe phyllosilicates relative to anhydrous silicates as aqueous alteration proceeds, with a highly correlated shift of the Christiansen feature (CF) to lower wavenumber and the Si-O bending band minimum to higher wavenumber, and an increase in depth of the Mg-OH band (similar to 625 cm(-1)). The strongest correlation (R-2 = 0.90) with petrologic subtype is the distance between the CF and Si-O stretching band minimum, which predicts the petrologic subtype of the sample to within 0.1. The high-wavenumber region (4000-2500 cm(-1), &lt;3.33 mu m) probes the variation in abundance and composition of Mg-Fe serpentine and tochilinite among the altered CMs. All moderately to highly altered CMs (&lt;= 2.3) have an OH/H2O ('3 mu m') band emission maximum of 3690 cm(-1) (2.71 mu m) indicative of Mg-bearing serpentine, and mildly aqueously altered CMs (&gt;= 2.5) have a wider band with a complex shape that results from contributions of Fe-bearing serpentine and tochilinite. Among weakly heated CMs (Stage II; 300-500 degrees C), the low-wavenumber region exhibits spectral features resulting from the dehydration and dehydroxylation of phyllosilicates that include broadening of the Si-O stretching band and a shift of its minimum to lower wavenumber, and the disappearance of the Mg-OH band. The location of the Si-O bending band minimum appears to be unaffected by mild heating. Extensively heated CMs (Stage III+; &gt; 500 degrees C) have a low-wavenumber region dominated by the spectral features of secondary, Fe-bearing olivine and low-Ca pymxene and thus are readily distinguished from unheated and mildly heated CMs. The OH/H2O band of all heated CMs is broad and rounded with an emission peak at lower wavenumbers (&lt;= 3636 cm(-1); &gt;= 2.75 mu m) than in unheated CMs. However, spectral and petrographic evidence suggests that our heated CMs have been compromised by terrestrial rehydration. Our study confirms that thermal metamorphism effects are concentrated within the matrix and suggests that the matrix of the CM WIS 91600 had a CI-like mineralogy prior to heating.</t>
  </si>
  <si>
    <t>[Hanna, R. D.] Univ Texas Austin, Jackson Sch Geosci, Austin, TX 78712 USA; [Hamilton, V. E.] Southwest Res Inst, Dept Space Studies, Boulder, CO 80302 USA; [Haberle, C. W.] Arizona State Univ, Sch Earth &amp; Space Explorat, Tempe, AZ 85287 USA; [King, A. J.] Open Univ, Sch Phys Sci, Walton Hall, Milton Keynes MK7 6AA, Bucks, England; [King, A. J.] Nat Hist Museum, Dept Earth Sci, Planetary Mat Grp, Cromwell Rd, London SW7 5BD, England; [Abreu, N. M.] Penn State Univ, Earth Sci Program, Du Bois, PA 15801 USA; [Friedrich, J. M.] Fordham Univ, Dept Chem, Bronx, NY 10458 USA; [Friedrich, J. M.] Amer Museum Nat Hist, Dept Earth &amp; Planetary Sci, New York, NY 10024 USA</t>
  </si>
  <si>
    <t>University of Texas System; University of Texas Austin; Southwest Research Institute; Arizona State University; Arizona State University-Tempe; Open University - UK; Natural History Museum London; Pennsylvania Commonwealth System of Higher Education (PCSHE); Pennsylvania State University; Fordham University; American Museum of Natural History (AMNH)</t>
  </si>
  <si>
    <t>Hanna, RD (corresponding author), Univ Texas Austin, Jackson Sch Geosci, Austin, TX 78712 USA.</t>
  </si>
  <si>
    <t>romy@jsg.utexas.edu</t>
  </si>
  <si>
    <t>Hanna, Romy/JVN-6120-2024</t>
  </si>
  <si>
    <t>King, Ashley/0000-0001-6113-5417; Haberle, Christopher/0000-0003-1174-7313</t>
  </si>
  <si>
    <t>OSIRIS-REx Participating Scientist Program [80NSSC18K0229]; OSIRIS-REx mission (NASA) through the New Frontiers Program [NNM10AA11C]; UK Science and Technology Facilities Council (STFC) [ST/R000727/1]; NSF; NASA; STFC [ST/R000727/1] Funding Source: UKRI</t>
  </si>
  <si>
    <t>OSIRIS-REx Participating Scientist Program; OSIRIS-REx mission (NASA) through the New Frontiers Program; UK Science and Technology Facilities Council (STFC)(UK Research &amp; Innovation (UKRI)Science &amp; Technology Facilities Council (STFC)); NSF(National Science Foundation (NSF)); NASA(National Aeronautics &amp; Space Administration (NASA)); STFC(UK Research &amp; Innovation (UKRI)Science &amp; Technology Facilities Council (STFC))</t>
  </si>
  <si>
    <t>R.D.H. was supported by the OSIRIS-REx Participating Scientist Program - Grant 80NSSC18K0229. V.E.H. was partially supported by the OSIRIS-REx mission (NASA) under Contract NNM10AA11C issued through the New Frontiers Program. A.J.K. was funded by the UK Science and Technology Facilities Council (STFC) through grant ST/R000727/1. We thank Pierre Beck and an anonymous reviewer for insightful comments that improved our manuscript. We thank James Maner, Phil Orlandini, and Tom Etzel for their assistance during acquisition of electron beam data collection.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Many thanks to the Meteorite Working Group and the Astromaterials Acquisition and Curation Office for their time and effort in getting ANSMET sample requests processed efficiently. We thank Phil Bland for the loan of CI Alais and Driss Takir for providing spectra for Fig. 10. Thanks also to the Smithsonian National Museum of Natural History, curator Tim McCoy, and collection manager Julie Hoskin for the extended loan of Murchison USNM 5487, which we continually find new ways to study. Thanks to Alice Praet for sharing MATLAB code for calculating band parameters, to Deanne Rogers for useful discussions regarding band indices, and to Hannah Kaplan and Tim Glotch for insights into the behavior of the OH/H2O and organics spectral bands in thin section. We thank the OSIRIS-REx mission editor Catherine Wolner for help in preparing this manuscript for publication and Harold Connolly Jr. for edits and suggestions that improved the quality of the manuscript.</t>
  </si>
  <si>
    <t>0019-1035</t>
  </si>
  <si>
    <t>1090-2643</t>
  </si>
  <si>
    <t>Icarus</t>
  </si>
  <si>
    <t>10.1016/j.icarus.2020.113760</t>
  </si>
  <si>
    <t>LU0CR</t>
  </si>
  <si>
    <t>WOS:000537431900002</t>
  </si>
  <si>
    <t>Hyde, CJ; Nguyen, T; Fitzgibbon, QP; Elizur, A; Smith, GG; Ventura, T</t>
  </si>
  <si>
    <t>Hyde, Cameron J.; Nguyen, Tuan; Fitzgibbon, Quinn P.; Elizur, Abigail; Smith, Gregory G.; Ventura, Tomer</t>
  </si>
  <si>
    <t>Neural remodelling in spiny lobster larvae is characterized by broad neuropeptide suppression</t>
  </si>
  <si>
    <t>GENERAL AND COMPARATIVE ENDOCRINOLOGY</t>
  </si>
  <si>
    <t>Crustacean; Transcriptome; Brain; Regulation; Molt; Metamorphosis</t>
  </si>
  <si>
    <t>CRUSTACEAN CARDIOACTIVE PEPTIDE; FEEDING-BEHAVIOR; SHORE CRAB; SATIETY MOLECULE; NESFATIN-1; HORMONE; NEURONS; EXPRESSION; SIFAMIDE; NUCB2/NESFATIN-1</t>
  </si>
  <si>
    <t>Neuropeptides are ancient endocrine components which have evolved to regulate many aspects of biology across the animal kingdom including behaviour, development and metabolism. To supplement current knowledge, we have utilized a transcriptome series describing larval development in the ornate spiny lobster, Panulirus ornatus. The biology of this animal has been leveraged to provide insights into the roles of molting, metamorphosis and metabolism across the neuropeptide family. We report an extensive list of neuropeptides across three distinct life phases of the animal. We show distinct groups of neuropeptides with differential expression between larval phases, indicating phase-specific roles for these peptides. For selected neuropeptides, we describe and discuss expression profiles throughout larval development and report predicted peptide cleavage sites and mature peptide sequences. We also report the neuropeptide nesfatin for the first time in a crustacean, and report secondary peptide products with a level of evolutionary conservation similar to the conventional mature peptide nesfatin-1, indicating a conserved role in these secondary products which are widely regarded as biologically inactive. In addition, we report a trend of downregulation in the neuropeptides as the animal undergoes extensive neural remodelling in fulfillment of metamorphosis. We suggest that this downregulation in neuropeptides relates to the brief, yet dramatic changes in morphology experienced by the central nervous system in the process of metamorphosis.</t>
  </si>
  <si>
    <t>[Hyde, Cameron J.; Nguyen, Tuan; Elizur, Abigail; Ventura, Tomer] Univ Sunshine Coast, Genecol Res Ctr, Sippy Downs, Qld 4556, Australia; [Fitzgibbon, Quinn P.; Smith, Gregory G.] Univ Tasmania, Inst Marine &amp; Antarctic Studies IMAS, Private Bag 49, Hobart, Tas 7001, Australia</t>
  </si>
  <si>
    <t>University of the Sunshine Coast; University of Tasmania</t>
  </si>
  <si>
    <t>Ventura, T (corresponding author), Univ Sunshine Coast, Genecol Res Ctr, Sippy Downs, Qld 4556, Australia.</t>
  </si>
  <si>
    <t>tventura@usc.edu.au</t>
  </si>
  <si>
    <t>Ventura, T./H-9832-2019; Smith, Gregory/C-9263-2013</t>
  </si>
  <si>
    <t>Ventura, T./0000-0002-0777-2367; Nguyen, Tuan/0000-0003-0415-0623; Fitzgibbon, Quinn/0000-0002-1104-3052; Hyde, Cameron/0000-0002-5913-9766; Elizur, Abigail/0000-0002-2960-302X; Smith, Gregory/0000-0002-8677-1230</t>
  </si>
  <si>
    <t>Australian Research Council [IH120100032, IH190100014, DP160103320]; University of the Sunshine Coast; Australian Research Council [IH120100032, IH190100014] Funding Source: Australian Research Council</t>
  </si>
  <si>
    <t>Australian Research Council(Australian Research Council); University of the Sunshine Coast; Australian Research Council(Australian Research Council)</t>
  </si>
  <si>
    <t>This work was supported by the Australian Research Council [grant numbers IH120100032, IH190100014, DP160103320] and the University of the Sunshine Coast.</t>
  </si>
  <si>
    <t>0016-6480</t>
  </si>
  <si>
    <t>1095-6840</t>
  </si>
  <si>
    <t>GEN COMP ENDOCR</t>
  </si>
  <si>
    <t>Gen. Comp. Endocrinol.</t>
  </si>
  <si>
    <t>10.1016/j.ygcen.2020.113496</t>
  </si>
  <si>
    <t>Endocrinology &amp; Metabolism; Zoology</t>
  </si>
  <si>
    <t>LT4AT</t>
  </si>
  <si>
    <t>WOS:000537015400010</t>
  </si>
  <si>
    <t>Thanassekos, S; Scheld, AM</t>
  </si>
  <si>
    <t>Thanassekos, Stephane; Scheld, Andrew M.</t>
  </si>
  <si>
    <t>Simulating the effects of environmental and market variability on fishing industry structure</t>
  </si>
  <si>
    <t>ECOLOGICAL ECONOMICS</t>
  </si>
  <si>
    <t>Agent-Based Model; Fisheries; Decision-making; Environmental variability; Fishing industry organization</t>
  </si>
  <si>
    <t>SMALL-SCALE FISHERIES; CLIMATE-CHANGE; BEHAVIOR; DIVERSIFICATION; UNCERTAINTY; INVESTMENT; MANAGEMENT; SYSTEMS; MODEL; RISK</t>
  </si>
  <si>
    <t>An Agent-Based Model comprising a fish stock, a fishing fleet and a fish market is used to investigate the combined effects of environmental and market variability on the structure of a fishery. Over 15-year simulations, agents make daily fishing decisions and annual entry, exit, and investment decisions based on the fishery's past economic outcomes and their individual risk preferences and opportunity costs (e.g., an alternative source of income). Environmental variability is simulated through fishing success variability while market variability is simulated through changes in the elasticity of the demand curve (i.e., the responsiveness of market prices to changes in daily landings). Our findings indicate that changes in variability lead to changes in economic and biological conditions of the fishery by influencing the composition of risk preferences within the fleet. Counter to expectations, market stability did not dampen the negative impacts of environmental variability but rather stimulated over-investment and increased harvesting by a small number of risk-seeking fishers. Results from this research suggest that climate-driven increases in fisheries variability, coupled with increases in market integration that act to reduce local price signals, may lead to inefficient investments and reduced fishery resources.</t>
  </si>
  <si>
    <t>[Thanassekos, Stephane; Scheld, Andrew M.] Coll William &amp; Mary, Virginia Inst Marine Sci, POB 1346, Gloucester Point, VA 23062 USA</t>
  </si>
  <si>
    <t>William &amp; Mary; Virginia Institute of Marine Science</t>
  </si>
  <si>
    <t>Thanassekos, S (corresponding author), Commiss Conservat Antarctic Marine Living Resourc, 181 Macquarie St, Hobart, Tas 7000, Australia.</t>
  </si>
  <si>
    <t>stephane.thanassekos@ccamlr.org</t>
  </si>
  <si>
    <t>Scheld, Andrew/0000-0001-7490-3040</t>
  </si>
  <si>
    <t>NOAA Fisheries [NA16OAR4170202]</t>
  </si>
  <si>
    <t>NOAA Fisheries(National Oceanic Atmospheric Admin (NOAA) - USA)</t>
  </si>
  <si>
    <t>We are grateful to two anonymous reviewers for their helpful suggestions. S.T. funding was provided by NOAA Fisheries, agency award number NA16OAR4170202. This paper is Contribution No. 3894 of the Virginia Institute of Marine Science, College of William &amp; Mary.</t>
  </si>
  <si>
    <t>0921-8009</t>
  </si>
  <si>
    <t>1873-6106</t>
  </si>
  <si>
    <t>ECOL ECON</t>
  </si>
  <si>
    <t>Ecol. Econ.</t>
  </si>
  <si>
    <t>10.1016/j.ecolecon.2020.106687</t>
  </si>
  <si>
    <t>Ecology; Economics; Environmental Sciences; Environmental Studies</t>
  </si>
  <si>
    <t>Science Citation Index Expanded (SCI-EXPANDED); Social Science Citation Index (SSCI)</t>
  </si>
  <si>
    <t>Environmental Sciences &amp; Ecology; Business &amp; Economics</t>
  </si>
  <si>
    <t>LR7VU</t>
  </si>
  <si>
    <t>WOS:000535905400015</t>
  </si>
  <si>
    <t>Kumar, A; Srivastava, A; Yadav, J; Mohan, R</t>
  </si>
  <si>
    <t>Kumar, Avinash; Srivastava, Aakriti; Yadav, Juhi; Mohan, Rahul</t>
  </si>
  <si>
    <t>Spatio-temporal changes and prediction of Amery ice shelf, east Antarctica: A remote sensing and statistics-based approach</t>
  </si>
  <si>
    <t>JOURNAL OF ENVIRONMENTAL MANAGEMENT</t>
  </si>
  <si>
    <t>Ice shelf extent; Mass changes; Southern annular mode; Sea surface temperature; Satellite observation</t>
  </si>
  <si>
    <t>RIFT PROPAGATION; MASS-BALANCE; SURFACE; CLIMATE; SHEET; VARIABILITY; VELOCITY; BENEATH; INSAR</t>
  </si>
  <si>
    <t>The Amery ice shelf (AIS) dynamics and mass balance play key role to decipher changes in the global climate scenario. The spatio-temporal changes in morphology of the AIS were studied into a number of transects at 5 km uniform intervals using multi-dated Moderate Resolution Imaging Spectro-radiometer (MODIS) satellite data (2001-2016) of the austral summer months (January-March). Past ice shelf extents have been reconstructed and future ice shelf extents were estimated for 5- and 10-year time periods. The rate changes of AIS extent were estimated using the linear regression analysis and cross-validated with the coefficient of determination (R-2) and root-mean-square error (RMSE) methods. Further, the changes in shelf extent were linked to prevailing factors viz. mass changes, Southern Annular Mode (SAM) index, and ocean-air temperatures. The study reveals that the AIS extent has been prograded at the rate of 994 m/year with an average 14.5 km increase in the areal extents during 2001-2016, as compared to the year 2001, whereas, the maximum advancement in ice shelf extent was recorded during the 2006-2016 period. Based on the linear regression analysis, the predicted ice shelf extents (i. e., the summer 2021 and 2016) show progradation in all the transects. About 52% of transects exhibit +/- 200 m RMSE values, indicating better agreement between the estimated and satellite-based ice-shelf position. The recent changes (2017-2019) observed in the ice shelf are cross validated with predicted ice self-extent rates. The eastern part of Mackenzie Bay to Ingrid Christensen coast recorded advancement in the ice shelf extents and mass which is the feedback of positive SAM along with a decrease in the temperatures (air temperature and sea surface temperature). The present study demonstrates that the combined use of satellite imagery and statistical techniques can be useful in quantifying and predicting ice shelf morphological variability.</t>
  </si>
  <si>
    <t>[Kumar, Avinash; Yadav, Juhi; Mohan, Rahul] Govt India, Natl Ctr Polar &amp; Ocean Res, Minist Earth Sci, Panaji, Goa, India; [Srivastava, Aakriti] Barkatullah Univ, Dept Earth Sci, Bhopal, India</t>
  </si>
  <si>
    <t>Ministry of Earth Sciences (MoES) - India; National Centre for Polar and Ocean Research (NCPOR); Barkatullah University</t>
  </si>
  <si>
    <t>Kumar, A (corresponding author), Govt India, Natl Ctr Polar &amp; Ocean Res, Minist Earth Sci, Panaji, Goa, India.</t>
  </si>
  <si>
    <t>avinash@ncpor.res.in</t>
  </si>
  <si>
    <t>Avinash, Kumar/0000-0002-6511-8435; Srivastava, Aakriti/0009-0007-3759-9087; Yadav, Juhi/0000-0002-4575-7942</t>
  </si>
  <si>
    <t>University Grants Commission (UGC), New Delhi, India [F.15-6(DEC.2018)/2019 (NET)]</t>
  </si>
  <si>
    <t>University Grants Commission (UGC), New Delhi, India(University Grants Commission, India)</t>
  </si>
  <si>
    <t>We gratefully acknowledge Dr. M. Ravichandran, Director, National Centre for Polar and Ocean Research (NCPOR) and Ministry of Earth Sciences, for the continuous support and encouragement. Juhi Yadav thanks the University Grants Commission (UGC), New Delhi, India, for the award of Junior Research Fellowship [No. F.15-6(DEC.2018)/2019 (NET)]. We greatly acknowledge various organisations such as European Centre for Medium Range Weather Forecast (ECMWF), Technische Universit_at Dresden, and the Australian Antarctic Data Centre for making various datasets available in their portals. Authors thank anonymous reviewers and Editors of JEM, for their insightful comments and suggestions. This is NCPOR contribution no J-4/2020-21.</t>
  </si>
  <si>
    <t>ACADEMIC PRESS LTD- ELSEVIER SCIENCE LTD</t>
  </si>
  <si>
    <t>LONDON</t>
  </si>
  <si>
    <t>24-28 OVAL RD, LONDON NW1 7DX, ENGLAND</t>
  </si>
  <si>
    <t>0301-4797</t>
  </si>
  <si>
    <t>1095-8630</t>
  </si>
  <si>
    <t>J ENVIRON MANAGE</t>
  </si>
  <si>
    <t>J. Environ. Manage.</t>
  </si>
  <si>
    <t>10.1016/j.jenvman.2020.110648</t>
  </si>
  <si>
    <t>LO3JO</t>
  </si>
  <si>
    <t>WOS:000533525100034</t>
  </si>
  <si>
    <t>Baccolo, G; Nastasi, M; Massabò, D; Clason, C; Di Mauro, B; Di Stefano, E; Lokas, E; Prati, P; Previtali, E; Takeuchi, N; Delmonte, B; Maggi, V</t>
  </si>
  <si>
    <t>Baccolo, Giovanni; Nastasi, Massimiliano; Massabo, Dario; Clason, Caroline; Di Mauro, Biagio; Di Stefano, Elena; Lokas, Edyta; Prati, Paolo; Previtali, Ezio; Takeuchi, Nozomu; Delmonte, Barbara; Maggi, Valter</t>
  </si>
  <si>
    <t>Artificial and natural radionuclides in cryoconite as tracers of supraglacial dynamics: Insights from the Morteratsch glacier (Swiss Alps)</t>
  </si>
  <si>
    <t>CATENA</t>
  </si>
  <si>
    <t>Cryoconite; Environmental radioactivity; Be-7; Supraglacial processes; Glacial hydrology; Artificial radionuclides</t>
  </si>
  <si>
    <t>FALLOUT RADIONUCLIDES; ORGANIC-MATTER; ANTARCTIC SNOW; SOIL-EROSION; SURFACE DUST; NO. 1; HOLES; ICE; RADIOACTIVITY; BE-7</t>
  </si>
  <si>
    <t>Cryoconite, a sediment found on the surface of glaciers, is known for its ability to accumulate radionuclides. New data on cryoconite from the Morteratsch glacier (Switzerland) are presented to shed light on the mechanisms that control the distribution of radioactivity in cryoconite. Among the radionuclides detected in our samples, we have identified Ag-108m, an artificial species which has never been observed in terrestrial environments before. This finding supports that cryoconite has an extraordinary ability to accumulate radioactivity. Our results also show that the radioactivity of cryoconite from a single glacier is far from uniform. Both the absolute amount of radioactivity and the relative contribution of single radionuclides are highly variable in samples from the Morteratsch glacier. To investigate the processes responsible for such variability, we have explored the correlation between radionuclides, organic and inorganic carbon fractions and the morphological features of cryoconite deposits. We have found that the degree of connection between cryoconite and supraglacial hydrology is particularly important, since it strongly influences the accumulation of radionuclides in cryoconite. Cryoconite holes connected with supraglacial channels are rich in cosmogenic Be-7; in contrast, poorly connected deposits are rich in artificial fallout radionuclides and elemental carbon. The very different half-lives of Be-7 and artificial radionuclides allowed us to discuss our findings in relation to the age and maturity of cryoconite deposits, highlighting the potential use of radionuclides to investigate hydrological supraglacial processes and material cycling at the surface of glaciers.</t>
  </si>
  <si>
    <t>[Baccolo, Giovanni; Di Mauro, Biagio; Di Stefano, Elena; Delmonte, Barbara; Maggi, Valter] Univ Milano Bicocca, Environm &amp; Earth Sci Dept, Pza Sci 1, Milan 20126, Italy; [Baccolo, Giovanni; Nastasi, Massimiliano; Di Stefano, Elena; Previtali, Ezio; Delmonte, Barbara; Maggi, Valter] Ist Nazl Fis Nucl, Sect Milano Bicocca, Pza Sci 3, Milan 20126, Italy; [Nastasi, Massimiliano; Previtali, Ezio] Univ Milano Bicocca, Phys Dept, Pza Sci 3, Milan 20126, Italy; [Massabo, Dario; Prati, Paolo] Univ Genoa, Phys Dept, Genoa 16146, Italy; [Massabo, Dario; Prati, Paolo] Ist Nazl Fis Nucl, Sect Genova, Genoa 16146, Italy; [Clason, Caroline] Univ Plymouth, Sch Geog Earth &amp; Environm Sci, Plymouth PL4 8AA, Devon, England; [Di Stefano, Elena] Univ Siena, Dept Phys Earth &amp; Environm Sci, Siena 53100, Italy; [Lokas, Edyta] Polish Acad Sci, Dept Mass Spectrometry, Inst Nucl Phys, Krakow 31342, Poland; [Takeuchi, Nozomu] Chiba Univ, Grad Sch Sci, Dept Earth Sci, Chiba, Japan</t>
  </si>
  <si>
    <t>University of Milano-Bicocca; Istituto Nazionale di Fisica Nucleare (INFN); University of Milano-Bicocca; University of Genoa; Istituto Nazionale di Fisica Nucleare (INFN); University of Plymouth; University of Siena; Polish Academy of Sciences; Institute of Nuclear Physics - Polish Academy of Sciences; Chiba University</t>
  </si>
  <si>
    <t>Baccolo, G (corresponding author), Univ Milano Bicocca, Environm &amp; Earth Sci Dept, Pza Sci 1, Milan 20126, Italy.</t>
  </si>
  <si>
    <t>giovanni.baccolo@unimib.it</t>
  </si>
  <si>
    <t>Delmonte, Barbara/L-2555-2015; Takeuchi, Nozomu/Q-7869-2016; Łokas, Edyta/AAM-4119-2021; Baccolo, Giovanni/J-9543-2019; Massabò, Dario/C-5073-2014; Clason, Caroline/HZH-6336-2023; Maggi, Valter/AAX-5728-2020</t>
  </si>
  <si>
    <t>Delmonte, Barbara/0000-0002-9074-2061; Takeuchi, Nozomu/0000-0002-3267-5534; Łokas, Edyta/0000-0001-9996-6523; Baccolo, Giovanni/0000-0002-1246-8968; Massabò, Dario/0000-0001-7445-0328; Clason, Caroline/0000-0001-8236-2555; Maggi, Valter/0000-0001-6287-1213; prati, paolo/0000-0002-8097-9460; Di Mauro, Biagio/0000-0002-8161-3962</t>
  </si>
  <si>
    <t>Project of Strategic Interest NextData - Italian National Research Program PNR 2011-2013; project Impatto degli aerosol e delle polveri fini provenienti dall'area Mediterranea e dal Nord Africa sulla criosfera Alpina - Dipartimento per gli affari regionali e le autonomie della Presidenza del Consiglio dei Ministri</t>
  </si>
  <si>
    <t>This study has been supported by the Project of Strategic Interest NextData, funded by the Italian National Research Program PNR 2011-2013, and by the project Impatto degli aerosol e delle polveri fini provenienti dall'area Mediterranea e dal Nord Africa sulla criosfera Alpina, funded by Dipartimento per gli affari regionali e le autonomie della Presidenza del Consiglio dei Ministri.</t>
  </si>
  <si>
    <t>0341-8162</t>
  </si>
  <si>
    <t>1872-6887</t>
  </si>
  <si>
    <t>Catena</t>
  </si>
  <si>
    <t>10.1016/j.catena.2020.104577</t>
  </si>
  <si>
    <t>Geosciences, Multidisciplinary; Soil Science; Water Resources</t>
  </si>
  <si>
    <t>Geology; Agriculture; Water Resources</t>
  </si>
  <si>
    <t>LK7YO</t>
  </si>
  <si>
    <t>Green Submitted</t>
  </si>
  <si>
    <t>WOS:000531077700014</t>
  </si>
  <si>
    <t>Frankish, CK; Phillips, RA; Clay, TA; Somveille, M; Manica, A</t>
  </si>
  <si>
    <t>Frankish, Caitlin K.; Phillips, Richard A.; Clay, Thomas A.; Somveille, Marius; Manica, Andrea</t>
  </si>
  <si>
    <t>Environmental drivers of movement in a threatened seabird: insights from a mechanistic model and implications for conservation</t>
  </si>
  <si>
    <t>DIVERSITY AND DISTRIBUTIONS</t>
  </si>
  <si>
    <t>fisheries bycatch mitigation; juvenile; mechanistic movement model; ontogeny; seabirds; tracking</t>
  </si>
  <si>
    <t>WHITE-CHINNED PETRELS; SOUTHERN ELEPHANT SEALS; HABITAT USE; PROCELLARIA-AEQUINOCTIALIS; POPULATION-DYNAMICS; LONGLINE FISHERIES; NATAL DISPERSAL; GIANT PETRELS; PARENTAL CARE; WIND</t>
  </si>
  <si>
    <t>Aim Determining the drivers of movement of different life-history stages is crucial for understanding age-related changes in survival rates and, for marine top predators, the link between fisheries overlap and incidental mortality (bycatch), which is driving population declines in many taxa. Here, we combine individual tracking data and a movement model to investigate the environmental drivers and conservation implications of divergent movement patterns in juveniles (fledglings) and adults of a threatened seabird, the white-chinned petrel (Procellaria aequinoctialis). Location South-west Atlantic Ocean. Methods We compare the spatial distributions and movement characteristics of juvenile, breeding and non-breeding adult petrels, and apply a mechanistic movement model to investigate the extent to which chlorophyll a concentrations (a proxy for food resources) and ocean surface winds drive their divergent distribution patterns. We also consider the conservation implications by determining the relative overlap of each life-history stage with fishing intensity and reported fishing effort (proxies for bycatch risk). Results Naive individuals fledged with similar flight capabilities (based on distances travelled, flight speeds and track sinuosity) to adults but differed in their trajectories. Comparison of simulations from the mechanistic model with real tracks showed that juvenile movements are best predicted by prevailing wind patterns, whereas adults are attracted to food resources on the Patagonian Shelf. The juveniles initially dispersed to less productive oceanic waters than those used by adults, and overlapped less with fishing activity; however, as they moved westwards towards South America, bycatch risk increased substantially. Main conclusions The use of a mechanistic framework provided insights into the ontogeny of movement strategies within the context of learned versus innate behaviour and demonstrated that divergent movement patterns of adults and juveniles can have important implications for the conservation of threatened seabirds.</t>
  </si>
  <si>
    <t>[Frankish, Caitlin K.; Phillips, Richard A.] British Antarctic Survey, Cambridge, England; [Frankish, Caitlin K.; Manica, Andrea] Univ Cambridge, Dept Zool, Cambridge, England; [Clay, Thomas A.] Univ Liverpool, Sch Environm Sci, Liverpool, Merseyside, England; [Somveille, Marius] BirdLife Int, Cambridge, England</t>
  </si>
  <si>
    <t>UK Research &amp; Innovation (UKRI); Natural Environment Research Council (NERC); NERC British Antarctic Survey; University of Cambridge; University of Liverpool; BirdLife International</t>
  </si>
  <si>
    <t>Frankish, CK (corresponding author), British Antarctic Survey, Cambridge, England.</t>
  </si>
  <si>
    <t>cakish36@bas.ac.uk</t>
  </si>
  <si>
    <t>Frankish, Caitlin/AAQ-1321-2020; Manica, Andrea/N-9013-2019; Clay, Tommy/W-4867-2019</t>
  </si>
  <si>
    <t>Frankish, Caitlin/0000-0002-4930-6153; Manica, Andrea/0000-0003-1895-450X; Clay, Tommy/0000-0002-0644-6105; Somveille, Marius/0000-0002-6868-5080</t>
  </si>
  <si>
    <t>Natural Environment Research Council [NE/L002507/1]; NERC [bas0100035] Funding Source: UKRI</t>
  </si>
  <si>
    <t>Natural Environment Research Council(UK Research &amp; Innovation (UKRI)Natural Environment Research Council (NERC)); NERC(UK Research &amp; Innovation (UKRI)Natural Environment Research Council (NERC))</t>
  </si>
  <si>
    <t>Natural Environment Research Council, Grant/Award Number: NE/L002507/1</t>
  </si>
  <si>
    <t>WILEY</t>
  </si>
  <si>
    <t>HOBOKEN</t>
  </si>
  <si>
    <t>111 RIVER ST, HOBOKEN 07030-5774, NJ USA</t>
  </si>
  <si>
    <t>1366-9516</t>
  </si>
  <si>
    <t>1472-4642</t>
  </si>
  <si>
    <t>DIVERS DISTRIB</t>
  </si>
  <si>
    <t>Divers. Distrib.</t>
  </si>
  <si>
    <t>OCT</t>
  </si>
  <si>
    <t>10.1111/ddi.13130</t>
  </si>
  <si>
    <t>JUL 2020</t>
  </si>
  <si>
    <t>Biodiversity Conservation; Ecology</t>
  </si>
  <si>
    <t>Biodiversity &amp; Conservation; Environmental Sciences &amp; Ecology</t>
  </si>
  <si>
    <t>NK6MK</t>
  </si>
  <si>
    <t>WOS:000563865100001</t>
  </si>
  <si>
    <t>Choo, WT; Teoh, ML; Phang, SM; Convey, P; Yap, WH; Goh, BH; Beardall, J</t>
  </si>
  <si>
    <t>Choo, Wu-Thong; Teoh, Ming-Li; Phang, Siew-Moi; Convey, Peter; Yap, Wei-Hsum; Goh, Bey-Hing; Beardall, John</t>
  </si>
  <si>
    <t>Microalgae as Potential Anti-Inflammatory Natural Product Against Human Inflammatory Skin Diseases</t>
  </si>
  <si>
    <t>FRONTIERS IN PHARMACOLOGY</t>
  </si>
  <si>
    <t>microalgae; bioactive compounds; anti-inflammation; anti-oxidant; skin disease</t>
  </si>
  <si>
    <t>MOLECULAR-WEIGHT POLYSACCHARIDES; H2O2-INDUCED OXIDATIVE STRESS; NF-KAPPA-B; ATOPIC-DERMATITIS; IN-VITRO; BIOACTIVE COMPOUNDS; LIPID-PEROXIDATION; SULFATED POLYSACCHARIDES; BETA-CAROTENE; FOOD ALLERGY</t>
  </si>
  <si>
    <t>The skin is the first line of defense against pathogen and other environmental pollutant. The body is constantly exposed to reactive oxygen species (ROS) that stimulates inflammatory process in the skin. Many studies have linked ROS to various inflammatory skin diseases. Patients with skin diseases face various challenges with inefficient and inappropriate treatment in managing skin diseases. Overproduction of ROS in the body will result in oxidative stress which will lead to various cellular damage and alter normal cell function. Multiple signaling pathways are seen to have significant effects during ROS-mediated oxidative stress. In this review, microalgae have been selected as a source of natural-derived antioxidant to combat inflammatory skin diseases that are prominent in today's society. Several studies have demonstrated that bioactive compounds isolated from microalgae have anti-inflammation and anti-oxidative properties that can help remedy various skin diseases. These compounds are able to inhibit production of pro-inflammatory cytokines and reduce the expression of inflammatory genes. Bioactive compounds from microalgae work in action by altering enzyme activities, regulating cellular activities, targeting major signaling pathways related to inflammation.</t>
  </si>
  <si>
    <t>[Choo, Wu-Thong; Teoh, Ming-Li; Yap, Wei-Hsum] Taylors Univ, Sch Biosci, Lakeside Campus, Subang Jaya, Malaysia; [Teoh, Ming-Li; Phang, Siew-Moi] Univ Malaya, Inst Ocean &amp; Earth Sci, Kuala Lumpur, Malaysia; [Teoh, Ming-Li] Univ Malaya, Natl Antarctic Res Ctr, Inst Grad Studies, Kuala Lumpur, Malaysia; [Phang, Siew-Moi] UCSI Univ, Fac Appl Sci, Kuala Lumpur, Malaysia; [Convey, Peter] NERC, British Antarctic Survey, Cambridge, England; [Goh, Bey-Hing] Monash Univ Malaysia, Sch Pharm, Biofunct Mol Exploratory Res Grp BMEX, Bandar Sunway, Malaysia; [Goh, Bey-Hing] Zhejiang Univ, Coll Pharmaceut Sci, Hangzhou, Peoples R China; [Beardall, John] Monash Univ, Sch Biol Sci, Clayton, Vic, Australia</t>
  </si>
  <si>
    <t>Taylor's University; Universiti Malaya; Universiti Malaya; UCSI University; UK Research &amp; Innovation (UKRI); Natural Environment Research Council (NERC); NERC British Antarctic Survey; Monash University; Monash University Malaysia; Zhejiang University; Monash University</t>
  </si>
  <si>
    <t>Teoh, ML (corresponding author), Taylors Univ, Sch Biosci, Lakeside Campus, Subang Jaya, Malaysia.;Teoh, ML; Phang, SM (corresponding author), Univ Malaya, Inst Ocean &amp; Earth Sci, Kuala Lumpur, Malaysia.;Teoh, ML (corresponding author), Univ Malaya, Natl Antarctic Res Ctr, Inst Grad Studies, Kuala Lumpur, Malaysia.;Phang, SM (corresponding author), UCSI Univ, Fac Appl Sci, Kuala Lumpur, Malaysia.</t>
  </si>
  <si>
    <t>MingLi.Teoh@taylors.edu.my; phang@um.edu.my</t>
  </si>
  <si>
    <t>Beardall, John/L-5262-2019; Goh, Bey Hing/ABA-3131-2021; Goh, Bey Hing/I-4880-2015; Convey, Peter/AAV-5728-2020</t>
  </si>
  <si>
    <t>Beardall, John/0000-0001-7684-446X; Goh, Bey Hing/0000-0003-1006-3649; Goh, Bey Hing/0000-0003-1006-3649; Convey, Peter/0000-0001-8497-9903; Teoh, Ming Li/0000-0001-7979-6045</t>
  </si>
  <si>
    <t>Ministry of Higher Education Malaysia under the Fundamental Research Grant Scheme [FRGS/1/2017/STG05/TAYLOR/02/2, FRGS/1/2019/SKK08/TAYLOR/02/2]; University of Malaya under the University of Malaya Research University Grant [TU001D-2018]; Taylor's University Malaysia under the Taylor's University Research Grant - Major Grant Scheme [TRGS/MFS/1/2017/SBS/004]; NERC under the Biodiversity, Evolution and Adaptation (BAS); NERC [bas0100036] Funding Source: UKRI</t>
  </si>
  <si>
    <t>Ministry of Higher Education Malaysia under the Fundamental Research Grant Scheme; University of Malaya under the University of Malaya Research University Grant; Taylor's University Malaysia under the Taylor's University Research Grant - Major Grant Scheme; NERC under the Biodiversity, Evolution and Adaptation (BAS); NERC(UK Research &amp; Innovation (UKRI)Natural Environment Research Council (NERC))</t>
  </si>
  <si>
    <t>This work was supported by the Ministry of Higher Education Malaysia under the Fundamental Research Grant Scheme (FRGS/1/2017/STG05/TAYLOR/02/2) awarded to M-LT; University of Malaya under the University of Malaya Research University Grant (TU001D-2018) awarded to S-MP; Ministry of Higher Education Malaysia under the Fundamental Research Grant Scheme (FRGS/1/2019/SKK08/TAYLOR/02/2) awarded to W-HY; Taylor's University Malaysia under the Taylor's University Research Grant -Major Grant Scheme (TRGS/MFS/1/2017/SBS/004) awarded to M-LT and W-HY; NERC core funding under the Biodiversity, Evolution and Adaptation (BAS) team awarded to PC.</t>
  </si>
  <si>
    <t>FRONTIERS MEDIA SA</t>
  </si>
  <si>
    <t>LAUSANNE</t>
  </si>
  <si>
    <t>AVENUE DU TRIBUNAL FEDERAL 34, LAUSANNE, CH-1015, SWITZERLAND</t>
  </si>
  <si>
    <t>1663-9812</t>
  </si>
  <si>
    <t>FRONT PHARMACOL</t>
  </si>
  <si>
    <t>Front. Pharmacol.</t>
  </si>
  <si>
    <t>JUL 31</t>
  </si>
  <si>
    <t>10.3389/fphar.2020.01086</t>
  </si>
  <si>
    <t>Pharmacology &amp; Pharmacy</t>
  </si>
  <si>
    <t>ND5QW</t>
  </si>
  <si>
    <t>gold, Green Accepted, Green Published</t>
  </si>
  <si>
    <t>WOS:000561955400001</t>
  </si>
  <si>
    <t>Gattuso, JP; Gentili, B; Antoine, D; Doxaran, D</t>
  </si>
  <si>
    <t>Gattuso, Jean-Pierre; Gentili, Bernard; Antoine, David; Doxaran, David</t>
  </si>
  <si>
    <t>Global distribution of photosynthetically available radiation on the seafloor</t>
  </si>
  <si>
    <t>EARTH SYSTEM SCIENCE DATA</t>
  </si>
  <si>
    <t>Article; Data Paper</t>
  </si>
  <si>
    <t>OCEAN COLOR SENSORS; COASTAL WATERS; MODEL</t>
  </si>
  <si>
    <t>A 21 year (1998-2018) continuous monthly data set of the global distribution of light (photosynthetically available radiation, PAR, or irradiance) reaching the seabed is presented. This product uses ocean color and bathymetric data to estimate benthic irradiance, offering critical improvements on a previous data set. The time series is 4 times longer (21 versus 5 years), the spatial resolution is better (pixel size of 4.6 versus 9.3 km at the Equator), and the bathymetric resolution is also better (pixel size of 0.46 versus 3.7 km at the Equator). The paper describes the theoretical and methodological bases and data processing. This new product is used to estimate the surface area of the seafloor where (1) light does not limit the distribution of photosynthetic benthic organisms and (2) net community production is positive. The complete data set is provided as 14 netCDF files available on PANGAEA (Gentili and Gattuso, 2020a, https://doi.org/10.1594/PANGAEA.910898). The R package CoastalLight, available on GitHub (https://github.com/jpgattuso/CoastalLight.git, last access: 29 July 2020), allows us (1) to download geographical and optical data from PANGAEA and (2) to calculate the surface area that receives more than a given threshold of irradiance in three regions (nonpolar, Arctic, and Antarctic). Such surface areas can also be calculated for any subregion after downloading data from a remotely and freely accessible server.</t>
  </si>
  <si>
    <t>[Gattuso, Jean-Pierre; Gentili, Bernard; Antoine, David; Doxaran, David] Sorbonne Univ, CNRS, Lab Oceanog Villefranche, 181 Chemin Lazaret, F-06230 Villefranche Sur Mer, France; [Gattuso, Jean-Pierre] Sci Po, Inst Sustainable Dev &amp; Int Relat, 27 Rue St Guillaume, F-75007 Paris, France; [Antoine, David] Curtin Univ, Remote Sensing &amp; Satellite Res Grp, Perth, WA 6845, Australia</t>
  </si>
  <si>
    <t>Sorbonne Universite; Centre National de la Recherche Scientifique (CNRS); Institut d'Etudes Politiques Paris (Sciences Po); Curtin University</t>
  </si>
  <si>
    <t>Gattuso, JP (corresponding author), Sorbonne Univ, CNRS, Lab Oceanog Villefranche, 181 Chemin Lazaret, F-06230 Villefranche Sur Mer, France.;Gattuso, JP (corresponding author), Sci Po, Inst Sustainable Dev &amp; Int Relat, 27 Rue St Guillaume, F-75007 Paris, France.</t>
  </si>
  <si>
    <t>gattuso@obs-vlfr.fr</t>
  </si>
  <si>
    <t>Gattuso, Jean-Pierre/AAG-8643-2019; Antoine, David/C-3817-2013</t>
  </si>
  <si>
    <t>Gattuso, Jean-Pierre/0000-0002-4533-4114; Doxaran, David/0000-0002-9778-7780; Antoine, David/0000-0002-9082-2395</t>
  </si>
  <si>
    <t>COPERNICUS GESELLSCHAFT MBH</t>
  </si>
  <si>
    <t>GOTTINGEN</t>
  </si>
  <si>
    <t>BAHNHOFSALLEE 1E, GOTTINGEN, 37081, GERMANY</t>
  </si>
  <si>
    <t>1866-3508</t>
  </si>
  <si>
    <t>1866-3516</t>
  </si>
  <si>
    <t>EARTH SYST SCI DATA</t>
  </si>
  <si>
    <t>Earth Syst. Sci. Data</t>
  </si>
  <si>
    <t>10.5194/essd-12-1697-2020</t>
  </si>
  <si>
    <t>Geosciences, Multidisciplinary; Meteorology &amp; Atmospheric Sciences</t>
  </si>
  <si>
    <t>Geology; Meteorology &amp; Atmospheric Sciences</t>
  </si>
  <si>
    <t>MY8BO</t>
  </si>
  <si>
    <t>gold, Green Submitted</t>
  </si>
  <si>
    <t>WOS:000558640900001</t>
  </si>
  <si>
    <t>Anton, A; Almahasheer, H; Delgado, A; Garcias-Bonet, N; Carrillo-de-Albornoz, P; Marbà, N; Hendriks, IE; Krause-Jensen, D; Saderne, V; Baldry, K; Duarte, CM</t>
  </si>
  <si>
    <t>Anton, Andrea; Almahasheer, Hanan; Delgado, Antonio; Garcias-Bonet, Neus; Carrillo-de-Albornoz, Paloma; Marba, Nuria; Hendriks, Iris Eline; Krause-Jensen, Dorte; Saderne, Vincent; Baldry, Kimberlee; Duarte, Carlos M.</t>
  </si>
  <si>
    <t>Stunted Mangrove Trees in the Oligotrophic Central Red Sea Relate to Nitrogen Limitation</t>
  </si>
  <si>
    <t>FRONTIERS IN MARINE SCIENCE</t>
  </si>
  <si>
    <t>Red Sea; Avicennia marina; oligotrophic; desert; nitrogen limitation</t>
  </si>
  <si>
    <t>AVICENNIA-MARINA; NUTRIENT ENRICHMENT; GROWTH; PHOSPHORUS; FORESTS; CARBON; PHOTOSYNTHESIS; BAY; DENITRIFICATION; MACROALGAE</t>
  </si>
  <si>
    <t>Mangroves are important coastal ecosystems of warm climatic regions that often grow in shallow saline or brackish waters of estuaries and river mouths which are affected by wide tidal intervals and receive abundant nutrient supply. However, mangroves also occur in areas of little tidal influence and devoid of riverine inputs, where they can develop a stunted plant form. Here we report that Avicennia marina trees in the fringe of the Red Sea have maximum heights toward the lower range of that reported elsewhere (average maximum canopy height of 4.95 m), especially in the central region, where mangroves are stunted with an average tree height of 2.7 m. Maximum tree height and chlorophyll a concentration correlated positively with nitrogen concentration in the leaves of A. marina. We conclude that the stunted nature of mangrove trees in the central Red Sea is likely driven by nitrogen limitation.</t>
  </si>
  <si>
    <t>[Anton, Andrea; Garcias-Bonet, Neus; Carrillo-de-Albornoz, Paloma; Saderne, Vincent; Duarte, Carlos M.] King Abdullah Univ Sci &amp; Technol, Red Sea Res Ctr, Thuwal, Saudi Arabia; [Anton, Andrea; Garcias-Bonet, Neus; Carrillo-de-Albornoz, Paloma; Saderne, Vincent; Duarte, Carlos M.] King Abdullah Univ Sci &amp; Technol, Computat Biosci Res Ctr, Thuwal, Saudi Arabia; [Almahasheer, Hanan] Imam Abdulrahman Bin Faisal Univ IAU, Coll Sci, Dept Biol, Dammam, Saudi Arabia; [Delgado, Antonio] CSIC UGR, Inst Andaluz Ciencias Tierra, Armilla, Spain; [Marba, Nuria; Hendriks, Iris Eline] CSIC UIB, Inst Mediterraneo Estudios Avanzados, Global Change Res Grp, Esporles, Spain; [Krause-Jensen, Dorte] Aarhus Univ, Dept Biosci, Silkeborg, Denmark; [Baldry, Kimberlee] Univ Tasmania, Inst Marine &amp; Antarctic Studies, Hobart, NSW, Australia</t>
  </si>
  <si>
    <t>King Abdullah University of Science &amp; Technology; King Abdullah University of Science &amp; Technology; Imam Abdulrahman Bin Faisal University; University of Granada; Consejo Superior de Investigaciones Cientificas (CSIC); CSIC - Instituto Andaluz de Ciencias de la Tierra (IACT); Consejo Superior de Investigaciones Cientificas (CSIC); University of Barcelona; Universitat de les Illes Balears; Aarhus University; University of Tasmania</t>
  </si>
  <si>
    <t>Anton, A (corresponding author), King Abdullah Univ Sci &amp; Technol, Red Sea Res Ctr, Thuwal, Saudi Arabia.;Anton, A (corresponding author), King Abdullah Univ Sci &amp; Technol, Computat Biosci Res Ctr, Thuwal, Saudi Arabia.</t>
  </si>
  <si>
    <t>andrea.antongamazo@kaust.edu.sa</t>
  </si>
  <si>
    <t>almahasheer, hanan/S-8114-2016; Delgado Huertas, Antonio/F-6866-2011; Marba, Nuria/H-8136-2015; Hendriks, Iris E/C-3316-2013; Duarte, Carlos M/A-7670-2013; Duarte Quesada, Carlos Manuel/ABD-6208-2021; Saderne, Vincent/ABE-5850-2020; Anton, Andrea/JAX-3235-2023; Anton, Andrea/ABA-3742-2021; Saderne, Vincent/JCD-7500-2023; Krause-Jensen, Dorte/J-5666-2013</t>
  </si>
  <si>
    <t>Delgado Huertas, Antonio/0000-0002-7240-1570; Marba, Nuria/0000-0002-8048-6789; Duarte, Carlos M/0000-0002-1213-1361; saderne, vincent/0000-0003-3968-2718; Anton, Andrea/0000-0002-4104-2966; Garcias-Bonet, Neus/0000-0001-6469-7167; Baldry, Kimberlee/0000-0003-3286-8624; Krause-Jensen, Dorte/0000-0001-9792-256X</t>
  </si>
  <si>
    <t>King Abdullah University of Science and Technology; Tarek Ahmed Juffali Research Chair in Red Sea Ecology</t>
  </si>
  <si>
    <t>King Abdullah University of Science and Technology(King Abdullah University of Science &amp; Technology); Tarek Ahmed Juffali Research Chair in Red Sea Ecology</t>
  </si>
  <si>
    <t>This research was supported by the King Abdullah University of Science and Technology through baseline funding and funds by the Tarek Ahmed Juffali Research Chair in Red Sea Ecology to CD.</t>
  </si>
  <si>
    <t>2296-7745</t>
  </si>
  <si>
    <t>FRONT MAR SCI</t>
  </si>
  <si>
    <t>Front. Mar. Sci.</t>
  </si>
  <si>
    <t>10.3389/fmars.2020.00597</t>
  </si>
  <si>
    <t>MV2KF</t>
  </si>
  <si>
    <t>WOS:000556191000001</t>
  </si>
  <si>
    <t>Henley, SF; Cavan, EL; Fawcett, SE; Kerr, R; Monteiro, T; Sherrell, RM; Bowie, AR; Boyd, PW; Barnes, DKA; Schloss, IR; Marshall, T; Flynn, R; Smith, S</t>
  </si>
  <si>
    <t>Henley, Sian F.; Cavan, Emma L.; Fawcett, Sarah E.; Kerr, Rodrigo; Monteiro, Thiago; Sherrell, Robert M.; Bowie, Andrew R.; Boyd, Philip W.; Barnes, David K. A.; Schloss, Irene R.; Marshall, Tanya; Flynn, Raquel; Smith, Shantelle</t>
  </si>
  <si>
    <t>Changing Biogeochemistry of the Southern Ocean and Its Ecosystem Implications</t>
  </si>
  <si>
    <t>Southern Ocean; biogeochemistry; primary production; iron; nutrients; carbon; ecosystem; ocean acidification</t>
  </si>
  <si>
    <t>KRILL EUPHAUSIA-SUPERBA; PHYTOPLANKTON COMMUNITY STRUCTURE; POTENTIALLY BIOAVAILABLE IRON; NORTHERN ANTARCTIC PENINSULA; DIATOM RESTING SPORES; AIR CO2 FLUXES; DISSOLVED IRON; CLIMATE-CHANGE; SEA-ICE; ANTHROPOGENIC CO2</t>
  </si>
  <si>
    <t>The Southern Ocean plays a critical role in regulating global climate as a major sink for atmospheric carbon dioxide (CO2), and in global ocean biogeochemistry by supplying nutrients to the global thermocline, thereby influencing global primary production and carbon export. Biogeochemical processes within the Southern Ocean regulate regional primary production and biological carbon uptake, primarily through iron supply, and support ecosystem functioning over a range of spatial and temporal scales. Here, we assimilate existing knowledge and present new data to examine the biogeochemical cycles of iron, carbon and major nutrients, their key drivers and their responses to, and roles in, contemporary climate and environmental change. Projected increases in iron supply, coupled with increases in light availability to phytoplankton through increased near-surface stratification and longer ice-free periods, are very likely to increase primary production and carbon export around Antarctica. Biological carbon uptake is likely to increase for the Southern Ocean as a whole, whilst there is greater uncertainty around projections of primary production in the Sub-Antarctic and basin-wide changes in phytoplankton species composition, as well as their biogeochemical consequences. Phytoplankton, zooplankton, higher trophic level organisms and microbial communities are strongly influenced by Southern Ocean biogeochemistry, in particular through nutrient supply and ocean acidification. In turn, these organisms exert important controls on biogeochemistry through carbon storage and export, nutrient recycling and redistribution, and benthic-pelagic coupling. The key processes described in this paper are summarised in the Graphical Abstract. Climate-mediated changes in Southern Ocean biogeochemistry over the coming decades are very likely to impact primary production, sea-air CO2 exchange and ecosystem functioning within and beyond this vast and critically important ocean region.</t>
  </si>
  <si>
    <t>[Henley, Sian F.] Univ Edinburgh, Sch GeoSci, Edinburgh, Midlothian, Scotland; [Cavan, Emma L.] Imperial Coll London, Dept Life Sci, Silwood Pk Campus, Ascot, Berks, England; [Fawcett, Sarah E.; Marshall, Tanya; Flynn, Raquel; Smith, Shantelle] Univ Cape Town, Dept Oceanog, Cape Town, South Africa; [Kerr, Rodrigo; Monteiro, Thiago] Univ Fed Rio Grande FURG, Inst Oceanog, Lab Estudos Oceans &amp; Cilma, Rio Grande, Brazil; [Sherrell, Robert M.] Rutgers State Univ, Dept Marine &amp; Coastal Sci, New Brunswick, NJ USA; [Sherrell, Robert M.] Rutgers State Univ, Dept Earth &amp; Planetary Sci, New Brunswick, NJ USA; [Bowie, Andrew R.; Boyd, Philip W.] Univ Tasmania, Inst Marine &amp; Antarctic Studies, Battery Point, Tas, Australia; [Barnes, David K. A.] British Antarctic Survey, Cambridge, England; [Schloss, Irene R.] Inst Antartico Argentino, Buenos Aires, DF, Argentina; [Schloss, Irene R.] Consejo Nacl Invest Cient &amp; Tecn, Ctr Austral Invest Cient, Ushuaia, Argentina; [Schloss, Irene R.] Univ Nacl Terra Fuego, Ushuaia, Argentina</t>
  </si>
  <si>
    <t>University of Edinburgh; Imperial College London; University of Cape Town; Universidade Federal do Rio Grande; Rutgers University System; Rutgers University New Brunswick; Rutgers University System; Rutgers University New Brunswick; University of Tasmania; UK Research &amp; Innovation (UKRI); Natural Environment Research Council (NERC); NERC British Antarctic Survey; Instituto Antartico Argentino; Consejo Nacional de Investigaciones Cientificas y Tecnicas (CONICET)</t>
  </si>
  <si>
    <t>Henley, SF (corresponding author), Univ Edinburgh, Sch GeoSci, Edinburgh, Midlothian, Scotland.</t>
  </si>
  <si>
    <t>s.f.henley@ed.ac.uk</t>
  </si>
  <si>
    <t>Kerr, Rodrigo/I-2494-2012; Monteiro, Thiago/AAJ-7902-2020; Cavan, Emma/AFY-2671-2022; Boyd, Philip W/J-7624-2014; Bowie, Andrew/C-8677-2013</t>
  </si>
  <si>
    <t>Kerr, Rodrigo/0000-0002-2632-3137; Monteiro, Thiago/0000-0001-7643-0646; Marshall, Tanya/0000-0002-5982-5926; Flynn, Raquel Francesca/0000-0003-3118-4474; Bowie, Andrew/0000-0002-5144-7799</t>
  </si>
  <si>
    <t>United Kingdom Natural Environment Research Council [NE/S000348/1, NE/K010034/1]; South African National Research Foundation's Antarctic Programme (SANAP) [105539, 110735]; UCT Vice-Chancellor's Future Leaders 2030 award; DSI's Biogeochemistry Research Infrastructure Platform (BIOGRIP); CNPq [304937/20185]; CAPES [88887.360799/201900]; PROVOCCAR project grant from CNPq/PROANTAR [442628/2018-8]; Australian Research Council [FT130100037, DP150100345, DP190103504]; Antarctic Climate and Ecosystems Cooperative Research Centre; Laureate Fellowship from the Australian Research Council [FL160100131]; UCT Vice Chancellor Doctoral Research Scholarships; UCT Postgraduate Funding Merit Awards; South African National Research Foundation [114590]; UCT Science Faculty Fellowship; NERC [NE/K010034/1, bas0100036, NE/S000348/1] Funding Source: UKRI</t>
  </si>
  <si>
    <t>United Kingdom Natural Environment Research Council(UK Research &amp; Innovation (UKRI)Natural Environment Research Council (NERC)); South African National Research Foundation's Antarctic Programme (SANAP); UCT Vice-Chancellor's Future Leaders 2030 award; DSI's Biogeochemistry Research Infrastructure Platform (BIOGRIP); CNPq(Conselho Nacional de Desenvolvimento Cientifico e Tecnologico (CNPQ)); CAPES(Coordenacao de Aperfeicoamento de Pessoal de Nivel Superior (CAPES)); PROVOCCAR project grant from CNPq/PROANTAR; Australian Research Council(Australian Research Council); Antarctic Climate and Ecosystems Cooperative Research Centre(Australian GovernmentDepartment of Industry, Innovation and ScienceCooperative Research Centres (CRC) Programme); Laureate Fellowship from the Australian Research Council(Australian Research Council); UCT Vice Chancellor Doctoral Research Scholarships; UCT Postgraduate Funding Merit Awards; South African National Research Foundation(National Research Foundation - South Africa); UCT Science Faculty Fellowship; NERC(UK Research &amp; Innovation (UKRI)Natural Environment Research Council (NERC))</t>
  </si>
  <si>
    <t>SH was supported by the United Kingdom Natural Environment Research Council through grant NE/K010034/1. EC was supported by the United Kingdom Natural Environment Research Council research programme grant NE/S000348/1. SF was supported by the South African National Research Foundation's Antarctic Programme (SANAP) through grants 105539 and 110735, the UCT Vice-Chancellor's Future Leaders 2030 award, and the DSI's Biogeochemistry Research Infrastructure Platform (BIOGRIP). RK and TMo received financial support through researcher grant No. 304937/20185 from CNPq and Ph.D. grant No. 88887.360799/201900 from CAPES, respectively, the latter available through the PROVOCCAR project grant No. 442628/2018-8 from CNPq/PROANTAR. AB would like to acknowledge the Australian Research Council (Grants FT130100037, DP150100345, and DP190103504) and the Antarctic Climate and Ecosystems Cooperative Research Centre for funding this research. PB was funded by a Laureate Fellowship (FL160100131) from the Australian Research Council. TMa, RF, and SS were funded by UCT Vice Chancellor Doctoral Research Scholarships and UCT Postgraduate Funding Merit Awards. TMa and SS were also funded by the South African National Research Foundation through postgraduate grants and a Ph.D. Innovation Scholarship (114590) to SS. RF was also supported by a UCT Science Faculty Fellowship.</t>
  </si>
  <si>
    <t>10.3389/fmars.2020.00581</t>
  </si>
  <si>
    <t>MV2LM</t>
  </si>
  <si>
    <t>Green Submitted, Green Published, gold, Green Accepted</t>
  </si>
  <si>
    <t>WOS:000556194400001</t>
  </si>
  <si>
    <t>Bamford, CCG; Kelly, N; Rosa, LD; Cade, DE; Fretwell, PT; Trathan, PN; Cubaynes, HC; Mesquita, AFC; Gerrish, L; Friedlaender, AS; Jackson, JA</t>
  </si>
  <si>
    <t>Bamford, C. C. G.; Kelly, N.; Rosa, L. Dalla; Cade, D. E.; Fretwell, P. T.; Trathan, P. N.; Cubaynes, H. C.; Mesquita, A. F. C.; Gerrish, L.; Friedlaender, A. S.; Jackson, J. A.</t>
  </si>
  <si>
    <t>A comparison of baleen whale density estimates derived from overlapping satellite imagery and a shipborne survey</t>
  </si>
  <si>
    <t>SCIENTIFIC REPORTS</t>
  </si>
  <si>
    <t>UNMANNED AERIAL SURVEYS; HUMPBACK WHALES; MEGAPTERA-NOVAEANGLIAE; ANTARCTIC PENINSULA; FIN WHALES; ABUNDANCE; SOUTH; WEST; MOVEMENTS; ECOSYSTEM</t>
  </si>
  <si>
    <t>As whales recover from commercial exploitation, they are increasing in abundance in habitats that they have been absent from for decades. However, studying the recovery and habitat use patterns of whales, particularly in remote and inaccessible regions, frequently poses logistical and economic challenges. Here we trial a new approach for measuring whale density in a remote area, using Very-High-Resolution WorldView-3 satellite imagery. This approach has capacity to provide sightings data to complement and assist traditional sightings surveys. We compare at-sea whale density estimates to estimates derived from satellite imagery collected at a similar time, and use suction-cup archival logger data to make an adjustment for surface availability. We demonstrate that satellite imagery can provide useful data on whale occurrence and density. Densities, when unadjusted for surface availability are shown to be considerably lower than those estimated by the ship survey. However, adjusted for surface availability and weather conditions (0.13 whales per km(2), CV=0.38), they fall within an order of magnitude of those derived by traditional line-transect estimates (0.33 whales per km(2), CV=0.09). Satellite surveys represent an exciting development for high-resolution image-based cetacean observation at sea, particularly in inaccessible regions, presenting opportunities for ongoing and future research.</t>
  </si>
  <si>
    <t>[Bamford, C. C. G.; Fretwell, P. T.; Trathan, P. N.; Cubaynes, H. C.; Gerrish, L.; Jackson, J. A.] British Antarctic Survey, Madingley Rd, Cambridge CB3 0ET, England; [Bamford, C. C. G.] Univ Southampton, Univ Rd, Southampton SO17 1BJ, Hants, England; [Kelly, N.] Australian Govt, Australian Antarctic Div, Dept Agr Water &amp; Environm, Channel Highway, Kingston, Tas 7050, Australia; [Rosa, L. Dalla; Mesquita, A. F. C.] Univ Fed Rio Grande FURG, Inst Oceanog, Lab Ecol &amp; Conservacao Megafauna Marinha, Ave Italia Km 8, BR-96203900 Rio Grande, RS, Brazil; [Cade, D. E.] Stanford Univ, Hopkins Marine Stn, 120 Ocean View Blvd, Pacific Grove, CA 93950 USA; [Cade, D. E.; Friedlaender, A. S.] Univ Calif Santa Cruz, Inst Marine Sci, 115 McAllister Way, Santa Cruz, CA 95006 USA</t>
  </si>
  <si>
    <t>UK Research &amp; Innovation (UKRI); Natural Environment Research Council (NERC); NERC British Antarctic Survey; University of Southampton; Australian Antarctic Division; Universidade Federal do Rio Grande; Stanford University; University of California System; University of California Santa Cruz</t>
  </si>
  <si>
    <t>Bamford, CCG (corresponding author), British Antarctic Survey, Madingley Rd, Cambridge CB3 0ET, England.;Bamford, CCG (corresponding author), Univ Southampton, Univ Rd, Southampton SO17 1BJ, Hants, England.</t>
  </si>
  <si>
    <t>conord48@bas.ac.uk</t>
  </si>
  <si>
    <t>Kelly, Natalie/B-3481-2010; Jackson, Jennifer A/E-7997-2013</t>
  </si>
  <si>
    <t>Bamford, Connor/0000-0002-5732-7237; Cubaynes, Hannah/0000-0002-9497-154X; Kelly, Nat/0000-0002-9664-354X; Jackson, Jennifer/0000-0003-4158-1924; Ferreira Cussolim Mesquita, Andrea/0000-0003-4052-6210</t>
  </si>
  <si>
    <t>WWF [GB107301]; Natural Environmental Research Council [NE/L002531/1]; National Council for Scientific and Technological Development (CNPq) under the Brazilian Ministry of Science, Technology, Innovations and Communications-MCTIC [408096/2013-6]; CNPq [PQ 309258/2016-2]; National Science Foundation Office of Polar Programs award [1643877]; Directorate For Geosciences; Office of Polar Programs (OPP) [1643877] Funding Source: National Science Foundation; NERC [bas0100035, bas010011] Funding Source: UKRI</t>
  </si>
  <si>
    <t>WWF; Natural Environmental Research Council(UK Research &amp; Innovation (UKRI)Natural Environment Research Council (NERC)); National Council for Scientific and Technological Development (CNPq) under the Brazilian Ministry of Science, Technology, Innovations and Communications-MCTIC(Conselho Nacional de Desenvolvimento Cientifico e Tecnologico (CNPQ)Fundacao de Apoio a Pesquisa do Distrito Federal (FAPDF)); CNPq(Conselho Nacional de Desenvolvimento Cientifico e Tecnologico (CNPQ)); National Science Foundation Office of Polar Programs award; Directorate For Geosciences; Office of Polar Programs (OPP)(National Science Foundation (NSF)NSF - Directorate for Geosciences (GEO)); NERC(UK Research &amp; Innovation (UKRI)Natural Environment Research Council (NERC))</t>
  </si>
  <si>
    <t>This work was funded by WWF grant GB107301 Counting Southern Ocean Giants and further supported by Natural Environmental Research Council Grant number NE/L002531/1. The ship-based survey was conducted within the activities of research project Baleias, of the Brazilian Antarctic Program, financed by the National Council for Scientific and Technological Development (CNPq grant number 408096/2013-6) under the Brazilian Ministry of Science, Technology, Innovations and Communications-MCTIC. CNPq also provided a research fellowship to LDR (PQ 309258/2016-2). We thank all crew members of the polar vessel Almirante Maximiano. J.H. Prado, F.R. Castro, M. Bassoi and E. Seyboth helped with data collection. ASF is supported by National Science Foundation Office of Polar Programs award number 1643877. Surface availability data were collected under National Marine Fisheries Service permit numbers 14809, 23095, ACA 2015-011, and UCSC IACUC Friea1706. The authors would also like to thank DigitalGlobe Inc., a subsidiary of Maxar Technologies Inc., from whom the images analysed here are licensed, for their assistance and patience in coordinating image acquisition with a weather-dependent ship survey.</t>
  </si>
  <si>
    <t>NATURE PORTFOLIO</t>
  </si>
  <si>
    <t>BERLIN</t>
  </si>
  <si>
    <t>HEIDELBERGER PLATZ 3, BERLIN, 14197, GERMANY</t>
  </si>
  <si>
    <t>2045-2322</t>
  </si>
  <si>
    <t>SCI REP-UK</t>
  </si>
  <si>
    <t>Sci Rep</t>
  </si>
  <si>
    <t>10.1038/s41598-020-69887-y</t>
  </si>
  <si>
    <t>Multidisciplinary Sciences</t>
  </si>
  <si>
    <t>Science &amp; Technology - Other Topics</t>
  </si>
  <si>
    <t>MV5QX</t>
  </si>
  <si>
    <t>gold, Green Published, Green Accepted</t>
  </si>
  <si>
    <t>WOS:000556413400033</t>
  </si>
  <si>
    <t>Altmannshofer, W; Dev, PSB; Soni, A; Sui, YC</t>
  </si>
  <si>
    <t>Altmannshofer, Wolfgang; Dev, P. S. Bhupal; Soni, Amarjit; Sui, Yicong</t>
  </si>
  <si>
    <t>Addressing RD(*), RK(*), muon g-2 and ANITA anomalies in a minimal R-parity violating supersymmetric framework</t>
  </si>
  <si>
    <t>PHYSICAL REVIEW D</t>
  </si>
  <si>
    <t>LEPTON-FLAVOR; UNIVERSALITY VIOLATION; SCALAR CONTRIBUTIONS; MAGNETIC-MOMENT; TAU-DECAYS; B-C; SEARCH; LEPTOQUARK; NUMBER; MODEL</t>
  </si>
  <si>
    <t>We analyze the recent hints of lepton flavor universality violation in both charged-current and neutralcurrent rare decays of B mesons in an R-parity-violating supersymmetric scenario. Motivated by simplicity and minimality, we had earlier postulated the third-generation superpartners to be the lightest (calling the scenario RPV3) and explicitly showed that it preserves gauge coupling unification and of course has the usual attribute of naturally addressing the Higgs radiative stability. Here we show that both R-D(*) and R-K(*) flavor anomalies can be addressed in this RPV3 framework. Interestingly, this scenario may also be able to accommodate two other seemingly disparate anomalies, namely, the longstanding discrepancy in the muon (g - 2), as well as the recent anomalous upgoing ultrahigh-energy Antarctic Impulsive Transient Antenna events. Based on symmetry arguments, we consider three different benchmark points for the relevant RPV3 couplings and carve out the regions of parameter space where all (or some) of these anomalies can be simultaneously explained. We find it remarkable that such overlap regions exist, given the plethora of precision low-energy and high-energy experimental constraints on the minimal model parameter space. The third-generation superpartners needed in this theoretical construction are all in the 1-10 TeV range, accessible at the LHC and/or next-generation hadmn colliders. We also discuss some testable predictions for the lepton-flavor-violating decays of the tau lepton and B mesons for the current and future B-physics experiments, such as LHCb and Belle II. Complementary tests of the flavor anomalies in the high-p(T) regime in collider experiments such as the LHC are also discussed.</t>
  </si>
  <si>
    <t>[Altmannshofer, Wolfgang] Univ Calif Santa Cruz, Dept Phys, Santa Cruz, CA 95064 USA; [Altmannshofer, Wolfgang] Univ Calif Santa Cruz, Santa Cruz Inst Particle Phys, Santa Cruz, CA 95064 USA; [Dev, P. S. Bhupal; Sui, Yicong] Washington Univ, Dept Phys, St Louis, MO 63130 USA; [Dev, P. S. Bhupal; Sui, Yicong] Washington Univ, McDonnell Ctr Space Sci, St Louis, MO 63130 USA; [Soni, Amarjit] Brookhaven Natl Lab, Phys Dept, Upton, NY 11973 USA</t>
  </si>
  <si>
    <t>University of California System; University of California Santa Cruz; University of California System; University of California Santa Cruz; Washington University (WUSTL); Washington University (WUSTL); United States Department of Energy (DOE); Brookhaven National Laboratory</t>
  </si>
  <si>
    <t>Altmannshofer, W (corresponding author), Univ Calif Santa Cruz, Dept Phys, Santa Cruz, CA 95064 USA.;Altmannshofer, W (corresponding author), Univ Calif Santa Cruz, Santa Cruz Inst Particle Phys, Santa Cruz, CA 95064 USA.</t>
  </si>
  <si>
    <t>Dev, Bhupal/AAF-5719-2019</t>
  </si>
  <si>
    <t>Dev, Bhupal/0000-0003-4655-2866; Sui, Yicong/0000-0002-2573-0216</t>
  </si>
  <si>
    <t>National Science Foundation [PHY-1912719]; U.S. Department of Energy [DE-SC0017987]; Neutrino Theory Network Program [DE-AC0207CH11359]; U.S. DOE [DE-SC0012704]; Munich Institute for Astro-and Particle Physics (MIAPP) - Deutsche Forschungsgemeinschaft (DFG, German Research Foundation) [EXC-2094-390783311]; MCSS funds</t>
  </si>
  <si>
    <t>National Science Foundation(National Science Foundation (NSF)); U.S. Department of Energy(United States Department of Energy (DOE)); Neutrino Theory Network Program; U.S. DOE(United States Department of Energy (DOE)); Munich Institute for Astro-and Particle Physics (MIAPP) - Deutsche Forschungsgemeinschaft (DFG, German Research Foundation)(German Research Foundation (DFG)); MCSS funds</t>
  </si>
  <si>
    <t>Discussions with Bhubanjyoti Bhattacharya, Angelo Di Canto, Tim Gershon, Hassan Jawahery, Christoph Lehner and Sheldon Stone are gratefully acknowledged. The research of W. A. is supported by the National Science Foundation under Grant No. PHY-1912719. The work of B. D. and Y. S. is supported in part by the U.S. Department of Energy under Grant No. DE-SC0017987 and in part by the MCSS funds, as well as by the Neutrino Theory Network Program under Grant No. DE-AC0207CH11359. The work of A. S. was supported in part by the U.S. DOE Contract No. #DE-SC0012704. W. A. and A. S. acknowledge support by the Munich Institute for Astro-and Particle Physics (MIAPP) which is funded by the Deutsche Forschungsgemeinschaft (DFG, German Research Foundation) under Germany's Excellence Strategy-EXC-2094-390783311. B. D. and A. S. would like to thank the organizers of FPCP 2018 at University of Hyderabad for hospitality, where part of this work was done. B. D. and Y. S. would like to thank the High Energy Theory group at Oklahoma State University for warm hospitality during a summer visit in 2019, where part of this work was done.</t>
  </si>
  <si>
    <t>AMER PHYSICAL SOC</t>
  </si>
  <si>
    <t>COLLEGE PK</t>
  </si>
  <si>
    <t>ONE PHYSICS ELLIPSE, COLLEGE PK, MD 20740-3844 USA</t>
  </si>
  <si>
    <t>2470-0010</t>
  </si>
  <si>
    <t>2470-0029</t>
  </si>
  <si>
    <t>PHYS REV D</t>
  </si>
  <si>
    <t>Phys. Rev. D</t>
  </si>
  <si>
    <t>10.1103/PhysRevD.102.015031</t>
  </si>
  <si>
    <t>Astronomy &amp; Astrophysics; Physics, Particles &amp; Fields</t>
  </si>
  <si>
    <t>Astronomy &amp; Astrophysics; Physics</t>
  </si>
  <si>
    <t>MS6UR</t>
  </si>
  <si>
    <t>WOS:000554411300009</t>
  </si>
  <si>
    <t>Clark, MS; Peck, LS; Arivalagan, J; Backeljau, T; Berland, S; Cardoso, JCR; Caurcel, C; Chapelle, G; De Noia, M; Dupont, S; Gharbi, K; Hoffman, JI; Last, KS; Marie, A; Melzner, F; Michalek, K; Morris, J; Power, DM; Ramesh, K; Sanders, T; Sillanpää, K; Sleight, VA; Stewart-Sinclair, PJ; Sundell, K; Telesca, L; Vendrami, DLJ; Ventura, A; Wilding, TA; Yarra, T; Harper, EM</t>
  </si>
  <si>
    <t>Clark, Melody S.; Peck, Lloyd S.; Arivalagan, Jaison; Backeljau, Thierry; Berland, Sophie; Cardoso, Joao C. R.; Caurcel, Carlos; Chapelle, Gauthier; De Noia, Michele; Dupont, Sam; Gharbi, Karim; Hoffman, Joseph, I; Last, Kim S.; Marie, Arul; Melzner, Frank; Michalek, Kati; Morris, James; Power, Deborah M.; Ramesh, Kirti; Sanders, Trystan; Sillanpaa, Kirsikka; Sleight, Victoria A.; Stewart-Sinclair, Phoebe J.; Sundell, Kristina; Telesca, Luca; Vendrami, David L. J.; Ventura, Alexander; Wilding, Thomas A.; Yarra, Tejaswi; Harper, Elizabeth M.</t>
  </si>
  <si>
    <t>Deciphering mollusc shell production: the roles of genetic mechanisms through to ecology, aquaculture and biomimetics</t>
  </si>
  <si>
    <t>BIOLOGICAL REVIEWS</t>
  </si>
  <si>
    <t>integrative biomineralization; calcification; calcium; skeleton; adaptation; phenotypic plasticity; ion channels; Crassostrea; Pinctada; Mytilus</t>
  </si>
  <si>
    <t>PEARL OYSTER; MATRIX PROTEIN; CLIMATE-CHANGE; BIOMINERALIZATION PROCESSES; PHYSIOLOGICAL-RESPONSES; CRASSOSTREA-VIRGINICA; PHENOTYPIC PLASTICITY; INFECTIOUS-DISEASES; KEY MACROMOLECULE; INTERTIDAL SNAIL</t>
  </si>
  <si>
    <t>Most molluscs possess shells, constructed from a vast array of microstructures and architectures. The fully formed shell is composed of calcite or aragonite. These CaCO(3)crystals form complex biocomposites with proteins, which although typically less than 5% of total shell mass, play significant roles in determining shell microstructure. Despite much research effort, large knowledge gaps remain in how molluscs construct and maintain their shells, and how they produce such a great diversity of forms. Here we synthesize results on how shell shape, microstructure, composition and organic content vary among, and within, species in response to numerous biotic and abiotic factors. At the local level, temperature, food supply and predation cues significantly affect shell morphology, whilst salinity has a much stronger influence across latitudes. Moreover, we emphasize how advances in genomic technologies [e.g. restriction site-associated DNA sequencing (RAD-Seq) and epigenetics] allow detailed examinations of whether morphological changes result from phenotypic plasticity or genetic adaptation, or a combination of these. RAD-Seq has already identified single nucleotide polymorphisms associated with temperature and aquaculture practices, whilst epigenetic processes have been shown significantly to modify shell construction to local conditions in, for example, Antarctica and New Zealand. We also synthesize results on the costs of shell construction and explore how these affect energetic trade-offs in animal metabolism. The cellular costs are still debated, with CaCO(3)precipitation estimates ranging from 1-2 J/mg to 17-55 J/mg depending on experimental and environmental conditions. However, organic components are more expensive (similar to 29 J/mg) and recent data indicate transmembrane calcium ion transporters can involve considerable costs. This review emphasizes the role that molecular analyses have played in demonstrating multiple evolutionary origins of biomineralization genes. Although these are characterized by lineage-specific proteins and unique combinations of co-opted genes, a small set of protein domains have been identified as a conserved biomineralization tool box. We further highlight the use of sequence data sets in providing candidate genes forin situlocalization and protein function studies. The former has elucidated gene expression modularity in mantle tissue, improving understanding of the diversity of shell morphology synthesis. RNA interference (RNAi) and clustered regularly interspersed short palindromic repeats - CRISPR-associated protein 9 (CRISPR-Cas9) experiments have provided proof of concept for use in the functional investigation of mollusc gene sequences, showing for example that Pif (aragonite-binding) protein plays a significant role in structured nacre crystal growth and that theLsdia1gene sets shell chirality inLymnaea stagnalis. Much research has focused on the impacts of ocean acidification on molluscs. Initial studies were predominantly pessimistic for future molluscan biodiversity. However, more sophisticated experiments incorporating selective breeding and multiple generations are identifying subtle effects and that variability within mollusc genomes has potential for adaption to future conditions. Furthermore, we highlight recent historical studies based on museum collections that demonstrate a greater resilience of molluscs to climate change compared with experimental data. The future of mollusc research lies not solely with ecological investigations into biodiversity, and this review synthesizes knowledge across disciplines to understand biomineralization. It spans research ranging from evolution and development, through predictions of biodiversity prospects and future-proofing of aquaculture to identifying new biomimetic opportunities and societal benefits from recycling shell products.</t>
  </si>
  <si>
    <t>[Clark, Melody S.; Peck, Lloyd S.; Yarra, Tejaswi] British Antarctic Survey, Nat Environm Res Council, Madingley Rd, Cambridge CBS 0ET, England; [Arivalagan, Jaison; Marie, Arul] Sorbonne Univ, Museum Natl Hist Nat, MNHN Mol Commun &amp; Adaptat Microorganismes, UMR 7245,CNRS, Paris, France; [Arivalagan, Jaison] Northwestern Univ, Prote Ctr Excellence, 710 N Fairbanks Ct, Chicago, IL 60611 USA; [Backeljau, Thierry; Chapelle, Gauthier; Morris, James] Royal Belgian Inst Nat Sci, Rue Vautier 29, B-1000 Brussels, Belgium; [Backeljau, Thierry] Univ Antwerp, Evolutionary Ecol Grp, Univ Pl 1, B-2610 Antwerp, Belgium; [Berland, Sophie] Sorbonne Univ, Museum Natl Hist Nat, UMR 7208, CNRS,MNHN,UPMC,IRD Biol Organismes Aquat &amp; Ecosys, Paris, France; [Cardoso, Joao C. R.; Power, Deborah M.] Univ Algarve, Ctr Ciencias Mar, Campus Gambelas, P-8005139 Faro, Portugal; [Caurcel, Carlos; Gharbi, Karim; Yarra, Tejaswi] Univ Edinburgh, Inst Evolutionary Biol, Ashworth Labs, Charlotte Auerbach Rd, Edinburgh EH9 3FL, Midlothian, Scotland; [De Noia, Michele; Hoffman, Joseph, I; Vendrami, David L. J.] Univ Bielefeld, Dept Anim Behav, Postfach 100131, D-33615 Bielefeld, Germany; [De Noia, Michele] Univ Glasgow, Inst Biodivers Anim Hlth &amp; Comparat Med, Glasgow G12 8QQ, Lanark, Scotland; [Dupont, Sam; Ventura, Alexander] Univ Goteburg, Dept Biol &amp; Environm Sci, Box 463, SE-40530 Gothenburg, Sweden; [Last, Kim S.; Michalek, Kati; Stewart-Sinclair, Phoebe J.; Wilding, Thomas A.] Scottish Marine Inst, Scottish Assoc Marine Sci, Oban PA37 1QA, Argyll, Scotland; [Melzner, Frank; Ramesh, Kirti; Sanders, Trystan] GEOMAR Helmholtz Ctr Ocean Res, D-24105 Kiel, Germany; [Sillanpaa, Kirsikka; Sundell, Kristina] Univ Gothenburg, Dept Biol &amp; Environm Sci, Swemarc, Box 463, SE-40530 Gothenburg, Sweden; [Sleight, Victoria A.] Univ Aberdeen, Sch Biol Sci, Zool Bldg,Tillydrone Ave, Aberdeen AB24 2T2, Scotland; [Telesca, Luca; Harper, Elizabeth M.] Univ Cambridge, Dept Earth Sci, Cambridge CB2 3EQ, England</t>
  </si>
  <si>
    <t>UK Research &amp; Innovation (UKRI); Natural Environment Research Council (NERC); NERC British Antarctic Survey; Museum National d'Histoire Naturelle (MNHN); Centre National de la Recherche Scientifique (CNRS); CNRS - Institute of Ecology &amp; Environment (INEE); Sorbonne Universite; Northwestern University; Royal Belgian Institute of Natural Sciences; University of Antwerp; Centre National de la Recherche Scientifique (CNRS); Institut de Recherche pour le Developpement (IRD); Museum National d'Histoire Naturelle (MNHN); Sorbonne Universite; CNRS - Institute of Ecology &amp; Environment (INEE); Universidade do Algarve; University of Edinburgh; University of Bielefeld; University of Glasgow; UHI Millennium Institute; Helmholtz Association; GEOMAR Helmholtz Center for Ocean Research Kiel; University of Gothenburg; University of Aberdeen; University of Cambridge</t>
  </si>
  <si>
    <t>Clark, MS (corresponding author), British Antarctic Survey, Nat Environm Res Council, Madingley Rd, Cambridge CBS 0ET, England.</t>
  </si>
  <si>
    <t>mscl@bas.ac.uk</t>
  </si>
  <si>
    <t>Harper, Elizabeth M/B-3890-2008; MARIE, Arul/JXL-6199-2024; Stewart-Sinclair, Phoebe/HJI-9231-2023; Stewart-Sinclair, Phoebe/ABA-5879-2021; Sleight, Victoria A./AHE-7337-2022; Vendrami, David/AAH-1912-2021; Power, Deborah M/D-3333-2011; Gharbi, Karim/C-5771-2012; Arivalagan, Jaison/ABB-6738-2021; Hoffman, Joseph/K-7725-2012; Clark, Melody/D-7371-2014; Sundell, Kristina/F-8884-2016; Cardoso, Joao/M-4151-2013; Melzner, Frank/X-4339-2018</t>
  </si>
  <si>
    <t>MARIE, Arul/0000-0003-4104-140X; Sleight, Victoria A./0000-0003-0550-8500; Vendrami, David/0000-0001-9409-4084; Power, Deborah M/0000-0003-1366-0246; Gharbi, Karim/0000-0003-1092-4488; Arivalagan, Jaison/0000-0001-8426-5273; Wilding, Thomas/0000-0002-4946-4020; Morris, James/0000-0002-4804-3312; Hoffman, Joseph/0000-0001-5895-8949; Michalek, Kati/0000-0002-5531-837X; Clark, Melody/0000-0002-3442-3824; Ramesh, Kirti/0000-0001-7889-6722; Sundell, Kristina/0000-0002-7643-2083; Caurcel, Carlos/0000-0003-3836-1402; Cardoso, Joao/0000-0001-7890-0170; Telesca, Luca/0000-0002-9060-2261; Melzner, Frank/0000-0002-5884-1318; Sanders, Trystan/0000-0002-7605-0747</t>
  </si>
  <si>
    <t>European Union Seventh Framework Programme [FP7] ITN project 'CACHE: Calcium in a Changing Environment' under REA [605051]; Fundacao para a Ciencia e a Tecnologia (FCT) [UID/Multi/04326/2019]; European Marine Biological Research Infrastructure Cluster-EMBRIC (EU H2020 research and innovation program) [654008]; Natural Environment Research Council Studentship [NE/J500173/1]; NERC [NE/J500173/1, bas0100036] Funding Source: UKRI</t>
  </si>
  <si>
    <t>European Union Seventh Framework Programme [FP7] ITN project 'CACHE: Calcium in a Changing Environment' under REA; Fundacao para a Ciencia e a Tecnologia (FCT)(Fundacao para a Ciencia e a Tecnologia (FCT)); European Marine Biological Research Infrastructure Cluster-EMBRIC (EU H2020 research and innovation program); Natural Environment Research Council Studentship(UK Research &amp; Innovation (UKRI)Natural Environment Research Council (NERC)); NERC(UK Research &amp; Innovation (UKRI)Natural Environment Research Council (NERC))</t>
  </si>
  <si>
    <t>This manuscript was partly funded by the European Union Seventh Framework Programme [FP7] ITN project 'CACHE: Calcium in a Changing Environment' (www.cache-itn.eu) under REA grant agreement 605051. The authors thank everyone involved in this project including Mark Blaxter, Xushuai Zhang, Yan Wang-Duffort, Nina Fox, Rita Pereira, Nicola Munro, Elaina Ford, Lucy Gonzalez, Christina Chatzela, Rachel Ramirez, our EU Project Officer Giuliana Donini and EU Mid-Term Review Expert Guy Duke. Also, many thanks to our Project Partners: the Association of Scottish Shellfish Growers, specifically Nick Lake, Janet Brown and Walter Speirs, Coastal Research and Management, Kiel especially Peter Krost, and our External Experts Professor Catherine Boyen, Station Biologique de Roscoff and Professor Mike Thorndyke. We also thank Laura Gerrish and Jamie Oliver (British Antarctic Survey) for drawing figures. Additional funds were provided by Fundacao para a Ciencia e a Tecnologia (FCT) through project UID/Multi/04326/2019 and the European Marine Biological Research Infrastructure Cluster-EMBRIC (EU H2020 research and innovation program, agreement no 654008) and a Natural Environment Research Council Studentship (Project Reference: NE/J500173/1) to V.A.S.</t>
  </si>
  <si>
    <t>1464-7931</t>
  </si>
  <si>
    <t>1469-185X</t>
  </si>
  <si>
    <t>BIOL REV</t>
  </si>
  <si>
    <t>Biol. Rev.</t>
  </si>
  <si>
    <t>DEC</t>
  </si>
  <si>
    <t>10.1111/brv.12640</t>
  </si>
  <si>
    <t>Biology</t>
  </si>
  <si>
    <t>Life Sciences &amp; Biomedicine - Other Topics</t>
  </si>
  <si>
    <t>OM1PL</t>
  </si>
  <si>
    <t>Green Published, Green Accepted, hybrid</t>
  </si>
  <si>
    <t>WOS:000554064300001</t>
  </si>
  <si>
    <t>Baldanzi, S; Storch, D; Fusi, M; Weidberg, N; Tissot, A; Navarrete, SA; Fernández, M</t>
  </si>
  <si>
    <t>Baldanzi, Simone; Storch, Daniela; Fusi, Marco; Weidberg, Nicolas; Tissot, Alexandra; Navarrete, Sergio A.; Fernandez, Miriam</t>
  </si>
  <si>
    <t>Combined effects of temperature and hypoxia shape female brooding behaviors and the early ontogeny of the Chilean kelp crab Taliepus dentatus</t>
  </si>
  <si>
    <t>MARINE ECOLOGY PROGRESS SERIES</t>
  </si>
  <si>
    <t>Environmental drivers; Egg size; Larval size; Offspring size-performance relationship; Larval swimming speed; Brachyuran crabs; Life history traits</t>
  </si>
  <si>
    <t>EMBRYONIC-DEVELOPMENT; EGG SIZE; OXYGEN AVAILABILITY; DISSOLVED-OXYGEN; OCEAN DEOXYGENATION; BRACHYURAN CRABS; CANCER-SETOSUS; CLIMATE-CHANGE; PARENTAL CARE; MARINE</t>
  </si>
  <si>
    <t>The ecophysiology of marine ectotherms is regulated by the interaction of temperature with environmental drivers, such as dissolved oxygen (DO). The combination of low levels of DO and temperature in the ocean affects physiological and behavioral responses, especially in early life history traits of marine species. Here, we aimed to investigate the combined effect of ecologically relevant values of temperature andDOon female brooding behavior as well as on the early ontogeny of the Chilean kelp crab Taliepus dentatus. In a laboratory experiment, after acclimation and mating of females and males in constant temperatures (11 or 14 degrees C), we exposed brooding females to 1 of 2 temperatures (11 or 14 degrees C) and 1 of 2 DO levels (normoxia or cycling hypoxia). We tested the effects of these 4 treatments on embryo and larval sizes, embryo developmental time, female brooding behavior (i.e. embryo ventilation), larval hatching (i.e. number of hatched larvae), Zoea 1 survival to starvation, and swimming speed. We found a negative effect of temperature on the size of early embryos, but no interactions were detected in embryo size during development. High temperature and low DO increased female brooding behavior and larval size, reduced the number of hatched larvae, and affected larval swimming speed. Embryo development time and larval survival were negatively affected by temperature. These results suggest that an increasing frequency of hypoxic events, combined with ocean warming, might have important consequences on marine invertebrate brooders, affecting female fecundity, larval performance and, potentially, their dispersal ability even well within their optimal thermal range.</t>
  </si>
  <si>
    <t>[Baldanzi, Simone] Univ Valparaiso, Fac Ciencia Mar &amp; Recursos Nat, Av Borgono 16344, Vina Del Mar 2520000, Chile; [Baldanzi, Simone; Weidberg, Nicolas; Tissot, Alexandra; Navarrete, Sergio A.; Fernandez, Miriam] Pontificia Univ Catolica Chile, Estn Costera Invest Marinas ECIM, Av Bernardo OHiggins 340, Santiago 2690000, Chile; [Storch, Daniela] Helmholtz Ctr Polar &amp; Marine Res, Alfred Wegener Inst, Integrat Ecophysiol, Handelshafen 12, D-27570 Bremerhaven, Germany; [Fusi, Marco] Edinburgh Napier Univ, Sch Appl Sci, Edinburgh EH11 4BN, Midlothian, Scotland; [Weidberg, Nicolas] Univ Tromso, Fac Biosci Fisheries &amp; Econ, Dept Arctic Marine Biol, Muninbakken 21, N-9019 Tromso, Norway; [Navarrete, Sergio A.] Pontificia Univ Catolica Chile, Ctr Appl Ecol &amp; Sustainabil CAPES, LINCGlobal, Santiago 8331150, Chile</t>
  </si>
  <si>
    <t>Universidad de Valparaiso; Pontificia Universidad Catolica de Chile; Helmholtz Association; Alfred Wegener Institute, Helmholtz Centre for Polar &amp; Marine Research; Edinburgh Napier University; UiT The Arctic University of Tromso; Pontificia Universidad Catolica de Chile</t>
  </si>
  <si>
    <t>Baldanzi, S (corresponding author), Univ Valparaiso, Fac Ciencia Mar &amp; Recursos Nat, Av Borgono 16344, Vina Del Mar 2520000, Chile.;Baldanzi, S (corresponding author), Pontificia Univ Catolica Chile, Estn Costera Invest Marinas ECIM, Av Bernardo OHiggins 340, Santiago 2690000, Chile.</t>
  </si>
  <si>
    <t>simone.baldanzi@uv.cl</t>
  </si>
  <si>
    <t>Navarrete, Sergio A/D-4645-2013; Tissot, Alexandra G/AHE-6042-2022</t>
  </si>
  <si>
    <t>Tissot, Alexandra G/0000-0003-3480-9695; FERNANDEZ, MIRIAM/0000-0003-4273-5227; Weidberg, Nicolas/0000-0001-5726-518X; Baldanzi, Simone/0000-0002-7153-4734</t>
  </si>
  <si>
    <t>Comision Nacional de Investigacion Cientifica y Tecnologica (CONICYT); Fondo Nacional de Desarrollo Cientifico y Tecnologico (FONDECYT POSTDOCTORADO) [3150020]; Deutsche Forschungsgemeinschaft (DFG) [STO 857/2]; Alexander von Humboldt Foundation</t>
  </si>
  <si>
    <t>Comision Nacional de Investigacion Cientifica y Tecnologica (CONICYT)(Comision Nacional de Investigacion Cientifica y Tecnologica (CONICYT)); Fondo Nacional de Desarrollo Cientifico y Tecnologico (FONDECYT POSTDOCTORADO); Deutsche Forschungsgemeinschaft (DFG)(German Research Foundation (DFG)); Alexander von Humboldt Foundation(Alexander von Humboldt Foundation)</t>
  </si>
  <si>
    <t>This work was fully funded by the Comision Nacional de Investigacion Cientifica y Tecnologica (CONICYT) and Fondo Nacional de Desarrollo Cientifico y Tecnologico (FONDECYT POSTDOCTORADO), grant number 3150020 assigned to S.B. This work was supported by the Deutsche Forschungsgemeinschaft (DFG) in the framework of the priority program `Antarctic research with comparative investigations in Arctic ice areas' by grant STO 857/2 to D.S. and by the Alexander von Humboldt Foundation in the framework of its alumni program `Research Group Linkage' to D.S. and M. Fernandez. We are grateful to students and technicians of the Pontificia Universidad Catolica de Chile for their valuable help during the experiments. We thank Dr. Francesca Porri (South African Institute for Aquatic Biodiversity) for her valuable contribution to an earlier draft of the paper, and 3 anonymous reviewers whose feedback greatly improved the quality of the final work.</t>
  </si>
  <si>
    <t>INTER-RESEARCH</t>
  </si>
  <si>
    <t>OLDENDORF LUHE</t>
  </si>
  <si>
    <t>NORDBUNTE 23, D-21385 OLDENDORF LUHE, GERMANY</t>
  </si>
  <si>
    <t>0171-8630</t>
  </si>
  <si>
    <t>1616-1599</t>
  </si>
  <si>
    <t>MAR ECOL PROG SER</t>
  </si>
  <si>
    <t>Mar. Ecol.-Prog. Ser.</t>
  </si>
  <si>
    <t>JUL 30</t>
  </si>
  <si>
    <t>10.3354/meps13381</t>
  </si>
  <si>
    <t>Ecology; Marine &amp; Freshwater Biology; Oceanography</t>
  </si>
  <si>
    <t>Environmental Sciences &amp; Ecology; Marine &amp; Freshwater Biology; Oceanography</t>
  </si>
  <si>
    <t>QL6QG</t>
  </si>
  <si>
    <t>WOS:000621208500007</t>
  </si>
  <si>
    <t>Marón, CF; Budge, SM; Ward, RE; Valenzuela, L; Di Martino, M; Ricciardi, M; Sironi, M; Uhart, M; Seger, J; Rowntree, VJ</t>
  </si>
  <si>
    <t>Maron, Carina F.; Budge, Suzanne M.; Ward, Robert E.; Valenzuela, Luciano; Di Martino, Matias; Ricciardi, Marcos; Sironi, Mariano; Uhart, Marcela; Seger, Jon; Rowntree, Victoria J.</t>
  </si>
  <si>
    <t>Fatty acids and stable isotopes (δ13C, δ15N) in southern right whale Eubalaena australis calves in relation to age and mortality at Peninsula Valdes, Argentina</t>
  </si>
  <si>
    <t>Fatty acids; Calves; Diet; Blubber; Mortality; Carbon-13; Nitrogen-15; Nutritional status; Growth</t>
  </si>
  <si>
    <t>DOCOSAHEXAENOIC ACID; ANTARCTIC KRILL; BLUBBER; POPULATION; DIET; FOOD; STRATIFICATION; VARIABILITY; DEFICIENCY; MOTHERS</t>
  </si>
  <si>
    <t>Baleen whales accumulate fat reserves during the summer to sustain reproduction while fasting in the winter. The southern right whale Eubalaena australis population that calves off Peninsula Valdes, Argentina, experienced high calf mortality events from 2003 to 2013 and poor nutritional states of mothers could be a contributing cause. Previous studies found that the population's reproductive success is influenced by prey availability. Mothers unable to build sufficient fat reserves or feeding on prey with different nutritional value may fail to meet the demands of lactation. Milk is the only source of nutrients and energy for calves at Valdes, so their fatty acids (FAs) and stable isotopes should reflect their mother's diet and feeding-ground locations. Here, we compared FA profiles and C and N stable isotopes of dead calves with those of living calves to evaluate the potential impact of maternal nutrition on calf survival. We found no differences in the FA composition of blubber in dead and living calves, indicating similar maternal diets. Likewise, the isotopic values of living and dead calves imply that their mothers had similar foraging ranges. However, FA composition was greatly affected by calf length, indicating effects of calf age and duration of nursing. These findings suggest that mothers of dead calves did not feed on different diets or feeding grounds compared to mothers of living calves. Future research should further assess the overall health and body condition of the Valdes southern right whale calves.</t>
  </si>
  <si>
    <t>[Maron, Carina F.; Sironi, Mariano] Univ Nacl Cordoba, Fac Ciencias Exactas Fis &amp; Nat FCEFyN, RA-5000 Cordoba, Argentina; [Maron, Carina F.; Valenzuela, Luciano; Ricciardi, Marcos; Sironi, Mariano; Rowntree, Victoria J.] Inst Conservac Ballenas, RA-1429 Buenos Aires, Argentina; [Budge, Suzanne M.] Dalhousie Univ, Dept Proc Engn &amp; Appl Sci, Halifax, NS B3H 4R2, Canada; [Ward, Robert E.] Utah State Univ, Dept Nutr Dietet &amp; Food Sci, Logan, UT 84322 USA; [Valenzuela, Luciano; Seger, Jon; Rowntree, Victoria J.] Univ Utah, Sch Biol Sci, Salt Lake City, UT 84112 USA; [Valenzuela, Luciano] Univ Nacl Ctr Prov Buenos Aires, Lab Ecol Evolut Humana, CONICET, RA-7631 Quequen, Argentina; [Di Martino, Matias; Sironi, Mariano; Uhart, Marcela; Rowntree, Victoria J.] Southern Right Whale Hlth Monitoring Program, RA-9120 Chubut, Argentina; [Rowntree, Victoria J.] Whale Conservat Inst Ocean Alliance, Gloucester, MA 95616 USA; [Uhart, Marcela] Univ Calif Davis, Karen C Drayer Wildlife Hlth Ctr, Sch Vet Med, Davis, CA 95616 USA</t>
  </si>
  <si>
    <t>National University of Cordoba; Dalhousie University; Utah System of Higher Education; Utah State University; Utah System of Higher Education; University of Utah; Consejo Nacional de Investigaciones Cientificas y Tecnicas (CONICET); Comision Nacional de Energia Atomica (CNEA); University of California System; University of California Davis</t>
  </si>
  <si>
    <t>Marón, CF (corresponding author), Univ Nacl Cordoba, Fac Ciencias Exactas Fis &amp; Nat FCEFyN, RA-5000 Cordoba, Argentina.;Marón, CF (corresponding author), Inst Conservac Ballenas, RA-1429 Buenos Aires, Argentina.</t>
  </si>
  <si>
    <t>carimaron@gmail.com</t>
  </si>
  <si>
    <t>Budge, Suzanne/0000-0003-4984-7344</t>
  </si>
  <si>
    <t>Conservation, Research and Education Opportunities International (CREOI); American Cetacean Society; Global Change &amp; Sustainability Center (GCSC) Research Fund of the University of Utah; PADI Foundation; Office of Protected Resources of the US National Marine Fisheries Service, National Oceanic and Atmospheric Administration [DG133F-02-SE-0901, DG-133F-06-SE-5823, DG133F07SE4651]; US Marine Mammal Commission [E4047315, E4061768]; Ocean Foundation; Island Foundation; Pacific Life Foundation; Lawrence Foundation; Wildlife Conservation Society; Ocean Alliance; Animal Behavior Society -Amy R. Samuels Cetacean Behavior Award; FOCA Banco Galicia</t>
  </si>
  <si>
    <t>Conservation, Research and Education Opportunities International (CREOI); American Cetacean Society; Global Change &amp; Sustainability Center (GCSC) Research Fund of the University of Utah; PADI Foundation; Office of Protected Resources of the US National Marine Fisheries Service, National Oceanic and Atmospheric Administration; US Marine Mammal Commission; Ocean Foundation; Island Foundation; Pacific Life Foundation; Lawrence Foundation; Wildlife Conservation Society; Ocean Alliance; Animal Behavior Society -Amy R. Samuels Cetacean Behavior Award; FOCA Banco Galicia</t>
  </si>
  <si>
    <t>We thank Luciano La Sala, Luciana M. Pozzi, Luciana Musmeci, Nadia Mohamed, Juan Emilio Sala, Julian Andrejuk, Andrea Chirife, Lucas Bandieri, Lucas Beltramino, M. Virginia Rago and volunteers of the Southern Right Whale Health Monitoring Program (SRWHMP) for collecting samples from dead calves. Sarah Haney from the Canadian Whale Institute, Diego Taboada, Roxana Schteinbarg, Julieta Martino and volunteers of the Instituto de Conservacion de Ballenas (ICB), members of Fundacion Patagonia Natural, and Dr. Teri Rowles from National Marine Fisheries Service, NOAA, have also provided invaluable support of various kinds. This work was conducted under research permits issued by the Direccion de Fauna y Flora Silvestre and by the Subsecretaria de Turismo y Areas Protegidas of Chubut Province, Argentina. Samples were exported under Argentine CITES Export Permit from the Secretaria de Ambiente y Desarrollo Sustentable #035836, 035837, 035838 and imported into United States under NMFS-US CITES Import Permit #11US082589/9. This work was supported by the Conservation, Research and Education Opportunities International (CREOI) to C.F.M., the American Cetacean Society Grants-in-Aid of Research to C.F.M., Animal Behavior Society -Amy R. Samuels Cetacean Behavior Award to C.F.M., the Global Change &amp; Sustainability Center (GCSC) Research Fund of the University of Utah to C.F.M., a PADI Foundation grant to C.F.M., the Office of Protected Resources of the US National Marine Fisheries Service, National Oceanic and Atmospheric Administration (DG133F-02-SE-0901, DG-133F-06-SE-5823 and DG133F07SE4651), the US Marine Mammal Commission (Grants E4047315 and E4061768), the Ocean Foundation, the Island Foundation, the Pacific Life Foundation, the Lawrence Foundation, FOCA Banco Galicia, the Wildlife Conservation Society, and Ocean Alliance.</t>
  </si>
  <si>
    <t>10.3354/meps13387</t>
  </si>
  <si>
    <t>WOS:000621208500013</t>
  </si>
  <si>
    <t>Ma, B; Shang, ZH; Hu, Y; Hu, KL; Wang, YJ; Yang, X; Ashley, MCB; Hickson, P; Jiang, P</t>
  </si>
  <si>
    <t>Ma, Bin; Shang, Zhaohui; Hu, Yi; Hu, Keliang; Wang, Yongjiang; Yang, Xu; Ashley, Michael C. B.; Hickson, Paul; Jiang, Peng</t>
  </si>
  <si>
    <t>Night-time measurements of astronomical seeing at Dome A in Antarctica</t>
  </si>
  <si>
    <t>NATURE</t>
  </si>
  <si>
    <t>DIFFERENTIAL IMAGE MOTION; BOUNDARY-LAYER; OPTICAL TURBULENCE; SURFACE-LAYER; SITE</t>
  </si>
  <si>
    <t>Seeing-the angular size of stellar images blurred by atmospheric turbulence-is a critical parameter used to assess the quality of astronomical sites at optical/infrared wavelengths. Median values at the best mid-latitude sites are generally in the range of 0.6-0.8 arcseconds(1-3). Sites on the Antarctic plateau are characterized by comparatively weak turbulence in the free atmosphere above a strong but thin boundary layer(4-6). The median seeing at Dome C is estimated to be 0.23-0.36 arcseconds(7-10)above a boundary layer that has a typical height of 30 metres(10-12). At Domes A and F, the only previous seeing measurements have been made during daytime(13,14). Here we report measurements of night-time seeing at Dome A, using a differential image motion monitor(15). Located at a height of just 8 metres, it recorded seeing as low as 0.13 arcseconds, and provided seeing statistics that are comparable to those at a height of 20 metres at Dome C. This indicates that the boundary layer was below 8 metres for 31 per cent of the time, with median seeing of 0.31 arcseconds, consistent with free-atmosphere seeing. The seeing and boundary-layer thickness are found to be strongly correlated with the near-surface temperature gradient. The correlation confirms a median thickness of approximately 14 metres for the boundary layer at Dome A, as found from a sonic radar(16). The thinner boundary layer makes it less challenging to locate a telescope above it, thereby giving greater access to the free atmosphere. The night-time seeing (the extent to which a star's light is blurred by the atmosphere) at Dome A, the highest part on the Antarctic plateau, can be as good as 0.13 arcseconds above a height of only 8 metres.</t>
  </si>
  <si>
    <t>[Ma, Bin; Shang, Zhaohui; Hu, Yi; Hu, Keliang; Wang, Yongjiang; Yang, Xu] Chinese Acad Sci, Natl Astron Observ, Beijing, Peoples R China; [Ma, Bin; Hickson, Paul] Univ British Columbia, Dept Phys &amp; Astron, Vancouver, BC, Canada; [Shang, Zhaohui] Tianjin Normal Univ, Tianjin Astrophys Ctr, Tianjin, Peoples R China; [Ashley, Michael C. B.] Univ New South Wales, Sch Phys, Sydney, NSW, Australia; [Jiang, Peng] Polar Res Inst China, Key Lab Polar Sci, MNR, Shanghai, Peoples R China</t>
  </si>
  <si>
    <t>Chinese Academy of Sciences; National Astronomical Observatory, CAS; University of British Columbia; Tianjin Normal University; University of New South Wales Sydney; Polar Research Institute of China</t>
  </si>
  <si>
    <t>Ma, B; Shang, ZH; Hu, Y (corresponding author), Chinese Acad Sci, Natl Astron Observ, Beijing, Peoples R China.;Ma, B (corresponding author), Univ British Columbia, Dept Phys &amp; Astron, Vancouver, BC, Canada.;Shang, ZH (corresponding author), Tianjin Normal Univ, Tianjin Astrophys Ctr, Tianjin, Peoples R China.</t>
  </si>
  <si>
    <t>bma@nao.cas.cn; zshang@gmail.com; huyi.naoc@gmail.com</t>
  </si>
  <si>
    <t>LIU, JIALIN/JXN-8034-2024; Liu, yuqing/KEI-3260-2024</t>
  </si>
  <si>
    <t>Ashley, Michael/0000-0003-1412-2028; Shang, Zhaohui/0000-0002-6796-124X; Ma, Bin/0000-0002-6077-6287; hu, yi/0000-0003-3317-4771; Wang, Yongjiang/0000-0002-9476-3011</t>
  </si>
  <si>
    <t>NATURE RESEARCH</t>
  </si>
  <si>
    <t>0028-0836</t>
  </si>
  <si>
    <t>1476-4687</t>
  </si>
  <si>
    <t>Nature</t>
  </si>
  <si>
    <t>+</t>
  </si>
  <si>
    <t>10.1038/s41586-020-2489-0</t>
  </si>
  <si>
    <t>MT2XH</t>
  </si>
  <si>
    <t>WOS:000554831500029</t>
  </si>
  <si>
    <t>Sepúlveda, M; Quiñones, RA; Esparza, C; Carrasco, P; Winckler, P</t>
  </si>
  <si>
    <t>Sepulveda, M.; Quinones, R. A.; Esparza, C.; Carrasco, P.; Winckler, P.</t>
  </si>
  <si>
    <t>Vulnerability of a top marine predator to coastal storms: a relationship between hydrodynamic drivers and stranding rates of newborn pinnipeds</t>
  </si>
  <si>
    <t>LIONS EUMETOPIAS-JUBATUS; ANTARCTIC FUR SEALS; CLIMATE-CHANGE; POPULATION; SURVIVAL; IMPACT; PUPS</t>
  </si>
  <si>
    <t>Coastal storms have increased in recent decades, affecting many species, including the South American sea lion (Otaria byronia). Reports of stranded sea lion pups are becoming common in Chile, presumably due to the increase in the frequency and intensity of coastal storms. To validate this assumption, a 10-year database was built by coupling wave generation and coastal propagation models to correlate pure wave parameters (significant wave height Hs, peak period Tp, normalized wave power Hs(2) Tp) and wave parameters including the tidal level (maximum surface elevation eta, modified wave power eta (2) Tp) with records of stranded pups in Cobquecura, the largest breeding colony in central Chile. The correlation between the number of pups stranded per day and wave parameters in the first half of January and the last half of February is poor, while they are stronger for the second half of January and the first half of February. The higher number of stranded pups coincide with coastal storms with normalized wave power values exceeding a threshold of 100 m(2)/s. Conversely, below this threshold there is wide dispersion between the number of strandings and wave parameters. Identifying wave parameter thresholds could be used to predict when newborn pups will be most affected by coastal storms, and thus help institutions to develop remediation techniques for animals at risk.</t>
  </si>
  <si>
    <t>[Sepulveda, M.] Univ Valparaiso, Fac Ciencias, Ctr Invest &amp; Gest Recursos Nat CIGREN, Valparaiso, Chile; [Sepulveda, M.] Nucleo Milenio Salmonidos Invasores INVASAL, Concepcion, Chile; [Sepulveda, M.; Quinones, R. A.; Carrasco, P.] Univ Concepcion, Fac Ciencias Nat &amp; Oceanog, Dept Oceanog, Programa Invest Marina Excelencia PIMEX, Concepcion, Chile; [Esparza, C.; Winckler, P.] Ctr Invest Gest Integrada Riesgo Desastres CIGIDE, Santiago, Chile; [Winckler, P.] Univ Valparaiso, Escuela Ingn Civil Ocean, Valparaiso, Chile; [Winckler, P.] Univ Valparaiso, Ctr Observ Marino Estudios Riesgos Ambiente Coste, Valparaiso, Chile</t>
  </si>
  <si>
    <t>Universidad de Valparaiso; Universidad de Concepcion; Universidad de Valparaiso; Universidad de Valparaiso</t>
  </si>
  <si>
    <t>Sepúlveda, M (corresponding author), Univ Valparaiso, Fac Ciencias, Ctr Invest &amp; Gest Recursos Nat CIGREN, Valparaiso, Chile.;Sepúlveda, M (corresponding author), Nucleo Milenio Salmonidos Invasores INVASAL, Concepcion, Chile.;Sepúlveda, M (corresponding author), Univ Concepcion, Fac Ciencias Nat &amp; Oceanog, Dept Oceanog, Programa Invest Marina Excelencia PIMEX, Concepcion, Chile.</t>
  </si>
  <si>
    <t>maritza.sepulveda@uv.cl</t>
  </si>
  <si>
    <t>Winckler, Patricio/AAC-6640-2022</t>
  </si>
  <si>
    <t>Winckler, Patricio/0000-0003-2100-293X</t>
  </si>
  <si>
    <t>Celulosa Arauco y Constitucion S.A.; Nucleo Milenio INVASAL - Iniciativa Cientifica Milenio from Chile's Ministerio de Economia, Fomento y Turismo; Centro de Investigacion para la Gestion Integrada del Riesgo de Desastres (CIGIDEN) [ANID FONDAP 15110017]</t>
  </si>
  <si>
    <t>Celulosa Arauco y Constitucion S.A.; Nucleo Milenio INVASAL - Iniciativa Cientifica Milenio from Chile's Ministerio de Economia, Fomento y Turismo; Centro de Investigacion para la Gestion Integrada del Riesgo de Desastres (CIGIDEN)</t>
  </si>
  <si>
    <t>This work is part of the Programa de Investigacion Marina de Excelencia (PIMEX) of the Faculty of Natural and Oceanographic Sciences of the University of Concepcion funded by Celulosa Arauco y Constitucion S.A. MS received additional funding from the Nucleo Milenio INVASAL funded by Iniciativa Cientifica Milenio from Chile's Ministerio de Economia, Fomento y Turismo. CE and PW acknowledge Centro de Investigacion para la Gestion Integrada del Riesgo de Desastres (CIGIDEN), Grant ANID FONDAP 15110017. We wish to thank E. Pedreros, D. Alegria and O. Munoz for their valuable help during the fieldwork and S. Meinke and G. Montgomery for proofreading the English of this manuscript. We are grateful to SHOA and ETOPO for providing the bathymetry used in the wave model.</t>
  </si>
  <si>
    <t>10.1038/s41598-020-69124-6</t>
  </si>
  <si>
    <t>NA4OJ</t>
  </si>
  <si>
    <t>WOS:000559797100025</t>
  </si>
  <si>
    <t>Kaune, A; Chowdhury, F; Werner, M; Bennett, J</t>
  </si>
  <si>
    <t>Kaune, Alexander; Chowdhury, Faysal; Werner, Micha; Bennett, James</t>
  </si>
  <si>
    <t>The benefit of using an ensemble of seasonal streamflow forecasts in water allocation decisions</t>
  </si>
  <si>
    <t>HYDROLOGY AND EARTH SYSTEM SCIENCES</t>
  </si>
  <si>
    <t>MURRAY-DARLING BASIN; IRRIGATION; DROUGHT; MODEL; CLIMATE; AGRICULTURE; PREDICTION; RAINFALL; SYSTEM; REFORM</t>
  </si>
  <si>
    <t>The area to be cropped in irrigation districts needs to be planned according to the allocated water, which in turn is a function of the available water resource. Initially conservative estimates of future (in)flows in rivers and reservoirs may lead to unnecessary reduction of the water allocated. Though water allocations may be revised as the season progresses, inconsistency in allocation is undesirable to farmers as they may then not be able to use that water, leading to an opportunity cost in agricultural production. We assess the benefit of using reservoir inflow estimates derived from seasonal forecast datasets to improve water allocation decisions. A decision model is developed to emulate the feedback loop between simulated reservoir storage and water allocations to irrigated crops and is evaluated using inflow forecasts generated with the Forecast Guided Stochastic Scenarios (FoGSS) model, a 12-month ensemble streamflow forecasting system. Two forcings are used to generate the forecasts: ensemble streamflow prediction - ESP (historical rainfall) - and POAMA (calibrated rainfall forecasts from the POAMA climate prediction system). We evaluate the approach in the Murrumbidgee basin in Australia, comparing water allocations obtained with an expected reservoir inflow from FoGSS against the allocations obtained with the currently used conservative estimate based on climatology as well as against allocations obtained using observed inflows (perfect information). The inconsistency in allocated water is evaluated by determining the total changes in allocated water made every 15 d from the initial allocation at the start of the water year to the end of the irrigation season, including both downward and upward revisions of allocations. Results show that the inconsistency due to upward revisions in allocated water is lower when using the forecast datasets (POAMA and ESP) compared to the conservative inflow estimates (reference), which is beneficial to the planning of cropping areas by farmers. Overconfidence can, however, lead to an increase in undesirable downward revisions. This is more evident for dry years than for wet years. Over the 28 years for which allocation decisions are evaluated, we find that the accuracy of the available water estimates using the forecast ensemble improves progressively during the water year, especially 1.5 months before the start of the cropping season in November. This is significant as it provides farmers with additional time to make key decisions on planting. Our results show that seasonal streamflow forecasts can provide benefit in informing water allocation policies, particularly by earlier establishing final water allocations to farmers in the irrigation season. This allows them to plan better and use water allocated more efficiently.</t>
  </si>
  <si>
    <t>[Kaune, Alexander; Chowdhury, Faysal; Werner, Micha] IHE Delft Inst Water Educ, Water Resources &amp; Ecosyst Dept, Delft, Netherlands; [Kaune, Alexander] Wageningen Univ &amp; Res, Wageningen Inst Environm &amp; Climate Res, Wageningen, Netherlands; [Kaune, Alexander] FutureWater, Costerweg 1V, NL-6702 AA Wageningen, Netherlands; [Werner, Micha] Deltares, Div Inland Water Syst, Delft, Netherlands; [Bennett, James] CSIRO Land &amp; Water, Clayton, Vic, Australia; [Bennett, James] Univ Tasmania, Inst Marine &amp; Antarctic Studies, Battery Point, Tas, Australia</t>
  </si>
  <si>
    <t>IHE Delft Institute for Water Education; Wageningen University &amp; Research; Deltares; Commonwealth Scientific &amp; Industrial Research Organisation (CSIRO); University of Tasmania</t>
  </si>
  <si>
    <t>Kaune, A (corresponding author), IHE Delft Inst Water Educ, Water Resources &amp; Ecosyst Dept, Delft, Netherlands.;Kaune, A (corresponding author), Wageningen Univ &amp; Res, Wageningen Inst Environm &amp; Climate Res, Wageningen, Netherlands.;Kaune, A (corresponding author), FutureWater, Costerweg 1V, NL-6702 AA Wageningen, Netherlands.</t>
  </si>
  <si>
    <t>a.kaune@futurewater.nl</t>
  </si>
  <si>
    <t>Werner, Micha/C-8144-2009</t>
  </si>
  <si>
    <t>Werner, Micha/0000-0003-4198-5638; Kaune, Alexander/0000-0003-3727-3267; Chowdhury, Mohammad Faysal/0000-0002-4847-7778</t>
  </si>
  <si>
    <t>European Union Seventh Framework Programme (FP7/2007-2013) [603608]; CSIRO Land Water; Bureau of Meteorology; ARC linkage project [LP170100922]; Australian Research Council [LP170100922] Funding Source: Australian Research Council</t>
  </si>
  <si>
    <t>European Union Seventh Framework Programme (FP7/2007-2013); CSIRO Land Water; Bureau of Meteorology(Bureau of Meteorology - Australia); ARC linkage project(Australian Research Council); Australian Research Council(Australian Research Council)</t>
  </si>
  <si>
    <t>This work received funding from the European Union Seventh Framework Programme (FP7/2007-2013) under grant agreement no. 603608, Global Earth Observation for Integrated Water Resource Assessment (eartH2Observe). James Bennett is supported by the WIRADA partnership between CSIRO Land &amp; Water and the Bureau of Meteorology, and ARC linkage project LP170100922.</t>
  </si>
  <si>
    <t>1027-5606</t>
  </si>
  <si>
    <t>1607-7938</t>
  </si>
  <si>
    <t>HYDROL EARTH SYST SC</t>
  </si>
  <si>
    <t>Hydrol. Earth Syst. Sci.</t>
  </si>
  <si>
    <t>10.5194/hess-24-3851-2020</t>
  </si>
  <si>
    <t>Geosciences, Multidisciplinary; Water Resources</t>
  </si>
  <si>
    <t>Geology; Water Resources</t>
  </si>
  <si>
    <t>MX7EJ</t>
  </si>
  <si>
    <t>WOS:000557883500001</t>
  </si>
  <si>
    <t>Hedge, P; van Putten, EI; Hunter, C; Fischer, M</t>
  </si>
  <si>
    <t>Hedge, Paul; van Putten, Elizabeth Ingrid; Hunter, Cass; Fischer, Mibu</t>
  </si>
  <si>
    <t>Perceptions, Motivations and Practices for Indigenous Engagement in Marine Science in Australia</t>
  </si>
  <si>
    <t>Indigenous engagement; marine science; Australia; perceptions; research motivations; research practices</t>
  </si>
  <si>
    <t>RESEARCH PARTNERSHIPS; MANAGEMENT; PRINCIPLES; KIMBERLEY; LAND</t>
  </si>
  <si>
    <t>Australian science has evolved to include a number of initiatives designed to promote and guide ethical and culturally appropriate Indigenous participation and engagement. While interest and overall engagement between Indigenous people and marine scientists appears to have grown in the last decade there are also signs that some researchers may not be setting out to engage with Indigenous Australians on the right foot. This research seeks to move beyond anecdotal evidence about engagement of marine researchers with Indigenous Australians by gathering empirical information from the scientists' perspective. Our survey of 128 respondents showed that 63% (n = 79) of respondents have engaged with Indigenous communities in some way throughout their career, however, most marine research projects have not included Indigenous engagement and when it occurs it is often shorter than 3 years in duration. Responses indicated that the majority of marine scientists see mutual benefits from engagement, do not avoid it and believe it will become more important in the future. We identify a number of challenges and opportunities for marine research institutions, marine researchers and Indigenous communities if positive aspirations for engagement are to be converted to respectful, long-term and mutually beneficial engagement.</t>
  </si>
  <si>
    <t>[Hedge, Paul] Univ Tasmania, Inst Marine &amp; Antarctic Studies, Hobart, Tas, Australia; [van Putten, Elizabeth Ingrid] CSIRO, Oceans &amp; Atmosphere, Hobart, Tas, Australia; [van Putten, Elizabeth Ingrid] Univ Tasmania, Ctr Marine Socioecobgy, Hobart, Tas, Australia; [Hunter, Cass] CSIRO, Oceans &amp; Atmosphere, Caims, Qld, Australia; [Fischer, Mibu] CSIRO, Oceans &amp; Atmosphere, Brisbane, Qld, Australia</t>
  </si>
  <si>
    <t>University of Tasmania; Commonwealth Scientific &amp; Industrial Research Organisation (CSIRO); University of Tasmania; Commonwealth Scientific &amp; Industrial Research Organisation (CSIRO); Commonwealth Scientific &amp; Industrial Research Organisation (CSIRO)</t>
  </si>
  <si>
    <t>Hedge, P (corresponding author), Univ Tasmania, Inst Marine &amp; Antarctic Studies, Hobart, Tas, Australia.</t>
  </si>
  <si>
    <t>paul.hedge@csiro.au</t>
  </si>
  <si>
    <t>Hunter, Cass/G-6631-2014</t>
  </si>
  <si>
    <t>Marine Biodiversity Hub - Australian Government's National Environmental Science Program</t>
  </si>
  <si>
    <t>This research and manuscript was supported by the Marine Biodiversity Hub funded by the Australian Government's National Environmental Science Program. This program provided the funding for the research, manuscript development and for open access publication fees.</t>
  </si>
  <si>
    <t>10.3389/fmars.2020.00522</t>
  </si>
  <si>
    <t>MV2GP</t>
  </si>
  <si>
    <t>WOS:000556181300001</t>
  </si>
  <si>
    <t>Pino-Cortés, E; Carrasco, S; Díaz-Robles, LA; Cubillos, F; Cereceda-Balic, F</t>
  </si>
  <si>
    <t>Pino-Cortes, Ernesto; Carrasco, Samuel; Diaz-Robles, Luis A.; Cubillos, Francisco; Cereceda-Balic, Francisco</t>
  </si>
  <si>
    <t>Black and organic carbon fractions in fine particulate matter by sectors in the South Hemisphere emissions for decision-making on climate change and health effects</t>
  </si>
  <si>
    <t>ENVIRONMENTAL SCIENCE AND POLLUTION RESEARCH</t>
  </si>
  <si>
    <t>Black carbon; Organic carbon; EDGAR; SMOKE; Anthropogenic emission; Antarctic; Southern Hemisphere; Earth; Climate change; Health risk assessment</t>
  </si>
  <si>
    <t>ANTHROPOGENIC EMISSIONS; CHEMISTRY; TRANSPORT; CONSUMPTION; POLICY</t>
  </si>
  <si>
    <t>Some databases report global emissions of certain pollutants. Emissions Database for Global Atmospheric Research (EDGAR) project is one of these, which also records emissions by sources. In this study, the emissions of black and organic carbon and fine particulate matter from the EDGAR database were used as an input to process it in the Sparse Matrix Operator Kernel Emissions (SMOKE) model. We showed the spatial distribution of the fraction of black and organic carbon in particulate matter from each source in the Southern Hemisphere. Also, we extracted these ratios for several cities in the domain of analysis. The results and methodology of this study could improve the emission inventories with bottom-up methodology in areas without information located at Southern Hemisphere. Also, it could be relevant to obtain better performance in air quality modeling at the local level for decision-making on climate change and health effects.</t>
  </si>
  <si>
    <t>[Pino-Cortes, Ernesto; Carrasco, Samuel] Pontificia Univ Catolica Valparaiso, Escuela Ingn Quim, Ave Brasil 2162, Valparaiso, Chile; [Diaz-Robles, Luis A.; Cubillos, Francisco] Univ Santiago Chile, Fac Ingn, Dept Ingn Quim, Ave Libertador Bernardo OHiggins 3363, Santiago, Chile; [Cereceda-Balic, Francisco] Univ Tecn Federico Santa Maria, Ctr Environm Technol CETAM, Ave Espana 1680, Valparaiso, Chile; [Cereceda-Balic, Francisco] Univ Tecn Federico Santa Maria, Dept Chem, Ave Espana 1680, Valparaiso, Chile</t>
  </si>
  <si>
    <t>Pontificia Universidad Catolica de Valparaiso; Universidad de Santiago de Chile; Universidad Tecnica Federico Santa Maria; Universidad Tecnica Federico Santa Maria</t>
  </si>
  <si>
    <t>Pino-Cortés, E (corresponding author), Pontificia Univ Catolica Valparaiso, Escuela Ingn Quim, Ave Brasil 2162, Valparaiso, Chile.</t>
  </si>
  <si>
    <t>ernesto.pino@pucv.cl</t>
  </si>
  <si>
    <t>Cortés, Ernesto Pino/Z-2777-2019; Cereceda-Balic, Francisco/N-4479-2017</t>
  </si>
  <si>
    <t>Cortés, Ernesto Pino/0000-0001-5133-2812; Cereceda-Balic, Francisco/0000-0001-7761-1051</t>
  </si>
  <si>
    <t>Beca Doctorado Nacional [Folio 21150125]; Project FONDECYT [1120791]; Fondef-ANID IDeA I+D [ID19I10359]; NLHPC [ECM-02]</t>
  </si>
  <si>
    <t>Beca Doctorado Nacional; Project FONDECYT(Comision Nacional de Investigacion Cientifica y Tecnologica (CONICYT)CONICYT FONDECYT); Fondef-ANID IDeA I+D; NLHPC</t>
  </si>
  <si>
    <t>This work was partially supported by Beca Doctorado Nacional, Folio 21150125, ANID; Project FONDECYT 1120791, ANID; thanks the Fondef-ANID IDeA I+D ID19I10359 for financial assistance; and the supercomputing infrastructure at NLHPC (ECM-02); thanks to Dr. Charlie Coats, developer of IOAPI, and Dr. Byun Baek, developer of SMOKE; we acknowledge ECCAD for making data accessible.</t>
  </si>
  <si>
    <t>SPRINGER HEIDELBERG</t>
  </si>
  <si>
    <t>HEIDELBERG</t>
  </si>
  <si>
    <t>TIERGARTENSTRASSE 17, D-69121 HEIDELBERG, GERMANY</t>
  </si>
  <si>
    <t>0944-1344</t>
  </si>
  <si>
    <t>1614-7499</t>
  </si>
  <si>
    <t>ENVIRON SCI POLLUT R</t>
  </si>
  <si>
    <t>Environ. Sci. Pollut. Res.</t>
  </si>
  <si>
    <t>10.1007/s11356-020-10164-w</t>
  </si>
  <si>
    <t>NM3DR</t>
  </si>
  <si>
    <t>WOS:000554055200001</t>
  </si>
  <si>
    <t>Goeyers, C; Van de Vijver, B</t>
  </si>
  <si>
    <t>Goeyers, Charlotte; Van de Vijver, Bart</t>
  </si>
  <si>
    <t>Revision of the non-marine centric diatom flora (Bacillariophyta) of the sub-Antarctic Campbell Island (southern Pacific Ocean) with the descriptions of five new species</t>
  </si>
  <si>
    <t>EUROPEAN JOURNAL OF TAXONOMY</t>
  </si>
  <si>
    <t>Sub-Antarctica; Campbell Island; centric diatoms; new species; morphology</t>
  </si>
  <si>
    <t>FRESH-WATER DIATOMS; MACQUARIE ISLAND; SP-NOV.; BIOGEOGRAPHY; COMMUNITIES; DIVERSITY; ECOLOGY; GENUS</t>
  </si>
  <si>
    <t>During a survey of the moss-inhabiting diatom flora of the sub-Antarctic Campbell Island, located in the southern Pacific Ocean, several unknown centric diatoms were observed that could not be identified using the currently available literature. Detailed light and scanning electron microscopical observations and comparisons with the characters of several species of Melosira, Angusticopula, Ferocia and Arcanodiscus worldwide indicated that five of them should be described as new to science: Angusticopula cosmica Goeyers &amp; Van de Vijver sp. nov., Arcanodiscus crawfordianus Goeyers &amp; Van de Vijver sp. nov., A. indistinctus Goeyers &amp; Van de Vijver sp. nov., A. saundersianus Goeyers &amp; Van de Vijver sp. nov. and Ferocia houkiana Goeyers &amp; Van de Vijver sp. nov. A sixth species, Angusticopula chilensis, was illustrated for the first time using SEM and as a result is considered to differ sufficiently from A. dickiei to warrant epitypification as A. chilensis. The new species were first described in genera that formerly were included within the genus Melosira. All six species are morphologically characterized and compared with similar species within their respective genera. Their presence and distribution on Campbell Island are discussed based on the observations made in the available samples.</t>
  </si>
  <si>
    <t>[Goeyers, Charlotte; Van de Vijver, Bart] Meise Bot Garden, Res Dept, Nieuwelaan 38, B-1860 Meise, Belgium; [Goeyers, Charlotte; Van de Vijver, Bart] Univ Antwerp, ECOBE, Dept Biol, Univ Pl 1, B-2610 Antwerp, Belgium</t>
  </si>
  <si>
    <t>University of Antwerp</t>
  </si>
  <si>
    <t>Van de Vijver, B (corresponding author), Meise Bot Garden, Res Dept, Nieuwelaan 38, B-1860 Meise, Belgium.;Van de Vijver, B (corresponding author), Univ Antwerp, ECOBE, Dept Biol, Univ Pl 1, B-2610 Antwerp, Belgium.</t>
  </si>
  <si>
    <t>goeyerscharlotte@hotmail.com; bart.vandevijver@plantentuinmeise.be</t>
  </si>
  <si>
    <t>Goeyers, Charlotte/0000-0002-1573-3923</t>
  </si>
  <si>
    <t>MUSEUM NATL HISTOIRE NATURELLE</t>
  </si>
  <si>
    <t>PARIS</t>
  </si>
  <si>
    <t>SERVICE PUBLICATIONS SCIENTIFIQUES, 57 RUE CUVIER, 75005 PARIS, FRANCE</t>
  </si>
  <si>
    <t>2118-9773</t>
  </si>
  <si>
    <t>EUR J TAXON</t>
  </si>
  <si>
    <t>Eur. J. Taxon.</t>
  </si>
  <si>
    <t>10.5852/ejt.2020.694</t>
  </si>
  <si>
    <t>Plant Sciences; Entomology; Zoology</t>
  </si>
  <si>
    <t>MR4PX</t>
  </si>
  <si>
    <t>Green Submitted, gold</t>
  </si>
  <si>
    <t>WOS:000553572700001</t>
  </si>
  <si>
    <t>Feng, YY; Roleda, MY; Armstrong, E; Summerfield, TC; Law, CS; Hurd, CL; Boyd, PW</t>
  </si>
  <si>
    <t>Feng, Yuanyuan; Roleda, Michael Y.; Armstrong, Evelyn; Summerfield, Tina C.; Law, Cliff S.; Hurd, Catriona L.; Boyd, Philip W.</t>
  </si>
  <si>
    <t>Effects of multiple drivers of ocean global change on the physiology and functional gene expression of the coccolithophoreEmiliania huxleyi</t>
  </si>
  <si>
    <t>GLOBAL CHANGE BIOLOGY</t>
  </si>
  <si>
    <t>calcification; coccolithophores; Emiliania huxleyi; functional gene expression; multiple drivers; ocean acidification; ocean global change biology; phytoplankton physiology</t>
  </si>
  <si>
    <t>CO2 CONCENTRATING MECHANISMS; SOUTHERN-HEMISPHERE STRAIN; EMILIANIA-HUXLEYI; ENVIRONMENTAL CONTROLS; CARBONIC-ACID; CALCIFICATION; GROWTH; RESPONSES; PH; ACIDIFICATION</t>
  </si>
  <si>
    <t>Ongoing ocean global change due to anthropogenic activities is causing multiple chemical and physical seawater properties to change simultaneously, which may affect the physiology of marine phytoplankton. The coccolithophoreEmiliania huxleyiis a model species often employed in the study of the marine carbon cycle. The effect of ocean acidification (OA) on coccolithophore calcification has been extensively studied; however, physiological responses to multiple environmental drivers are still largely unknown. Here we examined two-way and multiple driver effects of OA and other key environmental drivers-nitrate, phosphate, irradiance, and temperature-on the growth, photosynthetic, and calcification rates, and the elemental composition ofE. huxleyi. In addition, changes in functional gene expression were examined to understand the molecular mechanisms underpinning the physiological responses. The single driver manipulation experiments suggest decreased nitrate supply being the most important driver regulatingE. huxleyiphysiology, by significantly reducing the growth, photosynthetic, and calcification rates. In addition, the interaction of OA and decreased nitrate supply (projected for year 2100) had more negative synergistic effects onE. huxleyiphysiology than all other two-way factorial manipulations, suggesting a linkage between the single dominant driver (nitrate) effects and interactive effects with other drivers. Simultaneous manipulation of all five environmental drivers to the conditions of the projected year 2100 had the largest negative effects on most of the physiological metrics. Furthermore, functional genes associated with inorganic carbon acquisition (RubisCO,AEL1, and delta CA) and calcification (CAX3,AEL1,PATP, andNhaA2) were most downregulated by the multiple driver manipulation, revealing linkages between responses of functional gene expression and associated physiological metrics. These findings together indicate that for more holistic projections of coccolithophore responses to future ocean global change, it is necessary to understand the relative importance of environmental drivers both individually (i.e., mechanistic understanding) and interactively (i.e., cumulative effect) on coccolithophore physiology.</t>
  </si>
  <si>
    <t>[Feng, Yuanyuan] Tianjin Univ Sci &amp; Technol, Coll Marine &amp; Environm Sci, Tianjin, Peoples R China; [Feng, Yuanyuan; Roleda, Michael Y.; Summerfield, Tina C.] Univ Otago, Dept Bot, Dunedin, New Zealand; [Roleda, Michael Y.] Univ Philippines, Marine Sci Inst, Quezon City, Philippines; [Armstrong, Evelyn; Law, Cliff S.] Univ Otago, NIWA, Dept Chem, Res Ctr Oceanog, Dunedin, New Zealand; [Law, Cliff S.] Natl Inst Water &amp; Atmospher Res NIWA, Wellington, New Zealand; [Hurd, Catriona L.; Boyd, Philip W.] Univ Tasmania, Inst Marine &amp; Antarctic Studies, 20 Castray Esplanade, Hobart, Tas 7004, Australia; [Boyd, Philip W.] Univ Tasmania, Antarctic Climate &amp; Ecosyst Cooperat Res Ctr, Hobart, Tas, Australia</t>
  </si>
  <si>
    <t>Tianjin University Science &amp; Technology; University of Otago; University of the Philippines System; University of the Philippines Diliman; University of Otago; National Institute of Water &amp; Atmospheric Research (NIWA) - New Zealand; University of Tasmania; University of Tasmania; Antarctic Climate &amp; Ecosystems Cooperative Research Centre (ACE CRC)</t>
  </si>
  <si>
    <t>Boyd, PW (corresponding author), Univ Tasmania, Inst Marine &amp; Antarctic Studies, 20 Castray Esplanade, Hobart, Tas 7004, Australia.;Feng, YY (corresponding author), Tianjin Univ Sci &amp; Technol, Coll Marine &amp; Environm Sci, TEDA, Tianjin, Peoples R China.</t>
  </si>
  <si>
    <t>yfeng@tust.edu.cn; philip.boyd@utas.edu.au</t>
  </si>
  <si>
    <t>Feng, Yuanyuan/K-5983-2012; Roleda, Michael Y./H-9645-2019; Hurd, Catriona/J-2411-2013; Boyd, Philip/J-7624-2014</t>
  </si>
  <si>
    <t>Feng, Yuanyuan/0000-0002-4565-8717; Roleda, Michael Y./0000-0003-0568-9081; Hurd, Catriona/0000-0001-9965-4917; Armstrong, Evelyn/0000-0001-8143-027X; Law, Cliff/0000-0002-7669-2475; Summerfield, Tina/0000-0003-1878-7019; Boyd, Philip/0000-0001-7850-1911</t>
  </si>
  <si>
    <t>National Natural Science Foundation of China [41676160, 41306118]; New Zealand Marsden [09-UOO-175]; Tianjin Municipal Education Commission Project [2017KJ014]</t>
  </si>
  <si>
    <t>National Natural Science Foundation of China(National Natural Science Foundation of China (NSFC)); New Zealand Marsden(Royal Society of New ZealandMarsden Fund (NZ)); Tianjin Municipal Education Commission Project</t>
  </si>
  <si>
    <t>National Natural Science Foundation of China, Grant/Award Number: 41676160 and 41306118; New Zealand Marsden, Grant/Award Number: 09-UOO-175; Tianjin Municipal Education Commission Project, Grant/Award Number: 2017KJ014</t>
  </si>
  <si>
    <t>1354-1013</t>
  </si>
  <si>
    <t>1365-2486</t>
  </si>
  <si>
    <t>GLOBAL CHANGE BIOL</t>
  </si>
  <si>
    <t>Glob. Change Biol.</t>
  </si>
  <si>
    <t>10.1111/gcb.15259</t>
  </si>
  <si>
    <t>Biodiversity Conservation; Ecology; Environmental Sciences</t>
  </si>
  <si>
    <t>NR8TO</t>
  </si>
  <si>
    <t>WOS:000553795800001</t>
  </si>
  <si>
    <t>Björdal, CG; Dayton, PK</t>
  </si>
  <si>
    <t>Bjordal, Charlotte G.; Dayton, Paul K.</t>
  </si>
  <si>
    <t>First evidence of microbial wood degradation in the coastal waters of the Antarctic</t>
  </si>
  <si>
    <t>BACTERIAL-DEGRADATION; MARINE FUNGI; CELL-WALLS; ENVIRONMENTS; SHIPWRECKS; HABITATS</t>
  </si>
  <si>
    <t>Wood submerged in saline and oxygenated marine waters worldwide is efficiently degraded by crustaceans and molluscs. Nevertheless, in the cold coastal waters of the Antarctic, these degraders seem to be absent and no evidence of other wood-degrading organisms has been reported so far. Here we examine long-term exposed anthropogenic wood material (Douglas Fir) collected at the seafloor close to McMurdo station, Antarctica. We used light and scanning electron microscopy and demonstrate that two types of specialized lignocellulolytic microbes-soft rot fungi and tunnelling bacteria-are active and degrade wood in this extreme environment. Fungal decay dominates and hyphae penetrate the outer 2-4 mm of the wood surface. Decay rates observed are about two orders of magnitude lower than normal. The fungi and bacteria, as well as their respective cavities and tunnels, are slightly smaller than normal, which might represent an adaptation to the extreme cold environment. Our results establish that there is ongoing wood degradation also in the Antarctic, albeit at a vastly reduced rate compared to warmer environments. Historical shipwrecks resting on the seafloor are most likely still in good condition, although surface details such as wood carvings, tool marks, and paint slowly disintegrate due to microbial decay.</t>
  </si>
  <si>
    <t>[Bjordal, Charlotte G.] Univ Gothenburg, Dept Marine Sci, Carl Skottbergs Gata 22B, S-40530 Gothenburg, Sweden; [Dayton, Paul K.] Scripps Inst Oceanog, 9500 Gilman Dr,Mail Code 0227, La Jolla, CA 92093 USA</t>
  </si>
  <si>
    <t>University of Gothenburg; University of California System; University of California San Diego; Scripps Institution of Oceanography</t>
  </si>
  <si>
    <t>Björdal, CG (corresponding author), Univ Gothenburg, Dept Marine Sci, Carl Skottbergs Gata 22B, S-40530 Gothenburg, Sweden.</t>
  </si>
  <si>
    <t>charlotte.bjordal@marine.gu.se</t>
  </si>
  <si>
    <t>University of Gothenburg</t>
  </si>
  <si>
    <t>The authors are most grateful Charlotte Seid, curator of the Scripps Institution of Oceanography collections for providing the samples. CCI at University of Gothenburg in Sweden are acknowledge for help with preparation of sample for SEM analyses. Open access funding provided by University of Gothenburg.</t>
  </si>
  <si>
    <t>NATURE PUBLISHING GROUP</t>
  </si>
  <si>
    <t>MACMILLAN BUILDING, 4 CRINAN ST, LONDON N1 9XW, ENGLAND</t>
  </si>
  <si>
    <t>JUL 29</t>
  </si>
  <si>
    <t>10.1038/s41598-020-68613-y</t>
  </si>
  <si>
    <t>MV5HG</t>
  </si>
  <si>
    <t>WOS:000556388300028</t>
  </si>
  <si>
    <t>Liang, D; Guo, HD; Zhang, L; Wang, MW; Wang, LZ; Liang, L; Shirazi, Z</t>
  </si>
  <si>
    <t>Liang, Dong; Guo, Huadong; Zhang, Lu; Wang, Mingwei; Wang, Lizhe; Liang, Lei; Shirazi, Zeeshan</t>
  </si>
  <si>
    <t>Analyzing Antarctic ice sheet snowmelt with dynamic Big Earth Data</t>
  </si>
  <si>
    <t>INTERNATIONAL JOURNAL OF DIGITAL EARTH</t>
  </si>
  <si>
    <t>Big Earth Data; data analysis; Antarctic ice sheet; Zernike moments; Mann-Kendall test</t>
  </si>
  <si>
    <t>SURFACE; MELT</t>
  </si>
  <si>
    <t>Big Earth Data-big data associated with Earth sciences-can potentially revolutionize research on climate change, sustainable development, and other issues of global concern. For example, analyzing massive amounts of satellite imagery of polar environments, which are sensitive to the effects of climate change, provides insights into global climate trends. This study proposes a method to use Big Earth Data to explore changes in snowmelt over the Antarctic ice sheet from 1979 to 2016. The method uses Zernike moments to observe melt area in Antarctica and uses the Mann-Kendall test to detect temporal changes and abnormal information about the continent's melt area. The melting trend in the time-series data matched the changes in temperature and seasonal transitions. The results do not demonstrate significant change in the area of surface melt; however, abrupt changes in melt conditions linked to temperature changes over the Antarctic ice sheet were observed within the time series. The experiment results demonstrate that the proposed method is robust, adaptive, and capable of extracting the core features of melting snow.</t>
  </si>
  <si>
    <t>[Liang, Dong; Guo, Huadong; Zhang, Lu; Liang, Lei; Shirazi, Zeeshan] Chinese Acad Sci, Aerosp Informat Res Inst, Key Lab Digital Earth Sci, Beijing, Peoples R China; [Liang, Dong; Guo, Huadong; Zhang, Lu] Univ Chinese Acad Sci, Chinese Acad Sci, Beijing, Peoples R China; [Wang, Mingwei] China Univ Geosci, Inst Geol Survey, Wuhan, Peoples R China; [Wang, Lizhe] China Univ Geosci, Sch Comp Sci, Wuhan, Peoples R China</t>
  </si>
  <si>
    <t>Chinese Academy of Sciences; Aerospace Information Research Institute, CAS; Chinese Academy of Sciences; University of Chinese Academy of Sciences, CAS; China University of Geosciences; China University of Geosciences</t>
  </si>
  <si>
    <t>Zhang, L (corresponding author), Chinese Acad Sci, Aerosp Informat Res Inst, Key Lab Digital Earth Sci, Beijing, Peoples R China.;Zhang, L (corresponding author), Univ Chinese Acad Sci, Chinese Acad Sci, Beijing, Peoples R China.;Wang, MW (corresponding author), China Univ Geosci, Inst Geol Survey, Wuhan, Peoples R China.</t>
  </si>
  <si>
    <t>zhanglu@radi.ac.cn; wmwscola@sina.com</t>
  </si>
  <si>
    <t>Dong, Liang/JZD-4605-2024; Liang, Dong/F-8081-2014; li, jixiang/JXN-7599-2024; zhang, jt/JVE-1333-2024; Guo, Huadong/G-9388-2017</t>
  </si>
  <si>
    <t>Liang, Dong/0000-0001-9147-7792; Guo, Huadong/0000-0003-0337-1862; Shirazi, Zeeshan/0000-0002-4138-7593</t>
  </si>
  <si>
    <t>Chinese Academy of Sciences Strategic Priority Research Program of the Big Earth Data Science Engineering Program (CASEarth) [XDA19090000, XDA19030000]; National Natural Science Foundation of China [41876226]</t>
  </si>
  <si>
    <t>Chinese Academy of Sciences Strategic Priority Research Program of the Big Earth Data Science Engineering Program (CASEarth); National Natural Science Foundation of China(National Natural Science Foundation of China (NSFC))</t>
  </si>
  <si>
    <t>The research was supported by the Chinese Academy of Sciences Strategic Priority Research Program of the Big Earth Data Science Engineering Program (CASEarth) [grant numbers XDA19090000, XDA19030000] and National Natural Science Foundation of China [grant number 41876226].</t>
  </si>
  <si>
    <t>TAYLOR &amp; FRANCIS LTD</t>
  </si>
  <si>
    <t>ABINGDON</t>
  </si>
  <si>
    <t>2-4 PARK SQUARE, MILTON PARK, ABINGDON OR14 4RN, OXON, ENGLAND</t>
  </si>
  <si>
    <t>1753-8947</t>
  </si>
  <si>
    <t>1753-8955</t>
  </si>
  <si>
    <t>INT J DIGIT EARTH</t>
  </si>
  <si>
    <t>Int. J. Digit. Earth</t>
  </si>
  <si>
    <t>JAN 2</t>
  </si>
  <si>
    <t>10.1080/17538947.2020.1798522</t>
  </si>
  <si>
    <t>Geography, Physical; Remote Sensing</t>
  </si>
  <si>
    <t>Physical Geography; Remote Sensing</t>
  </si>
  <si>
    <t>PU8ST</t>
  </si>
  <si>
    <t>WOS:000555138600001</t>
  </si>
  <si>
    <t>Potts, LJ; Gantz, JD; Kawarasaki, Y; Philip, BN; Gonthier, DJ; Law, AD; Moe, L; Unrine, JM; McCulley, RL; Lee, RE; Denlinger, DL; Teets, NM</t>
  </si>
  <si>
    <t>Potts, Leslie J.; Gantz, J. D.; Kawarasaki, Yuta; Philip, Benjamin N.; Gonthier, David J.; Law, Audrey D.; Moe, Luke; Unrine, Jason M.; McCulley, Rebecca L.; Lee, Richard E. Jr Jr; Denlinger, David L.; Teets, Nicholas M.</t>
  </si>
  <si>
    <t>Environmental factors influencing fine-scale distribution of Antarctica's only endemic insect</t>
  </si>
  <si>
    <t>OECOLOGIA</t>
  </si>
  <si>
    <t>Abiotic environment; Antarctic midge; Biotic influences; Spatial distribution</t>
  </si>
  <si>
    <t>LIFE; HABITAT; HISTORY; PHYSIOLOGY; ABUNDANCE; DIPTERA; ECOLOGY; WATER; MIDGE</t>
  </si>
  <si>
    <t>Species distributions are dependent on interactions with abiotic and biotic factors in the environment. Abiotic factors like temperature, moisture, and soil nutrients, along with biotic interactions within and between species, can all have strong influences on spatial distributions of plants and animals. Terrestrial Antarctic habitats are relatively simple and thus good systems to study ecological factors that drive species distributions and abundance. However, these environments are also sensitive to perturbation, and thus understanding the ecological drivers of species distribution is critical for predicting responses to environmental change. The Antarctic midge,Belgica antarctica, is the only endemic insect on the continent and has a patchy distribution along the Antarctic Peninsula. While its life history and physiology are well studied, factors that underlie variation in population density within its range are unknown. Previous work on Antarctic microfauna indicates that distribution over broad scales is primarily regulated by soil moisture, nitrogen content, and the presence of suitable plant life, but whether these patterns are true over smaller spatial scales has not been investigated. Here we sampled midges across five islands on the Antarctic Peninsula and tested a series of hypotheses to determine the relative influences of abiotic and biotic factors on midge abundance. While historical literature suggests that Antarctic organisms are limited by the abiotic environment, our best-supported hypothesis indicated that abundance is predicted by a combination of abiotic and biotic conditions. Our results are consistent with a growing body of literature that biotic interactions are more important in Antarctic ecosystems than historically appreciated.</t>
  </si>
  <si>
    <t>[Potts, Leslie J.; Gonthier, David J.; Teets, Nicholas M.] Univ Kentucky, Dept Entomol, S-225 Agr Sci Ctr North, Lexington, KY 40546 USA; [Gantz, J. D.] Hendrix Coll, Dept Biol, Conway, AR USA; [Kawarasaki, Yuta] Adolphus Coll Gustavus, Dept Biol, St Peter, MN USA; [Philip, Benjamin N.; Lee, Richard E. Jr Jr] Miami Univ, Dept Biol, Oxford, OH 45056 USA; [Law, Audrey D.; Moe, Luke; Unrine, Jason M.; McCulley, Rebecca L.] Univ Kentucky, Dept Plant &amp; Soil Sci, Lexington, KY USA; [Denlinger, David L.] Ohio State Univ, Dept Entomol, 1735 Neil Ave, Columbus, OH 43210 USA</t>
  </si>
  <si>
    <t>University of Kentucky; University System of Ohio; Miami University; University of Kentucky; University System of Ohio; Ohio State University</t>
  </si>
  <si>
    <t>Potts, LJ (corresponding author), Univ Kentucky, Dept Entomol, S-225 Agr Sci Ctr North, Lexington, KY 40546 USA.</t>
  </si>
  <si>
    <t>leslie.potts@uky.edu</t>
  </si>
  <si>
    <t>Philip, Ben/JYQ-5173-2024; Teets, Nicholas/IQT-5328-2023; Teets, Nicholas/H-7386-2013</t>
  </si>
  <si>
    <t>Teets, Nicholas/0000-0003-0963-7457</t>
  </si>
  <si>
    <t>United States Department of Agriculture Agriculture and Food Research Initiative [3200001763]; National Science Foundation [OPP-1341393, OPP-1341385]; United States Department of Agricultural National Institute of Food and Agriculture Hatch Project [1010886]</t>
  </si>
  <si>
    <t>United States Department of Agriculture Agriculture and Food Research Initiative(United States Department of Agriculture (USDA)); National Science Foundation(National Science Foundation (NSF)); United States Department of Agricultural National Institute of Food and Agriculture Hatch Project</t>
  </si>
  <si>
    <t>This work was supported by a United States Department of Agriculture Agriculture and Food Research Initiative grant 3200001763 to L.J.P., National Science Foundation grant OPP-1341393 to D.L.D., National Science Foundation grant OPP-1341385 to R.E.L., and United States Department of Agricultural National Institute of Food and Agriculture Hatch Project grant 1010886 to N.M.T. The authors appreciate the dedicated support staff at Palmer Station for their assistance with this project. Finally, we thank Elizabeth Carlisle and Shristi Shrestha of the Plant and Soil Science Department at the University of Kentucky for their help in analyses.</t>
  </si>
  <si>
    <t>SPRINGER</t>
  </si>
  <si>
    <t>ONE NEW YORK PLAZA, SUITE 4600, NEW YORK, NY, UNITED STATES</t>
  </si>
  <si>
    <t>0029-8549</t>
  </si>
  <si>
    <t>1432-1939</t>
  </si>
  <si>
    <t>Oecologia</t>
  </si>
  <si>
    <t>10.1007/s00442-020-04714-9</t>
  </si>
  <si>
    <t>Ecology</t>
  </si>
  <si>
    <t>OV1LZ</t>
  </si>
  <si>
    <t>WOS:000555600400001</t>
  </si>
  <si>
    <t>Thurber, AR; Seabrook, S; Welsh, RM</t>
  </si>
  <si>
    <t>Thurber, Andrew R.; Seabrook, Sarah; Welsh, Rory M.</t>
  </si>
  <si>
    <t>Riddles in the cold: Antarctic endemism and microbial succession impact methane cycling in the Southern Ocean</t>
  </si>
  <si>
    <t>PROCEEDINGS OF THE ROYAL SOCIETY B-BIOLOGICAL SCIENCES</t>
  </si>
  <si>
    <t>methane; Antarctica; microbial biogeography; microbial succession; ecosystem function</t>
  </si>
  <si>
    <t>MOSBY MUD VOLCANO; ANAEROBIC OXIDATION; METHANOTROPHIC ARCHAEA; SEEP; DIVERSITY; FLOW; GROWTH; CARBON; SEA</t>
  </si>
  <si>
    <t>Antarctica is estimated to contain as much as a quarter of earth's marine methane, however we have not discovered an active Antarctic methane seep limiting our understanding of the methane cycle. In 2011, an expansive (70 m x 1 m) microbial mat formed at 10 m water depth in the Ross Sea, Antarctica which we identify here to be a high latitude hydrogen sulfide and methane seep. Through 16S rRNA gene analysis on samples collected 1 year and 5 years after the methane seep formed, we identify the taxa involved in the Antarctic methane cycle and quantify the response rate of the microbial community to a novel input of methane. One year after the seep formed, ANaerobic MEthane oxidizing archaea (ANME), the dominant sink of methane globally, were absent. Five years later, ANME were found to make up to 4% of the microbial community, however the dominant member of this group observed (ANME-1) were unexpected considering the cold temperature (-1.8 degrees C) and high sulfate concentrations (greater than 24 mM) present at this site. Additionally, the microbial community had not yet formed a sufficient filter to mitigate the release of methane from the sediment; methane flux from the sediment was still significant at 3.1 mmol CH(4)m(-2)d(-1). We hypothesize that this 5 year time point represents an early successional stage of the microbiota in response to methane input. This study provides the first report of the evolution of a seep system from a non-seep environment, and reveals that the rate of microbial succession may have an unrealized impact on greenhouse gas emission from marine methane reservoirs.</t>
  </si>
  <si>
    <t>[Thurber, Andrew R.; Seabrook, Sarah] Oregon State Univ, Coll Earth Ocean &amp; Atmospher Sci, Corvallis, OR 97331 USA; [Thurber, Andrew R.; Welsh, Rory M.] Oregon State Univ, Dept Microbiol, Coll Sci, Corvallis, OR 97331 USA; [Seabrook, Sarah] Natl Inst Water &amp; Atmospher Res NIWA, Wellington, New Zealand; [Seabrook, Sarah] Univ Auckland, Sch Environm, Auckland, New Zealand; [Welsh, Rory M.] Ctr Dis Control &amp; Prevent, Mycot Dis Branch, Atlanta, GA USA</t>
  </si>
  <si>
    <t>Oregon State University; Oregon State University; National Institute of Water &amp; Atmospheric Research (NIWA) - New Zealand; University of Auckland; Centers for Disease Control &amp; Prevention - USA</t>
  </si>
  <si>
    <t>Thurber, AR (corresponding author), Oregon State Univ, Coll Earth Ocean &amp; Atmospher Sci, Corvallis, OR 97331 USA.;Thurber, AR (corresponding author), Oregon State Univ, Dept Microbiol, Coll Sci, Corvallis, OR 97331 USA.</t>
  </si>
  <si>
    <t>athurber@coas.oregonstate.edu</t>
  </si>
  <si>
    <t>Seabrook, Sarah/0000-0001-5708-5947</t>
  </si>
  <si>
    <t>National Science Foundation Office of Polar Program [1642570, 1103428]; Office of Polar Programs (OPP); Directorate For Geosciences [1642570, 1103428] Funding Source: National Science Foundation</t>
  </si>
  <si>
    <t>National Science Foundation Office of Polar Program(National Science Foundation (NSF)); Office of Polar Programs (OPP); Directorate For Geosciences(National Science Foundation (NSF)NSF - Directorate for Geosciences (GEO))</t>
  </si>
  <si>
    <t>This work was supported by the National Science Foundation Office of Polar Program grants 1642570 and 1103428.</t>
  </si>
  <si>
    <t>ROYAL SOC</t>
  </si>
  <si>
    <t>6-9 CARLTON HOUSE TERRACE, LONDON SW1Y 5AG, ENGLAND</t>
  </si>
  <si>
    <t>0962-8452</t>
  </si>
  <si>
    <t>1471-2954</t>
  </si>
  <si>
    <t>P ROY SOC B-BIOL SCI</t>
  </si>
  <si>
    <t>Proc. R. Soc. B-Biol. Sci.</t>
  </si>
  <si>
    <t>10.1098/rspb.2020.1134</t>
  </si>
  <si>
    <t>Biology; Ecology; Evolutionary Biology</t>
  </si>
  <si>
    <t>Life Sciences &amp; Biomedicine - Other Topics; Environmental Sciences &amp; Ecology; Evolutionary Biology</t>
  </si>
  <si>
    <t>MT4GA</t>
  </si>
  <si>
    <t>hybrid, Green Published</t>
  </si>
  <si>
    <t>WOS:000554927100014</t>
  </si>
  <si>
    <t>Stampar, SN; Mills, VS; Keable, SJ</t>
  </si>
  <si>
    <t>Stampar, Sergio N.; Mills, V. Sadie; Keable, Stephen J.</t>
  </si>
  <si>
    <t>Ceriantharia (Cnidaria) from Australia, New Zealand and Antarctica with Descriptions of Four New Species</t>
  </si>
  <si>
    <t>RECORDS OF THE AUSTRALIAN MUSEUM</t>
  </si>
  <si>
    <t>taxonomy; South Pacific; marine invertebrates; deep sea</t>
  </si>
  <si>
    <t>ANTHOZOA; ANEMONE</t>
  </si>
  <si>
    <t>The fauna of Ceriantharia (tube-anemones) in the South Pacific is poorly studied with only four shallow-water spccics formally described and these animals arc known from few regions in very specific reports. Cerianthids are organisms that live in a tube constructed with a special type of cnidae and are currently grouped in an exclusive subclass of Anthozoa. This study addresses specimens from three natural history collections, the Australian Museum and the Museum and Art Gallery of the Northern Territory (both Australia), and the National Institute of Water &amp; Atmospheric Research (NIWA) Invertebrate Collection (New Zealand). focusing on specimens from the Coral Sea, Tasman Sea and Antarctic Ocean. As a result four new species are described and one synonyinized. This highlights the ongoing need for taxonomic studies in the region, especially for marine organisms. Also, in this study. we offer tables with morphological characters that can be useful for species identification in each genus.</t>
  </si>
  <si>
    <t>[Stampar, Sergio N.] Univ Estadual Paulista UNESP, Lab Evolucao &amp; Diversidade Aquat LEDA, Dept Ciencias Biol, FCL Assis, Av Dom Antonio 2100, BR-19806900 Assis, SP, Brazil; [Mills, V. Sadie] Natl Inst Water &amp; Atmospher Res, NIWA Invertebrate Collect, 301 Evans Bay Parade Hataitai, Wellington 6021, New Zealand; [Keable, Stephen J.] Australian Museum, Australian Museum Res Inst, 1 William St, Sydney, NSW 2010, Australia</t>
  </si>
  <si>
    <t>Universidade Estadual Paulista; National Institute of Water &amp; Atmospheric Research (NIWA) - New Zealand; Australian Museum</t>
  </si>
  <si>
    <t>Stampar, SN (corresponding author), Univ Estadual Paulista UNESP, Lab Evolucao &amp; Diversidade Aquat LEDA, Dept Ciencias Biol, FCL Assis, Av Dom Antonio 2100, BR-19806900 Assis, SP, Brazil.</t>
  </si>
  <si>
    <t>sergio.stampar@unesp.br</t>
  </si>
  <si>
    <t>Stampar, Sérgio/AAC-6966-2022; Keable, Stephen/IWM-3156-2023</t>
  </si>
  <si>
    <t>Keable, Stephen/0000-0002-1754-6750; Stampar, Sergio/0000-0002-9782-1619; Mills, Victoria/0000-0002-8122-0456</t>
  </si>
  <si>
    <t>FAPESP [2015/24408-4, 2015/21007-9, 2016/04962-0, 2016/50389-0]; CNPq [404121/2016-0, 301293/2019-8]; Acordo CAPES/CNPq-PROTAX II [88882.156878/2016-01]; Australian Museum Research Institute (AMRI) Visiting Collection Fellowship; Land Information New Zealand (LINZ) [TAN0906]; New Zealand Government under the New Zealand International Polar Year Census of Antarctic Marine Life Project [TAN0802, So001IPY, IPY2007-01]; MFish [TAN0402]</t>
  </si>
  <si>
    <t>FAPESP(Fundacao de Amparo a Pesquisa do Estado de Sao Paulo (FAPESP)); CNPq(Conselho Nacional de Desenvolvimento Cientifico e Tecnologico (CNPQ)); Acordo CAPES/CNPq-PROTAX II; Australian Museum Research Institute (AMRI) Visiting Collection Fellowship; Land Information New Zealand (LINZ); New Zealand Government under the New Zealand International Polar Year Census of Antarctic Marine Life Project; MFish</t>
  </si>
  <si>
    <t>This work was partly funded by FAPESP (grants 2015/24408-4, 2015/21007-9, 2016/04962-0 and 2016/50389-0), CNPq (grants 404121/2016-0 and 301293/2019-8) and Acordo CAPES/CNPq-PROTAX II (grants 88882.156878/2016-01). Study of the cnidarian collections of the Australian Museum was supported by an Australian Museum Research Institute (AMRI) Visiting Collection Fellowship for the first author. We gratefully acknowledge the wonderful photographs taken of Ceriantharia in the wild by Tony Strazzani, Malcolm P. Francis and Chris Woods, and those on deck by Stefano Schiaparelli, and the people that were able to collect these evasive creatures. Specimens and data provided from the NIWA Invertebrate Collection were collected on various research surveys including by Mike Page on a New Zealand Department of Conservation (DOC) survey in Fiordland with thanks to DOC and the Fiordland Marine Guardians; TAN0906: Ocean Survey 20/20 Bay of Islands Coastal Biodiversity, Sediment and Seabed Habitat Project, funded and owned by Land Information New Zealand (LINZ); TAN0802: research funded by the New Zealand Government under the New Zealand International Polar Year Census of Antarctic Marine Life Project (Phase 1: So001IPY; Phase 2; IPY2007-01) with project governance provided by the former Ministry of Fisheries (MFish) Science Team and the Ocean Survey 20/20 CAML Advisory Group (LINZ, MFish, Antarctica New Zealand, Ministry of Foreign Affairs and Trade, and NIWA); TAN0402: A biodiversity survey of the western Ross Sea and Balleny Islands in 2004 undertaken by NIWA and funded by MFish. We are also grateful to the Drs Marymegan Daly and James Reimer who provided constructive comments on an earlier version of this manuscript.</t>
  </si>
  <si>
    <t>AUSTRALIAN MUSEUM</t>
  </si>
  <si>
    <t>SYDNEY</t>
  </si>
  <si>
    <t>6 COLLEGE ST, SYDNEY, NSW 2010, AUSTRALIA</t>
  </si>
  <si>
    <t>0067-1975</t>
  </si>
  <si>
    <t>REC AUST MUS</t>
  </si>
  <si>
    <t>Rec. Aust. Mus.</t>
  </si>
  <si>
    <t>10.3853/j.2201-4349.72.2020.1762</t>
  </si>
  <si>
    <t>Zoology</t>
  </si>
  <si>
    <t>MR4RU</t>
  </si>
  <si>
    <t>WOS:000553577700003</t>
  </si>
  <si>
    <t>Safieddine, S; Bouillon, M; Paracho, AC; Jumelet, J; Tencé, F; Pazmino, A; Goutail, F; Wespes, C; Bekki, S; Boynard, A; Hadji-Lazaro, J; Coheur, PF; Hurtmans, D; Clerbaux, C</t>
  </si>
  <si>
    <t>Safieddine, Sarah; Bouillon, Marie; Paracho, Ana-Claudia; Jumelet, Julien; Tence, Florent; Pazmino, Andrea; Goutail, Florence; Wespes, Catherine; Bekki, Slimane; Boynard, Anne; Hadji-Lazaro, Juliette; Coheur, Pierre-Francois; Hurtmans, Daniel; Clerbaux, Cathy</t>
  </si>
  <si>
    <t>Antarctic Ozone Enhancement During the 2019 Sudden Stratospheric Warming Event</t>
  </si>
  <si>
    <t>GEOPHYSICAL RESEARCH LETTERS</t>
  </si>
  <si>
    <t>SOUTHERN-HEMISPHERE; DUMONT DURVILLE; VALIDATION; RETRIEVAL; CLOUDS; CLIMATOLOGY; IASI/METOP; DEPLETION; AEROSOLS; DOBSON</t>
  </si>
  <si>
    <t>We analyze the 2019 sudden stratospheric warming event that occurred in the Southern Hemisphere through its impact on the Antarctic ozone. Using temperature, ozone, and nitric acid data from the Infrared Atmospheric Sounding Interferometer (IASI), our results show that the average increase in stratospheric temperature reached a maximum of 34.4 degrees on 20 September in the [60-90]degrees S latitude range when compared to the past 3 years. Dynamical parameters suggest a locally reversed and weakened zonal winds and a shift in the location of the polar jet vortex. This led to air masses mixing, to a reduced polar stratospheric clouds formation detected at a ground station, and as such to lower ozone and nitric acid depletion. 2019 total ozone columns for the months of September, October, and November were on average higher by 29%, 28%, and 26%, respectively, when compared to the 11-year average of the same months. Plain Language Summary In August and September 2019 exceptional meteorology led to a sudden increase in temperatures at altitudes between 20 and 30 km above the ground over Antarctica. This is a rare and very important event since it has direct effects on the ozone hole size and distribution. In this work, we investigate this event, using satellite and ground-based station data. We document the warming, its starting date (end of August), and how long it lasted (around 3 weeks). This warming helped in stopping the formation of high altitude icy clouds that usually trap ozone depleting species. When springtime starts (September/October), these depleting species are usually released and ozone destruction starts. This year however, and due to the warming, very little ozone destruction took place, leading to high ozone columns (small ozone hole) over Antarctica.</t>
  </si>
  <si>
    <t>[Safieddine, Sarah; Bouillon, Marie; Paracho, Ana-Claudia; Jumelet, Julien; Tence, Florent; Pazmino, Andrea; Goutail, Florence; Bekki, Slimane; Boynard, Anne; Hadji-Lazaro, Juliette; Clerbaux, Cathy] Sorbonne Univ, CNRS, LATMOS IPSL, UVSQ, Paris, France; [Wespes, Catherine; Coheur, Pierre-Francois; Hurtmans, Daniel; Clerbaux, Cathy] Univ Libre Bruxelles ULB, Lab Spect Quantum Chem &amp; Atmospher Remote Sensing, Brussels, Belgium; [Boynard, Anne] SPASCIA, Ramonville St Agne, France</t>
  </si>
  <si>
    <t>Sorbonne Universite; Universite Paris Cite; Universite Paris Saclay; Centre National de la Recherche Scientifique (CNRS); Universite Libre de Bruxelles</t>
  </si>
  <si>
    <t>Safieddine, S (corresponding author), Sorbonne Univ, CNRS, LATMOS IPSL, UVSQ, Paris, France.</t>
  </si>
  <si>
    <t>sarah.safieddine@latmos.ipsl.fr</t>
  </si>
  <si>
    <t>Safieddine, Sarah/AAE-4279-2022; bekki, slimane/J-7221-2015</t>
  </si>
  <si>
    <t>bekki, slimane/0000-0002-5538-0800; /0000-0002-8947-7950; Parracho, Ana Claudia/0000-0002-3129-8327; Bouillon, Marie/0000-0003-1675-0933</t>
  </si>
  <si>
    <t>CNES; AC SAF project; French Polar Institute (Institut Paul-Emile Victor [IPEV]); ACTRIS-France; NDACC; Belspo; ESA (Prodex arrangement IASI.Flow)</t>
  </si>
  <si>
    <t>CNES(Centre National D'etudes Spatiales); AC SAF project; French Polar Institute (Institut Paul-Emile Victor [IPEV]); ACTRIS-France; NDACC; Belspo(Belgian Federal Science Policy Office); ESA (Prodex arrangement IASI.Flow)</t>
  </si>
  <si>
    <t>This work was supported by the CNES. It is based on observations with IASI embarked on Metop. The authors thank Maya George for her help with the review of this manuscript. The authors acknowledge the Aeris data infrastructure for providing access to the IASI data used in this study. The AC SAF project is acknowledged for supporting the IASI FORLI-O3 implementation at EUMETSAT. Operations on the Dumont D'Urville station are supported by the French Polar Institute (Institut Paul-Emile Victor [IPEV]) in the framework of the NDACC Antarctica project. Ground-based instruments are supported by ACTRIS-France and NDACC. The research on IASI is supported in Belgium by Belspo and ESA (Prodex arrangement IASI.Flow).</t>
  </si>
  <si>
    <t>0094-8276</t>
  </si>
  <si>
    <t>1944-8007</t>
  </si>
  <si>
    <t>GEOPHYS RES LETT</t>
  </si>
  <si>
    <t>Geophys. Res. Lett.</t>
  </si>
  <si>
    <t>JUL 28</t>
  </si>
  <si>
    <t>e2020GL087810</t>
  </si>
  <si>
    <t>10.1029/2020GL087810</t>
  </si>
  <si>
    <t>MV9ZN</t>
  </si>
  <si>
    <t>WOS:000556707300053</t>
  </si>
  <si>
    <t>Shen, WS; Wiens, DA; Lloyd, AJ; Nyblade, AA</t>
  </si>
  <si>
    <t>Shen, Weisen; Wiens, Douglas A.; Lloyd, Andrew J.; Nyblade, Andrew A.</t>
  </si>
  <si>
    <t>A Geothermal Heat Flux Map of Antarctica Empirically Constrained by Seismic Structure</t>
  </si>
  <si>
    <t>geothermal; Antarctica; ice sheet modeling; heat flux; crust and uppermost mantle</t>
  </si>
  <si>
    <t>ICE-SHEET; WEST ANTARCTICA; TEMPERATURE; FLOW; DOME; BOREHOLE; BENEATH; MODEL; LITHOSPHERE; AGE</t>
  </si>
  <si>
    <t>The geothermal heat flux (GHF) is an important boundary condition for modeling the movement of the Antarctic ice sheet but is difficult to measure systematically at a continental scale. Earlier GHF maps suffer from low resolution and possibly biased assumptions in tectonism and crustal heat generation, resulting in significant uncertainty. We present a new GHF map for Antarctica constructed by empirically relating the upper mantle structure to known GHF in the continental United States. The new map, compared with previously seismologically determined one, has improved resolution and lower uncertainties. New features in this map include high GHF in the southern Transantarctic Mountains where warmer uppermost mantle is introduced by lithospheric removal and in the Thwaites Glacier region. Additionally, a modest GHF in the central West Antarctic Rift system near the Siple Coast and an absence of large-scale regions with GHF greater than 90 mW/m(2)are found.</t>
  </si>
  <si>
    <t>[Shen, Weisen] SUNY Stony Brook, Dept Geosci, Stony Brook, NY 11794 USA; [Wiens, Douglas A.; Lloyd, Andrew J.] Washington Univ, Dept Earth &amp; Planetary Sci, St Louis, MO 63130 USA; [Lloyd, Andrew J.] Columbia Univ, Dept Earth &amp; Planetary Sci, New York, NY USA; [Nyblade, Andrew A.] Penn State Univ, Dept Geosci, University Pk, PA 16802 USA</t>
  </si>
  <si>
    <t>State University of New York (SUNY) System; State University of New York (SUNY) Stony Brook; Washington University (WUSTL); Columbia University; Pennsylvania Commonwealth System of Higher Education (PCSHE); Pennsylvania State University; Pennsylvania State University - University Park</t>
  </si>
  <si>
    <t>Shen, WS (corresponding author), SUNY Stony Brook, Dept Geosci, Stony Brook, NY 11794 USA.</t>
  </si>
  <si>
    <t>weisen.shen@stonybrook.edu</t>
  </si>
  <si>
    <t>Wiens, Douglas/J-9259-2016</t>
  </si>
  <si>
    <t>Wiens, Douglas/0000-0002-5169-4386; Shen, Weisen/0000-0002-3766-632X; Lloyd, Andrew/0000-0002-2253-1342</t>
  </si>
  <si>
    <t>National Science Foundation [PLR-1246712, PLR-1744883, PLR-1945856]; National Science Foundation; GEO Directorate through the Instrumentation and Facilities Program of the National Science Foundation [EAR-1063471]</t>
  </si>
  <si>
    <t>National Science Foundation(National Science Foundation (NSF)); National Science Foundation(National Science Foundation (NSF)); GEO Directorate through the Instrumentation and Facilities Program of the National Science Foundation</t>
  </si>
  <si>
    <t>The authors thank the editor, and Tobias Staal and Derrick Hasterok for their insightful constructive review to the manuscript. This material is based upon work supported by the National Science Foundation under Grant PLR-1246712 (D. W.), PLR-1744883 (W. S., L. A., and D. W.), and PLR-1945856 (W. S. and D. W.). The IRIS DMS is funded through the National Science Foundation and specifically the GEO Directorate through the Instrumentation and Facilities Program of the National Science Foundation under Cooperative Agreement EAR-1063471.</t>
  </si>
  <si>
    <t>e2020GL086955</t>
  </si>
  <si>
    <t>10.1029/2020GL086955</t>
  </si>
  <si>
    <t>WOS:000556707300055</t>
  </si>
  <si>
    <t>Beermann, J; Hall-Mullen, AK; Havermans, C; Cooler, JWP; Crooijmans, RPMA; Dibbits, B; Held, C; Desiderato, A</t>
  </si>
  <si>
    <t>Beermann, Jan; Hall-Mullen, Allison K.; Havermans, Charlotte; Cooler, Joop W. P.; Crooijmans, Richard P. M. A.; Dibbits, Bert; Held, Christoph; Desiderato, Andrea</t>
  </si>
  <si>
    <t>Ancient globetrotters-connectivity and putative native ranges of two cosmopolitan biofouling amphipods</t>
  </si>
  <si>
    <t>PEERJ</t>
  </si>
  <si>
    <t>Amphipoda; Biofouling; Biological invasion; Cosmopolitan distribution; Marine dispersal; Marine shipping</t>
  </si>
  <si>
    <t>COASTAL MARINE ORGANISMS; JASSA-SLATTERYI CONLAN; MARMORATA HOLMES; MODEL SELECTION; AMPITHOE-VALIDA; CRUSTACEA; DISPERSAL; INVASIONS; GENETICS; VECTOR</t>
  </si>
  <si>
    <t>The geographic distributions of some coastal marine species have appeared as cosmopolitan ever since they were first scientifically documented. In particular, for many benthic species that are associated with anthropogenic substrata, there is much speculation as to whether or not their broad distributions can be explained by natural mechanisms of dispersal. Here, we focused on two congeneric coastal crustaceans with cosmopolitan distributions-the tube-dwelling amphipods Jassa marmorata and Jassa slatteryi. Both species are common elements of marine biofouling on nearly all kinds of artificial hard substrata in temperate to warm seas. We hypothesized that the two species' modern occurrences across the oceans are the result of human shipping activities that started centuries ago. Mitochondrial DNA sequences of the COI fragment of specimens from distinct marine regions around the world were analysed, evaluating genetic structure and migration models and making inferences on putative native ranges of the two Jassa species. Populations of both species exhibited considerable genetic diversity with differing levels of geographic structure. For both species, at least two dominant haplotypes were shared among several geographic populations. Rapid demographic expansion and high migration rates between geographically distant regions support a scenario of ongoing dispersal all over the world. Our findings indicate that the likely former native range of J. marmorata is the Northwest Atlantic, whereas the likely former native range of J. slatteryi is the Northern Pacific region. As corroborated by the genetic connectivity between populations, shipping still appears to be the more successful vector of the two species' dispersal when compared to natural mechanisms. Historical invasion events that likely started centuries ago, along with current ongoing dispersal, confirm these species' identities as true neocosmopolitans.</t>
  </si>
  <si>
    <t>[Beermann, Jan; Hall-Mullen, Allison K.; Havermans, Charlotte; Held, Christoph; Desiderato, Andrea] Helmholtz Ctr Polar &amp; Marine Res, Alfred Wegener Inst, Dept Funct Ecol, Bremerhaven, Germany; [Beermann, Jan] Helmholtz Inst Funct Marine Biodivers, Oldenburg, Germany; [Beermann, Jan; Hall-Mullen, Allison K.] Univ Bremen, FB2, Bremen, Germany; [Havermans, Charlotte] Helmholtz Ctr Polar &amp; Marine Res, Helmholtz Young Investigator Grp Arctic Jellies, Alfred Wegener Inst, Bremerhaven, Germany; [Cooler, Joop W. P.] Wageningen Marine Res, Den Helder, Netherlands; [Cooler, Joop W. P.] Wageningen Univ, Chair Grp Aquat Ecol &amp; Water Qual Management, Wageningen, Netherlands; [Crooijmans, Richard P. M. A.; Dibbits, Bert] Wageningen Univ, Anim Breeding &amp; Genom, Wageningen, Netherlands; [Desiderato, Andrea] Univ Fed Parana, Dept Zool, Programa Posgrad Zool PPGZOO, Curitiba, Parana, Brazil</t>
  </si>
  <si>
    <t>Helmholtz Association; Alfred Wegener Institute, Helmholtz Centre for Polar &amp; Marine Research; University of Bremen; Helmholtz Association; Alfred Wegener Institute, Helmholtz Centre for Polar &amp; Marine Research; Wageningen University &amp; Research; Wageningen University &amp; Research; Wageningen University &amp; Research; Universidade Federal do Parana</t>
  </si>
  <si>
    <t>Beermann, J (corresponding author), Helmholtz Ctr Polar &amp; Marine Res, Alfred Wegener Inst, Dept Funct Ecol, Bremerhaven, Germany.;Beermann, J (corresponding author), Helmholtz Inst Funct Marine Biodivers, Oldenburg, Germany.;Beermann, J (corresponding author), Univ Bremen, FB2, Bremen, Germany.</t>
  </si>
  <si>
    <t>Jan.Beermann@awi.de</t>
  </si>
  <si>
    <t>Coolen, Joop W.P./AAG-9704-2019; Crooijmans, Richard PMA/E-2492-2012; Desiderato, Andrea/H-3879-2018</t>
  </si>
  <si>
    <t>Coolen, Joop W.P./0000-0002-8127-6097; Desiderato, Andrea/0000-0003-3284-5529; Beermann, Jan/0000-0001-5894-6817; Havermans, Charlotte/0000-0002-1126-4074</t>
  </si>
  <si>
    <t>Deutsche Forschungsgemeinschaft (DFG, German Science Foundation) within the Priority Programme on Antarctic Research with Comparable Investigations in Arctic Sea Ice [HA7627/1-1, HA7627/1-2, 1158]; NWO Domain Applied and Engineering Sciences [14494]; UK oil and gas project RECON (INSITE Foundation Phase I); Conselho Nacional de Desenvolvimento Cientifico e Tecnologico (CNPq) [141565/2017-9]; Deutscher Akademischer Austauschdienst (DAAD, German Academic Exchange Service)</t>
  </si>
  <si>
    <t>Deutsche Forschungsgemeinschaft (DFG, German Science Foundation) within the Priority Programme on Antarctic Research with Comparable Investigations in Arctic Sea Ice(German Research Foundation (DFG)); NWO Domain Applied and Engineering Sciences; UK oil and gas project RECON (INSITE Foundation Phase I); Conselho Nacional de Desenvolvimento Cientifico e Tecnologico (CNPq)(Conselho Nacional de Desenvolvimento Cientifico e Tecnologico (CNPQ)); Deutscher Akademischer Austauschdienst (DAAD, German Academic Exchange Service)(Deutscher Akademischer Austausch Dienst (DAAD))</t>
  </si>
  <si>
    <t>Charlotte Havermans was funded by the Deutsche Forschungsgemeinschaft (DFG, German Science Foundation) with the projects HA7627/1-1 and HA7627/1-2 within the Priority Programme 1158 on Antarctic Research with Comparable Investigations in Arctic Sea Ice. Joop Coolen, Richard Crooijmans and Bert Dibbits were funded by the NWO Domain Applied and Engineering Sciences under Grant 14494 and by the UK oil and gas project RECON (INSITE Foundation Phase I). Andrea Desiderato was funded by the Conselho Nacional de Desenvolvimento Cientifico e Tecnologico (CNPq) through a PhD grant (process no. 141565/2017-9) and by a research grant of the Deutscher Akademischer Austauschdienst (DAAD, German Academic Exchange Service). The funders had no role in study design, data collection and analysis, decision to publish, or preparation of the manuscript.</t>
  </si>
  <si>
    <t>PEERJ INC</t>
  </si>
  <si>
    <t>341-345 OLD ST, THIRD FLR, LONDON, EC1V 9LL, ENGLAND</t>
  </si>
  <si>
    <t>2167-8359</t>
  </si>
  <si>
    <t>PeerJ</t>
  </si>
  <si>
    <t>e9613</t>
  </si>
  <si>
    <t>10.7717/peerj.9613</t>
  </si>
  <si>
    <t>MQ4XW</t>
  </si>
  <si>
    <t>gold, Green Published, Green Submitted</t>
  </si>
  <si>
    <t>WOS:000552899800012</t>
  </si>
  <si>
    <t>Fujita, R; Morimoto, S; Maksyutov, S; Kim, HS; Arshinov, M; Brailsford, G; Aoki, S; Nakazawa, T</t>
  </si>
  <si>
    <t>Fujita, Ryo; Morimoto, Shinji; Maksyutov, Shamil; Kim, Heon-Sook; Arshinov, Mikhail; Brailsford, Gordon; Aoki, Shuji; Nakazawa, Takakiyo</t>
  </si>
  <si>
    <t>Global and Regional CH4Emissions for 1995-2013 Derived From Atmospheric CH4, δ13C-CH4, and δD-CH4Observations and a Chemical Transport Model</t>
  </si>
  <si>
    <t>JOURNAL OF GEOPHYSICAL RESEARCH-ATMOSPHERES</t>
  </si>
  <si>
    <t>methane; mole fraction; isotope ratio; chemical transport model; global methane budget</t>
  </si>
  <si>
    <t>HYDROGEN ISOTOPIC-RATIOS; METHANE EMISSIONS; FOSSIL-FUEL; FIRE EMISSIONS; CARBON-DIOXIDE; OXIDATION; OH; GROWTH; BUDGET; CO2</t>
  </si>
  <si>
    <t>To better understand the current global CH(4)budget, biogenic, fossil fuel, and biomass burning CH(4)fluxes for the period 1995-2013 were inversely estimated from the observed mole fraction data of atmospheric CH(4)using a three-dimensional chemical transport model. Then, forward simulations of carbon and hydrogen isotope ratios of atmospheric CH4(delta C-13-CH(4)and delta D-CH4) were conducted using the inversion fluxes to evaluate the source proportion of the global total CH(4)emission. Model-simulated spatiotemporal variations of atmospheric CH(4)reproduce the observational results well; however, the simulated delta C-13-CH(4)and delta D-CH(4)values significantly underestimate their observed values as a whole. This implies that the proportion of biogenic CH(4)sources in the global CH(4)emission, deduced by inverse modeling, is overestimated, although the proportion is fairly comparable with the medians of recent multiple CH(4)inverse modeling. To reduce the disagreement between the observed and calculated isotope ratios, the CH(4)fluxes of individual source categories were adjusted using our atmospheric delta C-13-CH(4)and delta D-CH(4)data observed at Arctic and Antarctic surface stations. The resultant global average biogenic, fossil fuel, and biomass burning CH(4)fluxes over 2003-2012 are 346 +/- 11, 162 +/- 2, and 50 +/- 2 TgCH(4)year(-1), respectively. It is also strongly suggested that the leveling-off of atmospheric CH(4)in the early 2000s and the renewed growth after 2006/2007 are, respectively, explainable by the decrease in biogenic and biomass burning CH(4)emissions for 2000-2006 and the increase in biogenic CH(4)emissions after that period. These emission changes mainly originate in the tropics.</t>
  </si>
  <si>
    <t>[Fujita, Ryo; Morimoto, Shinji; Aoki, Shuji; Nakazawa, Takakiyo] Tohoku Univ, Grad Sch Sci, Ctr Atmospher &amp; Ocean Studies, Sendai, Miyagi, Japan; [Fujita, Ryo] Imperial Coll London, Dept Phys, London, England; [Fujita, Ryo; Maksyutov, Shamil] Natl Inst Environm Studies, Tsukuba, Ibaraki, Japan; [Kim, Heon-Sook] Pusan Natl Univ, Pusan, South Korea; [Arshinov, Mikhail] Russian Acad Sci, Siberian Branch, VE Zuev Inst Atmospher Opt, Tomsk, Russia; [Brailsford, Gordon] Natl Inst Water &amp; Atmospher Res, Auckland, New Zealand</t>
  </si>
  <si>
    <t>Tohoku University; Imperial College London; National Institute for Environmental Studies - Japan; Pusan National University; Zuev Institute of Atmospheric Optics, Siberian Branch of the Russian Academy of Sciences; Russian Academy of Sciences; National Institute of Water &amp; Atmospheric Research (NIWA) - New Zealand</t>
  </si>
  <si>
    <t>Fujita, R (corresponding author), Tohoku Univ, Grad Sch Sci, Ctr Atmospher &amp; Ocean Studies, Sendai, Miyagi, Japan.</t>
  </si>
  <si>
    <t>r.fujita@imperial.ac.uk</t>
  </si>
  <si>
    <t>Morimoto, Shinji/GQR-1817-2022; Maksyutov, Shamil/G-6494-2011</t>
  </si>
  <si>
    <t>Maksyutov, Shamil/0000-0002-1200-9577</t>
  </si>
  <si>
    <t>NIPR [KP-15, KP-304]; Ministry of Education, Culture, Sports, Science and Technology (MEXT), Japan, through the Arctic Challenge for Sustainability (ArCS) project; JSPS KAKENHI [23310012, 15H03722]; Program for Leading Graduate Schools, Inter-Graduate School Doctoral Degree Program on Global Safety; Grants-in-Aid for Scientific Research [20H04327, 20H01966, 23310012, 15H03722] Funding Source: KAKEN</t>
  </si>
  <si>
    <t>NIPR(National Institute of Polar Research (NIPR) - Japan); Ministry of Education, Culture, Sports, Science and Technology (MEXT), Japan, through the Arctic Challenge for Sustainability (ArCS) project; JSPS KAKENHI(Ministry of Education, Culture, Sports, Science and Technology, Japan (MEXT)Japan Society for the Promotion of ScienceGrants-in-Aid for Scientific Research (KAKENHI)); Program for Leading Graduate Schools, Inter-Graduate School Doctoral Degree Program on Global Safety; Grants-in-Aid for Scientific Research(Ministry of Education, Culture, Sports, Science and Technology, Japan (MEXT)Japan Society for the Promotion of ScienceGrants-in-Aid for Scientific Research (KAKENHI))</t>
  </si>
  <si>
    <t>We express our sincere thanks to Taku Umezawa, NIES for providing us with the d13C-CH4 and dD-CH4 data measured at TU. We are grateful to Hiroko Nagamoto and Mitsuyo Umeda, NIPR and Junko Miyakozawa, TU for their support of isotopes and CH4 analyses. We also appreciate Edward J. Dlugokencky, National Oceanic and Atmospheric Administration/Earth System Research Laboratory (NOAA/ESRL), Motoki Sasakawa and Toshinobu Machida, NIES, Douglas E. J. Worthy, Environment and Climate Change Canada (ECCC), Ray Langenfelds, Paul Steele, and Paul Krummel, Commonwealth Scientific and Industrial Research Organization (CSIRO), Kazuyuki Saito, Japan Meteorological Agency (JMA), Rowena Moss and Sylvia Nichol, National Institute of Water and Atmospheric Research (NIWA), Emilio CuevasAgullo, Agencia Estatal de Meteorologia (AEMET), Salvatore Piacentino and Damiano Sferlazzo, Italian National Agency for New Technologies, Energy and Sustainable Economic Development (ENEA), Juha Hatakka, Finnish Meteorological Institute (FMI), Nina Paramonova, Main Geophysical Observatory (MGO), Taekyu Kim, National Institute of Environmental Research (NIER), Francesco Apadula, Ricerca sul Sistema Energetico (RSE), and Casper Labuschagne, South African Weather Service (SAWS), for providing us with the atmospheric CH4 data. We also thank James White, Bruce H. Vaughn, and Sylvia Michel, Institute of Arctic and Alpine Research, University of Colorado (INSTAAR) for providing us with the d13C-CH4 and dD-CH4 data. We further thank Tazu Saeki and Masako Senda who made contribution to developing the NIES-TM CH4 inverse model setup. This work was partly supported by NIPR through the Project Research KP-15 and KP-304, and by the Ministry of Education, Culture, Sports, Science and Technology (MEXT), Japan, through the Arctic Challenge for Sustainability (ArCS) project, the JSPS KAKENHI Grants 23310012 and 15H03722, and the Program for Leading Graduate Schools, Inter-Graduate School Doctoral Degree Program on Global Safety.</t>
  </si>
  <si>
    <t>2169-897X</t>
  </si>
  <si>
    <t>2169-8996</t>
  </si>
  <si>
    <t>J GEOPHYS RES-ATMOS</t>
  </si>
  <si>
    <t>J. Geophys. Res.-Atmos.</t>
  </si>
  <si>
    <t>JUL 27</t>
  </si>
  <si>
    <t>e2020JD032903</t>
  </si>
  <si>
    <t>10.1029/2020JD032903</t>
  </si>
  <si>
    <t>MW2LZ</t>
  </si>
  <si>
    <t>WOS:000556876500009</t>
  </si>
  <si>
    <t>Rao, J; Garfinkel, CI; White, IP; Schwartz, C</t>
  </si>
  <si>
    <t>Rao, Jian; Garfinkel, Chaim I.; White, Ian P.; Schwartz, Chen</t>
  </si>
  <si>
    <t>The Southern Hemisphere Minor Sudden Stratospheric Warming in September 2019 and its Predictions in S2S Models</t>
  </si>
  <si>
    <t>subseasonal to seasonal (S2S); sudden stratospheric warming (SSW); Southern Hemisphere (SH); predictability; September 2019</t>
  </si>
  <si>
    <t>QUASI-BIENNIAL OSCILLATION; POLAR VORTEX; CIRCULATION ANOMALIES; NORTHERN WINTER; ANNULAR MODE; SKILL; VARIABILITY; FORECASTS; JET; PREDICTABILITY</t>
  </si>
  <si>
    <t>A minor sudden stratospheric warming (SSW) happened in September 2019 in the Southern Hemisphere (SH) with winds at 10 hPa, 60 degrees S reaching their minimum value on 18 September. Using multiple data sets and real-time predictions from 11 subseasonal to seasonal (S2S) models, the evolution, favorable conditions, and predictability for this SSW event are explored. The September 2019 SSW happened during several favorable conditions, including easterly equatorial quasi-biennial oscillation (QBO) winds at 10 hPa, solar minimum, positive Indian Ocean Dipole (IOD) sea surface temperatures (SST), warm SST anomalies in the central Pacific, and a blocking high near the Antarctic Peninsula. With these favorable initial and boundary conditions, the predictive limit to this SSW is around 18 days in some S2S models, and more than 50% of the ensemble members forecast the zonal wind deceleration in reforecasts initialized around 29 August. A vortex slowdown is evident in some initializations from around 22 August, but with a forecast-reanalysis pattern correlation %3C0.5, while initializations later than 29 August capture the wavelike pattern in the troposphere and the subsequent stratospheric evolution. The ensemble spread in the magnitude of the vortex deceleration during the SSW is mainly explained by the ensemble spread in the magnitude of upward propagation of waves in the troposphere and in the stratosphere, with an underestimated tropospheric wave amplitude leading to a too-small deceleration of the vortex. The September 2019 SH SSW did not show a near-instantaneous downward impact on the tropospheric southern annular mode (SAM) in late September and early October 2019. The Australian drought and hot weather in September possibly associated with the positive IOD might have been exacerbated by the negative SAM in October and later months due to the weak stratospheric polar vortex. However, models tend to forecast a near-instantaneous tropospheric response to the SSW.</t>
  </si>
  <si>
    <t>[Rao, Jian; Garfinkel, Chaim I.; White, Ian P.; Schwartz, Chen] Hebrew Univ Jerusalem, Fredy &amp; Nadine Herrmann Inst Earth Sci, Jerusalem, Israel; [Rao, Jian] Nanjing Univ Informat Sci &amp; Technol, Key Lab Meteorol Disaster, Minist Educ KLME,Collaborat Innovat Ctr Forecast, Joint Int Res Lab Climate &amp; Environm Change ILCEC, Nanjing, Peoples R China</t>
  </si>
  <si>
    <t>Hebrew University of Jerusalem; Nanjing University of Information Science &amp; Technology</t>
  </si>
  <si>
    <t>Rao, J (corresponding author), Hebrew Univ Jerusalem, Fredy &amp; Nadine Herrmann Inst Earth Sci, Jerusalem, Israel.;Rao, J (corresponding author), Nanjing Univ Informat Sci &amp; Technol, Key Lab Meteorol Disaster, Minist Educ KLME,Collaborat Innovat Ctr Forecast, Joint Int Res Lab Climate &amp; Environm Change ILCEC, Nanjing, Peoples R China.</t>
  </si>
  <si>
    <t>jian.rao@mail.huji.ac.il</t>
  </si>
  <si>
    <t>garfinkel, chaim I/AAA-1134-2020; Rao, Jian/O-3392-2019</t>
  </si>
  <si>
    <t>garfinkel, chaim I/0000-0001-7258-666X; Rao, Jian/0000-0001-5030-0288</t>
  </si>
  <si>
    <t>National Key R&amp;D Program of China [2016YFA0602104]; National Natural Science Foundation of China [41705024]; ISF-NSFC joint research program [3259/19]; European Research Council starting grant under the European Union's Horizon 2020 research and innovation programme [677756]</t>
  </si>
  <si>
    <t>National Key R&amp;D Program of China; National Natural Science Foundation of China(National Natural Science Foundation of China (NSFC)); ISF-NSFC joint research program; European Research Council starting grant under the European Union's Horizon 2020 research and innovation programme(Horizon 2020European Research Council (ERC))</t>
  </si>
  <si>
    <t>JR acknowledges the National Key R&amp;D Program of China (2016YFA0602104) and the National Natural Science Foundation of China (41705024). This research was also supported by the ISF-NSFC joint research program (3259/19), and the European Research Council starting grant under the European Union's Horizon 2020 research and innovation programme (677756). The authors also acknowledge the 11 S2S model agencies and NCAR/NCEP for providing the S2S real-time predictions (https://apps.ecmwf.int/datasets/data/s2s/levtype= sfc/type=cf/) and reanalysis (https://www.esrl.noaa.gov/psd/data/gridded/data.ncep.reanalysis.html) data, respectively.</t>
  </si>
  <si>
    <t>e2020JD032723</t>
  </si>
  <si>
    <t>10.1029/2020JD032723</t>
  </si>
  <si>
    <t>WOS:000556876500016</t>
  </si>
  <si>
    <t>Bednaríková, M; Váczi, P; Lazár, D; Barták, M</t>
  </si>
  <si>
    <t>Bednarikova, Michaela; Vaczi, Peter; Lazar, Dusan; Bartak, Milos</t>
  </si>
  <si>
    <t>Photosynthetic performance of Antarctic lichenDermatocarpon polyphyllizumwhen affected by desiccation and low temperatures</t>
  </si>
  <si>
    <t>PHOTOSYNTHESIS RESEARCH</t>
  </si>
  <si>
    <t>Fast chlorophyll fluorescence curve; OJIP; Spectral reflectance; Stress; Upper cortex</t>
  </si>
  <si>
    <t>CHLOROPHYLL-A FLUORESCENCE; SPECTRAL REFLECTANCE INDEXES; THERMAL-ENERGY DISSIPATION; II REACTION CENTERS; PHOTOSYSTEM-II; ELECTRON-TRANSPORT; LIGHT ENERGY; DROUGHT STRESS; USE EFFICIENCY; BARLEY LEAVES</t>
  </si>
  <si>
    <t>Lichens are symbiotic organisms that are well adapted to desiccation/rehydration cycles. Over the last decades, the physiological background of their photosynthetic response-specifically activation of the protective mechanism during desiccation-has been studied at the level of photosystem II of the lichen photobiont by means of several biophysical methods. In our study, the effects of desiccation and low temperatures on chlorophyll fluorescence and spectral reflectance parameters were investigated in Antarctic chlorolichenDermatocarpon polyphyllizum.Lichen thalli were collected from James Ross Island, Antarctica, and following transfer to a laboratory, samples were fully hydrated and exposed to desiccation at temperatures of 18, 10, and 4 degrees C. During the desiccation process, the relative water content (RWC) was measured gravimetrically and photosynthetic parameters related to the fast transient of chlorophyll fluorescence (OJIP) were measured repeatedly. Similarly, the change in spectral reflectance parameters (e.g., NDVI, PRI, G, NPCI) was monitored during thallus dehydration. The dehydration-response curves showed a decrease in a majority of the OJIP-derived parameters (e.g., maximum quantum yield of photosystem II photochemistry:F-V/F-M, and performance index: PI inD. polyphyllizum, which were more apparent at RWCs below 20%. The activation of protective mechanisms in severely dehydrated thalli was documented by increased thermal dissipation (DI0/RC) and its quantum yield (Phi_D-0). Low temperature accelerated these processes. An analysis of the OJIP shape reveals the presence of K-bands (300 mu s), and L-bands (80 mu s), which can be attributed to dehydration-induced stress. Spectral reflectance indices decreased in a majority of cases with an RWC decrease and were positively related to the OJIP-derived parameters:F-V/F-M(capacity of photosynthetic processes in PSII), Phi_E-0(effectiveness of electron transport), and PI_tot (total performance index), which was more apparent in NDVI. A negative relation was found for NPCI. These indices could be used in follow-up ecophysiological photosynthetic studies of lichens that are undergoing rehydration/dehydration cycles.</t>
  </si>
  <si>
    <t>[Bednarikova, Michaela; Vaczi, Peter; Bartak, Milos] Masaryk Univ, Fac Sci, Dept Expt Biol, Kotlarska 2, Brno 61137, Czech Republic; [Lazar, Dusan] Palacky Univ, Fac Sci, Ctr Reg Hana Biotechnol &amp; Agr Res, Dept Biophys, Slechtitelu 27, Olomouc 79371, Czech Republic</t>
  </si>
  <si>
    <t>Masaryk University Brno; Palacky University Olomouc</t>
  </si>
  <si>
    <t>Bednaríková, M (corresponding author), Masaryk Univ, Fac Sci, Dept Expt Biol, Kotlarska 2, Brno 61137, Czech Republic.</t>
  </si>
  <si>
    <t>bednarikova.mm@gmail.com</t>
  </si>
  <si>
    <t>, Peter/AAF-2323-2021; Barták, Miloš/F-4714-2019; LAZÁR, Dušan/A-6790-2011</t>
  </si>
  <si>
    <t>, Peter/0000-0003-1200-8934; LAZÁR, Dušan/0000-0001-8035-4017; Bartak, Milos/0000-0002-3898-3626</t>
  </si>
  <si>
    <t>ECOPOLARIS project [CZ.02.1.01/0.0/0.0/16_013/0001708]; ERDF [CZ.02.1.01/0.0/0.0/16_019/0000827]</t>
  </si>
  <si>
    <t>ECOPOLARIS project; ERDF(European Union (EU))</t>
  </si>
  <si>
    <t>The authors are grateful to CzechPolar-2 infrastructure (LM2015078) that enabled sample collection and handling. The experimental part of work has been done in the EEL laboratory (CzechPolar project infrastructure) and supported by the ECOPOLARIS project (CZ.02.1.01/0.0/0.0/16_013/0001708). DL was supported by ERDF (CZ.02.1.01/0.0/0.0/16_019/0000827).</t>
  </si>
  <si>
    <t>DORDRECHT</t>
  </si>
  <si>
    <t>VAN GODEWIJCKSTRAAT 30, 3311 GZ DORDRECHT, NETHERLANDS</t>
  </si>
  <si>
    <t>0166-8595</t>
  </si>
  <si>
    <t>1573-5079</t>
  </si>
  <si>
    <t>PHOTOSYNTH RES</t>
  </si>
  <si>
    <t>Photosynth. Res.</t>
  </si>
  <si>
    <t>10.1007/s11120-020-00773-4</t>
  </si>
  <si>
    <t>Plant Sciences</t>
  </si>
  <si>
    <t>NL1KB</t>
  </si>
  <si>
    <t>WOS:000552914600001</t>
  </si>
  <si>
    <t>Van Ombergen, A; Rossiter, A; Ngo-Anh, TJ</t>
  </si>
  <si>
    <t>Van Ombergen, Angelique; Rossiter, Andrea; Ngo-Anh, Thu Jennifer</t>
  </si>
  <si>
    <t>'White Mars' - nearly two decades of biomedical research at the Antarctic Concordia station</t>
  </si>
  <si>
    <t>EXPERIMENTAL PHYSIOLOGY</t>
  </si>
  <si>
    <t>antarctica; cardiovascular physiology; hypobaria; hypoxia; immune response; neuroscience; psychology; sleep</t>
  </si>
  <si>
    <t>HYPOXIA; ALTITUDE; 1-YEAR; SLEEP</t>
  </si>
  <si>
    <t>New Findings What is the topic of this review?Biomedical research at the Antarctic Concordia Station.</t>
  </si>
  <si>
    <t>[Van Ombergen, Angelique; Rossiter, Andrea; Ngo-Anh, Thu Jennifer] European Space Agcy, SciSpacE Team, Directorate Human &amp; Robot Explorat, Estec, Noordwijk, Netherlands</t>
  </si>
  <si>
    <t>European Space Agency</t>
  </si>
  <si>
    <t>Van Ombergen, A (corresponding author), Keplerlaan 1, NL-2201 AZ Noordwijk, Netherlands.</t>
  </si>
  <si>
    <t>angelique.van.ombergen@esa.int</t>
  </si>
  <si>
    <t>0958-0670</t>
  </si>
  <si>
    <t>1469-445X</t>
  </si>
  <si>
    <t>EXP PHYSIOL</t>
  </si>
  <si>
    <t>Exp. Physiol.</t>
  </si>
  <si>
    <t>JAN</t>
  </si>
  <si>
    <t>10.1113/EP088352</t>
  </si>
  <si>
    <t>Physiology</t>
  </si>
  <si>
    <t>PM4JI</t>
  </si>
  <si>
    <t>Bronze</t>
  </si>
  <si>
    <t>WOS:000552509400001</t>
  </si>
  <si>
    <t>Fuiman, LA; Williams, TM; Davis, RW</t>
  </si>
  <si>
    <t>Fuiman, Lee A.; Williams, Terrie M.; Davis, Randall W.</t>
  </si>
  <si>
    <t>Homing tactics of Weddell seals in the Antarctic fast-ice environment</t>
  </si>
  <si>
    <t>MARINE BIOLOGY</t>
  </si>
  <si>
    <t>PATH-INTEGRATION; FORAGING DIVES; ISOLATED-HOLE; BEHAVIOR; RESPOND; FIELD; SENSITIVITY; STRANDINGS; INTENSITY; MOVEMENTS</t>
  </si>
  <si>
    <t>Most activities of Weddell seals (Leptonychotes weddellii) occur during under-ice dives that extend hundreds to thousands of meters and require the seals to hold their breath for 15 min or more. In the fast-ice environment of Antarctica, holes in the ice where seals can surface to breathe are scarce. Consequently, seals must return to a previous breathing hole or locate a new one to avoid drowning; how they navigate underwater with such precision is not known. This study individually displaced ten seals, each fitted with an archival data logger, to unfamiliar locations and analyzed the three dimensional paths of voluntary dives to test eight predictions under four hypothesized way-finding tactics: geomagnetic sensitivity, path integration, pilotage, and hydrodynamic trail following. Analyses of dive tracks provided strong evidence that Weddell seals primarily used pilotage via visible, overhead features to return home during individual dives under ice cover. Upon release at an unfamiliar location, long-distance diving began only after a period of short-distance diving. Outbound paths of dives progressively increased in distance from home. Homeward paths were remarkably straight and oriented directly toward home, or they traveled to a frequented route then turned toward home. Seventy-five percent of the frequented routes were directly below known linear disturbances in the snow on the top of the sea ice. There was little evidence that seals used geomagnetic or hydrodynamic cues, nor that homing ability was hindered by low light levels (twilight). These results contribute to a growing body of literature indicating that animals can learn to use artificial, and sometimes ephemeral landmarks to guide their movements. How Weddell seals are able to dive during polar winter, with only starlight and moonlight to illuminate landmarks, remains unknown.</t>
  </si>
  <si>
    <t>[Fuiman, Lee A.] Univ Texas Austin, Marine Sci Inst, Port Aransas, TX 78373 USA; [Williams, Terrie M.] Univ Calif Santa Cruz, Dept Ecol &amp; Evolutionary Biol, Santa Cruz, CA 95064 USA; [Davis, Randall W.] Texas A&amp;M Univ, Dept Marine Biol, Galveston, TX 77553 USA</t>
  </si>
  <si>
    <t>University of Texas System; University of Texas Austin; University of California System; University of California Santa Cruz; Texas A&amp;M University System</t>
  </si>
  <si>
    <t>Fuiman, LA (corresponding author), Univ Texas Austin, Marine Sci Inst, Port Aransas, TX 78373 USA.</t>
  </si>
  <si>
    <t>lee.fuiman@utexas.edu</t>
  </si>
  <si>
    <t>Fuiman, Lee A/L-9514-2017</t>
  </si>
  <si>
    <t>Williams, Terrie/0000-0001-8170-009X</t>
  </si>
  <si>
    <t>US National Science Foundation [PLR-1341441, PLR-134140, PLR-1341469]</t>
  </si>
  <si>
    <t>US National Science Foundation(National Science Foundation (NSF))</t>
  </si>
  <si>
    <t>The authors thank W. Buitendyk, G. Davis, E. Frolli, J. John, T. Kendall, K. McGovern, B. Richter, and M. Walker for assistance in conducting the experiments and processing the data, and the US Antarctic Program for logistical support. The manuscript benefited from comments provided by Dr. Kozue Shiomi and an anonymous referee. This research was supported by grants from the US National Science Foundation (PLR-1341441, PLR-134140, PLR-1341469). Contribution number 1720 of the University of Texas Marine Science Institute.</t>
  </si>
  <si>
    <t>0025-3162</t>
  </si>
  <si>
    <t>1432-1793</t>
  </si>
  <si>
    <t>MAR BIOL</t>
  </si>
  <si>
    <t>Mar. Biol.</t>
  </si>
  <si>
    <t>JUL 26</t>
  </si>
  <si>
    <t>10.1007/s00227-020-03730-w</t>
  </si>
  <si>
    <t>Marine &amp; Freshwater Biology</t>
  </si>
  <si>
    <t>MV8OW</t>
  </si>
  <si>
    <t>WOS:000556611100002</t>
  </si>
  <si>
    <t>Cheng, Y; Li, Q; Grachev, A; Argentini, S; Fernando, HJS; Gentine, P</t>
  </si>
  <si>
    <t>Cheng, Yu; Li, Qi; Grachev, Andrey; Argentini, Stefania; Fernando, Harindra J. S.; Gentine, Pierre</t>
  </si>
  <si>
    <t>Power-Law Scaling of Turbulence Cospectra for the Stably Stratified Atmospheric Boundary Layer</t>
  </si>
  <si>
    <t>BOUNDARY-LAYER METEOROLOGY</t>
  </si>
  <si>
    <t>Eddy covariance; Stable boundary layer; Surface fluxes; Turbulence cospectra</t>
  </si>
  <si>
    <t>FREQUENCY-RESPONSE CORRECTIONS; PASSIVE SCALAR STATISTICS; REYNOLDS-NUMBER; SIMILARITY THEORY; SCHMIDT-NUMBER; LOCAL ISOTROPY; SURFACE-LAYER; WATER-VAPOR; SEA-ICE; DOME C</t>
  </si>
  <si>
    <t>Surface turbulent fluxes provide a key boundary condition for the prediction of weather, hydrology, and atmospheric carbon dioxide. The turbulence cospectrum is assumed to typically follow a -7/3 power-law scaling, which is used for the high-frequency spectral correction of eddy-covariance data. The derivation of this scaling is mostly grounded on dimensional analysis. The dimensional analysis or cospectral budget analyses, however, can lead to alternative cospectral scaling. Here we examine the shape of turbulence cospectra at high Reynolds number and high wavenumbers based on extensive field measurements of wind velocity and temperature in various stably stratified atmospheric conditions. We show that the cospectral scaling deviates from the -7/3 scaling at high wavenumbers in the inertial subrange of the stable atmospheric boundary layer, and appears to follow a -2 power-law scaling. We suggest that -2 power-law scaling is a better alternative for cospectral corrections for eddy-covariance measurements of the stable boundary layer.</t>
  </si>
  <si>
    <t>[Cheng, Yu; Gentine, Pierre] Columbia Univ, Dept Earth &amp; Environm Engn, New York, NY 10027 USA; [Li, Qi] Cornell Univ, Sch Civil &amp; Environm Engn, Ithaca, NY 14853 USA; [Grachev, Andrey] Univ Colorado, Cooperat Inst Res Environm Sci, Dept NOAA Earth Syst Res Lab, Boulder, CO 80309 USA; [Argentini, Stefania] CNR, Inst Atmospher Sci &amp; Climate, Rome, Italy; [Fernando, Harindra J. S.] Univ Notre Dame, Dept Civil &amp; Environm Engn &amp; Earth Sci, Notre Dame, IN 46556 USA</t>
  </si>
  <si>
    <t>Columbia University; Cornell University; University of Colorado System; University of Colorado Boulder; Consiglio Nazionale delle Ricerche (CNR); Istituto di Scienze dell'Atmosfera e del Clima (ISAC-CNR); University of Notre Dame</t>
  </si>
  <si>
    <t>Cheng, Y (corresponding author), Columbia Univ, Dept Earth &amp; Environm Engn, New York, NY 10027 USA.</t>
  </si>
  <si>
    <t>yc2965@columbia.edu</t>
  </si>
  <si>
    <t>Li, Qi/JLM-9816-2023; Gentine, Pierre/C-1495-2013</t>
  </si>
  <si>
    <t>Li, Qi/0000-0003-4435-6220; Cheng, Yu/0000-0003-3817-9328; Gentine, Pierre/0000-0002-0845-8345</t>
  </si>
  <si>
    <t>National Science Foundation (NSF CAREER) [EAR-1552304]; Department of Energy (DOE Early Career) [DE-SC00142013]; Office of Naval Research [N00014-11-1-0709]; PNRA</t>
  </si>
  <si>
    <t>National Science Foundation (NSF CAREER)(National Science Foundation (NSF)NSF - Office of the Director (OD)); Department of Energy (DOE Early Career)(United States Department of Energy (DOE)); Office of Naval Research(Office of Naval Research); PNRA</t>
  </si>
  <si>
    <t>PG would like to acknowledge funding from the National Science Foundation (NSF CAREER, EAR-1552304), and from the Department of Energy (DOE Early Career, DE-SC00142013). The lake data were collected by the Environmental Fluid Mechanics and Hydrology Laboratory of Professor M. Parlange at l'Ecole Polytechnique Federale de Lausanne. We would like to thank Prof. M. Parlange and Prof. Elie Bou-Zeid for sharing Lake EC data. Mountain Terrain Atmospheric Modeling and Observations (MATERHORN) program was funded by the Office of Naval Research (N00014-11-1-0709). Dome C data were acquired in the frame of the projects Mass lost in wind flux (MALOX) and Concordia multi-process atmospheric studies (COMPASS) sponsored by PNRA. Special thanks to P. Grigioni and all the staff of Antarctic Meteorological Observatory of Concordia for providing the radio sounding data used in this study, and to Dr. Igor Petenko of CNR ISAC for running the field experiment at Concordia station.</t>
  </si>
  <si>
    <t>0006-8314</t>
  </si>
  <si>
    <t>1573-1472</t>
  </si>
  <si>
    <t>BOUND-LAY METEOROL</t>
  </si>
  <si>
    <t>Bound.-Layer Meteor.</t>
  </si>
  <si>
    <t>10.1007/s10546-020-00545-6</t>
  </si>
  <si>
    <t>NJ5XW</t>
  </si>
  <si>
    <t>WOS:000552585700002</t>
  </si>
  <si>
    <t>Thamban, M; Rahaman, W; Laluraj, CM</t>
  </si>
  <si>
    <t>Thamban, Meloth; Rahaman, Waliur; Laluraj, C. M.</t>
  </si>
  <si>
    <t>Millennial to quasi-decadal variability in Antarctic climate system as evidenced from high-resolution ice core records</t>
  </si>
  <si>
    <t>CURRENT SCIENCE</t>
  </si>
  <si>
    <t>Antarctica; decadal climate variability; El Nino-Southern Oscillation; ice core; Pacific Decadal Oscillation; Southern Annular Mode</t>
  </si>
  <si>
    <t>SOUTHERN ANNULAR MODE; EAST ANTARCTICA; PART I; SURFACE; ENSO; CIRCULATION; PENINSULA; SIGNAL; SEA; SAM</t>
  </si>
  <si>
    <t>The Antarctic climate system fluctuated through glacial-interglacial and millennial-centennial-decadal timescales in the past, closely coupled with other components of the global climate system. Analysis of ice core records offers critical insights on the millennial, centennial and decadal scale climate processes in Antarctica and its tropical linkages. Recent studies have demonstrated that annually-resolved high-resolution ice core records offer the best possible means to understand the quasi-decadal climate variability during the last millennia, when both natural and anthropogenic forcing influenced the climate system. This study discusses the quasi-decadal Antarctic climate variability in response to the solar forcing as well as the decadal to multidecadal climate modes like the Southern Annular Mode, El Nino-Southern Oscillation and the Pacific Decadal Oscillation, with special emphasis on the Indian ice core studies.</t>
  </si>
  <si>
    <t>[Thamban, Meloth; Rahaman, Waliur; Laluraj, C. M.] Natl Ctr Polar &amp; Ocean Res, Govt India, Minist Earth Sci, Vasco Da Gama 403804, Goa, India</t>
  </si>
  <si>
    <t>Ministry of Earth Sciences (MoES) - India; National Centre for Polar and Ocean Research (NCPOR)</t>
  </si>
  <si>
    <t>Thamban, M (corresponding author), Natl Ctr Polar &amp; Ocean Res, Govt India, Minist Earth Sci, Vasco Da Gama 403804, Goa, India.</t>
  </si>
  <si>
    <t>meloth@ncpor.res.in</t>
  </si>
  <si>
    <t>Rahaman, Waliur/0000-0001-6439-4529</t>
  </si>
  <si>
    <t>INDIAN ACAD SCIENCES</t>
  </si>
  <si>
    <t>BANGALORE</t>
  </si>
  <si>
    <t>C V RAMAN AVENUE, SADASHIVANAGAR, P B #8005, BANGALORE 560 080, INDIA</t>
  </si>
  <si>
    <t>0011-3891</t>
  </si>
  <si>
    <t>CURR SCI INDIA</t>
  </si>
  <si>
    <t>Curr. Sci.</t>
  </si>
  <si>
    <t>JUL 25</t>
  </si>
  <si>
    <t>10.18520/cs/v119/i2/255-264</t>
  </si>
  <si>
    <t>MO5LN</t>
  </si>
  <si>
    <t>WOS:000551567400025</t>
  </si>
  <si>
    <t>Kuempel, CD; Frazier, M; Nash, KL; Jacobsen, NS; Williams, DR; Blanchard, JL; Cottrell, RS; McIntyre, PB; Moran, D; Bouwman, L; Froehlich, HE; Gephart, JA; Metian, M; Többen, J; Halpern, BS</t>
  </si>
  <si>
    <t>Kuempel, Caitlin D.; Frazier, Melanie; Nash, Kirsty L.; Jacobsen, Nis Sand; Williams, David R.; Blanchard, Julia L.; Cottrell, Richard S.; McIntyre, Peter B.; Moran, Daniel; Bouwman, Lex; Froehlich, Halley E.; Gephart, Jessica A.; Metian, Marc; Toebben, Johannes; Halpern, Benjamin S.</t>
  </si>
  <si>
    <t>Integrating Life Cycle and Impact Assessments to Map Food's Cumulative Environmental Footprint</t>
  </si>
  <si>
    <t>ONE EARTH</t>
  </si>
  <si>
    <t>WATER FOOTPRINT; GLOBAL CROPLAND; SUSTAINABILITY; VULNERABILITY; EMISSIONS; SYSTEMS; MODELS; HEALTH</t>
  </si>
  <si>
    <t>Feeding a growing, increasingly affluent population while limiting environmental pressures of food production is a central challenge for society. Understanding the location and magnitude of food production is key to addressing this challenge because pressures vary substantially across food production types. Applying data and models from life cycle assessment with the methodologies for mapping cumulative environmental impacts of human activities (hereafter cumulative impact mapping) provides a powerful approach to spatially map the cumulative environmental pressure of food production in a way that is consistent and comprehensive across food types. However, these methodologies have yet to be combined. By synthesizing life cycle assessment and cumulative impact mapping methodologies, we provide guidance for comprehensively and cumulatively mapping the environmental pressures (e.g., greenhouse gas emissions, spatial occupancy, and freshwater use) associated with food production systems. This spatial approach enables quantification of current and potential future environmental pressures, which is needed for decision makers to create more sustainable food policies and practices.</t>
  </si>
  <si>
    <t>[Kuempel, Caitlin D.] Univ Queensland, Australian Res Council, Ctr Excellence Coral Reef Studies, St Lucia, Qld 4072, Australia; [Kuempel, Caitlin D.] Univ Queensland, Sch Biol Sci, St Lucia, Qld 4072, Australia; [Kuempel, Caitlin D.; Frazier, Melanie; Cottrell, Richard S.; Froehlich, Halley E.; Halpern, Benjamin S.] Univ Calif Santa Barbara, Natl Ctr Ecol Anal &amp; Synth, 735 State St,Suite 300, Santa Barbara, CA 93101 USA; [Nash, Kirsty L.; Blanchard, Julia L.; Cottrell, Richard S.] Univ Tasmania, Ctr Marine Socioecol, 20 Castray Esplanade, Hobart, Tas 7004, Australia; [Nash, Kirsty L.; Blanchard, Julia L.] Univ Tasmania, Inst Marine &amp; Antarctic Studies, Hobart, Tas 7004, Australia; [Jacobsen, Nis Sand] Tech Univ Denmark, Natl Inst Aquat Resources, Kemitorvet 1, DK-2800 Lyngby, Denmark; [Williams, David R.] Univ Leeds, Sch Earth &amp; Environm, Sustainabil Res Inst, Leeds LS2 9JT, W Yorkshire, England; [Williams, David R.; Halpern, Benjamin S.] Univ Calif Santa Barbara, Bren Sch Environm Sci &amp; Management, Santa Barbara, CA 93106 USA; [McIntyre, Peter B.] Cornell Univ, Dept Nat Resources, Ithaca, NY 14853 USA; [Moran, Daniel] Norwegian Univ Sci &amp; Technol, Dept Energy &amp; Proc Technol, Ind Ecol Programme, N-7016 Trondheim, Norway; [Bouwman, Lex] Univ Utrecht, Fac Geosci, Dept Earth Sci, POB 80021, NL-3508 TA Utrecht, Netherlands; [Bouwman, Lex] PBL Netherlands Environm Assessment Agcy, POB 30314, NL-2500 GH The Hague, Netherlands; [Bouwman, Lex] Ocean Univ China, Key Lab Marine Chem Theory &amp; Technol, Minist Educ, Qingdao 266100, Peoples R China; [Froehlich, Halley E.] Univ Calif Santa Barbara, Ecol Evolut &amp; Marine Biol, Santa Barbara, CA 93106 USA; [Froehlich, Halley E.] Univ Calif Santa Barbara, Environm Studies, Santa Barbara, CA 93106 USA; [Gephart, Jessica A.] Amer Univ, Dept Environm Sci, Washington, DC 20016 USA; [Metian, Marc] IAEA, Radioecol Lab, Environm Labs IAEA EL, 4a Quai Antoine Ier, MC-98000 Principality Of Monaco, Monaco; [Toebben, Johannes] Inst Econ Struct Res GWS MbH, D-49080 Osnabruck, Germany; [Toebben, Johannes] Potsdam Inst Climate Impact Res, Leibniz Assoc, Social Metab &amp; Impacts, POB 60 12 03, D-14412 Potsdam, Germany</t>
  </si>
  <si>
    <t>University of Queensland; University of Queensland; National Center for Ecological Analysis &amp; Synthesis; University of California System; University of California Santa Barbara; University of Tasmania; University of Tasmania; Technical University of Denmark; University of Leeds; University of California System; University of California Santa Barbara; Cornell University; Norwegian University of Science &amp; Technology (NTNU); Utrecht University; Ocean University of China; University of California System; University of California Santa Barbara; University of California System; University of California Santa Barbara; American University; Potsdam Institut fur Klimafolgenforschung</t>
  </si>
  <si>
    <t>Kuempel, CD (corresponding author), Univ Queensland, Australian Res Council, Ctr Excellence Coral Reef Studies, St Lucia, Qld 4072, Australia.;Kuempel, CD (corresponding author), Univ Queensland, Sch Biol Sci, St Lucia, Qld 4072, Australia.;Kuempel, CD (corresponding author), Univ Calif Santa Barbara, Natl Ctr Ecol Anal &amp; Synth, 735 State St,Suite 300, Santa Barbara, CA 93101 USA.</t>
  </si>
  <si>
    <t>c.kuempel@uq.edu.au</t>
  </si>
  <si>
    <t>Williams, David/HKN-3732-2023; Gephart, Jessica/HCH-3165-2022; Kuempel, Caitlin D./AAV-8807-2020; Blanchard, Julia L/E-4919-2010; Nash, Kirsty L/B-5456-2015</t>
  </si>
  <si>
    <t>Kuempel, Caitlin D./0000-0003-1609-9706; Nash, Kirsty L/0000-0003-0976-3197; Cottrell, Richard/0000-0002-6499-7503; McIntyre, Peter/0000-0003-1809-7552; Froehlich, Halley/0000-0001-7322-1523; Blanchard, Julia/0000-0003-0532-4824; Moran, Daniel/0000-0002-2310-2275; Metian, Marc/0000-0003-1485-5029; Jacobsen, Nis Sand/0000-0001-8754-4518</t>
  </si>
  <si>
    <t>Zegar Family Foundation [SB180095]; Government of the Principality of Monaco</t>
  </si>
  <si>
    <t>Zegar Family Foundation; Government of the Principality of Monaco</t>
  </si>
  <si>
    <t>The National Center for Ecological Analysis and Synthesis at UC Santa Barbara provided invaluable infrastructural support for this work. The project was the result of a working group entitled Environmental impact and sustainability of global food systems and funded by the Zegar Family Foundation (SB180095). We thank Dr. Joseph Poore for his help in utilizing his LCA database to develop our hypothetical example. On behalf of M.M., the IAEA is grateful to the Government of the Principality of Monaco for the support provided to its Environment Laboratories. The authors declare no competing financial interests.</t>
  </si>
  <si>
    <t>CELL PRESS</t>
  </si>
  <si>
    <t>CAMBRIDGE</t>
  </si>
  <si>
    <t>50 HAMPSHIRE ST, FLOOR 5, CAMBRIDGE, MA 02139 USA</t>
  </si>
  <si>
    <t>2590-3330</t>
  </si>
  <si>
    <t>2590-3322</t>
  </si>
  <si>
    <t>One Earth</t>
  </si>
  <si>
    <t>JUL 24</t>
  </si>
  <si>
    <t>10.1016/j.oneear.2020.06.014</t>
  </si>
  <si>
    <t>Green &amp; Sustainable Science &amp; Technology; Environmental Sciences; Environmental Studies</t>
  </si>
  <si>
    <t>Science &amp; Technology - Other Topics; Environmental Sciences &amp; Ecology</t>
  </si>
  <si>
    <t>RU6OR</t>
  </si>
  <si>
    <t>WOS:000645265800013</t>
  </si>
  <si>
    <t>Lubcker, N; Whiteman, JP; Newsome, SD; Millar, RP; de Bruyn, PJN</t>
  </si>
  <si>
    <t>Lubcker, Nico; Whiteman, John P.; Newsome, Seth D.; Millar, Robert P.; de Bruyn, P. J. Nico</t>
  </si>
  <si>
    <t>Can the carbon and nitrogen isotope values of offspring be used as a proxy for their mother's diet? Using foetal physiology to interpret bulk tissue and amino acid δ15N values</t>
  </si>
  <si>
    <t>CONSERVATION PHYSIOLOGY</t>
  </si>
  <si>
    <t>Amino acid-specific stable isotopes; intrauterine; marine mammals; mother-offspring pairs; nutrition; whiskers</t>
  </si>
  <si>
    <t>SOUTHERN ELEPHANT SEALS; LIONS EUMETOPIAS-JUBATUS; MIROUNGA-LEONINA; STABLE-ISOTOPES; TROPHIC ECOLOGY; GLUCOSE-PRODUCTION; MARINE PREDATOR; GROWTH; FRACTIONATION; METABOLISM</t>
  </si>
  <si>
    <t>The measurement of bulk tissue nitrogen (delta N-15) and carbon isotope values (delta C-13) chronologically along biologically inert tissues sampled from offspring can provide a longitudinal record of their mothers'foraging habits.This study tested the important assumption that mother-offspring stable isotope values are positively and linearly correlated. In addition, any change in the mother-offspring bulk tissues and individual amino acids that occurred during gestation was investigated. Whiskers sampled from southern elephant seal pups (Mirounga leonina) and temporally overlapping whiskers from their mothers were analyzed. This included n = 1895 chronologically subsampled whisker segments for bulk tissue delta N-15 and delta C-13 in total and n = 20 whisker segments for amino acid delta N-15 values, sampled from recently weaned pups (n = 1 7), juvenile southern elephant seals (SES) &lt; 2 years old (n = 23) and adult female SES (n = 1 7), which included nine mother-offspring pairs. In contrast to previous studies, the mother-offspring pairs were not in isotopic equilibrium or linearly correlated during gestation: the Delta N-15 and Delta C-13 mother-offspring offsets increased by 0.8 and 1.2 parts per thousand, respectively, during gestation. The foetal bulk delta N-15 values were 1.7 +/- 0.5 parts per thousand (0.9-2.7 parts per thousand) higher than mothers delta N-15 values before birth, while the foetal delta C-13 increased by similar to 1.7 parts per thousand during gestation and were 1.0 +/- 0.5 parts per thousand (0.0-1.9 parts per thousand) higher than their mothers delta C-13 at the end of pregnancy.The mother-offspring serine and glycine Delta N-15 differed by similar to 4.3 parts per thousand, while the foetal alanine delta N-15 values were 1.4 parts per thousand lower than that of their mothers during the third trimester of pregnancy. The observed mother-offspring delta N-15 differences are likely explained by shuttling of glutamate- glutamine and glycine-serine amongst skeletal muscle, liver, placenta and foetal tissue. Foetal development relies primarily on remobilized endogenous maternal proteinaceous sources. Researchers should consider foetal physiology when using offspring bulk tissue isotope values as biomarkers for the mother's isotopic composition as part of monitoring programmes.</t>
  </si>
  <si>
    <t>[Lubcker, Nico; de Bruyn, P. J. Nico] Univ Pretoria, Mammal Res Inst, Dept Zool &amp; Entomol, Private Bag X20, ZA-0028 Pretoria, South Africa; [Whiteman, John P.] Old Dominion Univ, Dept Biol Sci, 5115 Hampton Blvd, Norfolk, VA 23529 USA; [Whiteman, John P.; Newsome, Seth D.] Univ New Mexico, Dept Biol, Albuquerque, NM 87131 USA; [Millar, Robert P.] Univ Pretoria, Fac Hlth Sci, Ctr Neuroendocrinol, ZA-0001 Pretoria, South Africa; [Millar, Robert P.] Univ Pretoria, Fac Hlth Sci, Dept Immunol, ZA-0001 Pretoria, South Africa; [Millar, Robert P.] Univ Cape Town, Neurosci Inst, Dept Integrat Biomed Sci, Anzio Rd, ZA-7925 Observatory, South Africa; [Millar, Robert P.] Univ Cape Town, Inst Infect Dis &amp; Mol Med, Anzio Rd, ZA-7925 Observatory, South Africa</t>
  </si>
  <si>
    <t>University of Pretoria; Old Dominion University; University of New Mexico; University of Pretoria; University of Pretoria; University of Cape Town; University of Cape Town</t>
  </si>
  <si>
    <t>Lubcker, N (corresponding author), Univ Pretoria, Mammal Res Inst, Dept Zool &amp; Entomol, Private Bag X20, ZA-0028 Pretoria, South Africa.</t>
  </si>
  <si>
    <t>nlubcker@zoology.up.ac.za</t>
  </si>
  <si>
    <t>Lubcker, Nico/I-7622-2019; de Bruyn, P. J. Nico/E-4176-2010</t>
  </si>
  <si>
    <t>Lubcker, Nico/0000-0001-7141-6669; de Bruyn, P. J. Nico/0000-0002-9114-9569</t>
  </si>
  <si>
    <t>Society for Marine Mammalogy (SMM) Small Grant in Aid of Research; National Research Foundation (NRF)</t>
  </si>
  <si>
    <t>This work was supported by the Society for Marine Mammalogy (SMM) Small Grant in Aid of Research, the National Research Foundation (NRF), with the logistic support of the Department of Environmental Affairs under the South African National Antarctic Program (SANAP). The conclusions drawn are attributed to the authors and not necessarily to the funders.</t>
  </si>
  <si>
    <t>2051-1434</t>
  </si>
  <si>
    <t>CONSERV PHYSIOL</t>
  </si>
  <si>
    <t>Conserv. Physiol.</t>
  </si>
  <si>
    <t>coaa060</t>
  </si>
  <si>
    <t>10.1093/conphys/coaa060</t>
  </si>
  <si>
    <t>Biodiversity Conservation; Ecology; Environmental Sciences; Physiology</t>
  </si>
  <si>
    <t>Biodiversity &amp; Conservation; Environmental Sciences &amp; Ecology; Physiology</t>
  </si>
  <si>
    <t>NE7BI</t>
  </si>
  <si>
    <t>Green Published, gold</t>
  </si>
  <si>
    <t>WOS:000562755700001</t>
  </si>
  <si>
    <t>Linse, K; Sigwart, JD; Chen, C; Krylova, EM</t>
  </si>
  <si>
    <t>Linse, Katrin; Sigwart, Julia D.; Chen, Chong; Krylova, Elena M.</t>
  </si>
  <si>
    <t>Ecophysiology and ecological limits of symbiotrophic vesicomyid bivalves (Pliocardiinae) in the Southern Ocean</t>
  </si>
  <si>
    <t>POLAR BIOLOGY</t>
  </si>
  <si>
    <t>Caldera; Calyptogena; Deep sea; Hydrothermal vent; Oxygen metabolism; Vesicomyidae</t>
  </si>
  <si>
    <t>HYDROTHERMAL VENT CLAM; KELLIELLIDAE BIVALVIA; WEDDELL SEA; COLD SEEPS; GENUS; ATLANTIC; MOLLUSCA; OXYGEN; FAMILY; ARC</t>
  </si>
  <si>
    <t>Geothermal energy provides an important resource in Antarctic marine ecosystems, exemplified by the recent discovery of large-sized chemosymbiotic vesicomyid bivalves (subfamily Pliocardiinae) in the Southern Ocean. These clams, which we identified asArchivesicas.l.puertodeseadoi,have been reported as dead shells in areas previously covered by Larsen A and B ice shelves (eastern Antarctic Peninsula) and as live animals from active hydrothermal sites in the Kemp Caldera (South Sandwich Arc) at depths of 852-1487 m. Before,A.puertodeseadoiwas known only from its type locality in the Argentine Sea, so we considerably extend the range of the species. Observations taken by remotely operated vehicle (ROV) footage show that the clams can live buried in sediment, or epilithically on the surface of rocks in diffuse geothermal flow. Experimental respirometry was conducted at surface pressure on individual bivalves acclimated to either their habitat temperature (4 degrees C) or elevated temperature (10 degrees C). The range of standard metabolic rates, from 3.13 to 6.59 (MO2, mu mol O(2)h(-1)g(-1)dry tissue mass), is similar to rates measured ex situ for other species in this clade, and rates did not differ significantly between temperature groups. Taken together, these data indicate a range of ecophysiological flexibility forA. puertodeseadoi. Although adapted to a specialist mode of life, this bivalve exploits a relatively broad range of habitats in the Southern Ocean: within sulphidic sediments, epilithically in the presence of diffuse sulphidic flow, or in deep methane-enriched seawater trapped under ice.</t>
  </si>
  <si>
    <t>[Linse, Katrin] British Antarctic Survey, Madingley Rd, Cambridge CB3 0ET, England; [Sigwart, Julia D.] Queens Univ Belfast, Marine Lab, 12-13 The Strand, Portaferry BT22 1PF, North Ireland; [Sigwart, Julia D.] Senckenberg Res Inst, Marine Zool, Senckenberganlage 25, D-60325 Frankfurt, Germany; [Chen, Chong] Japan Agcy Marine Earth Sci &amp; Technol JAMSTEC, X STAR, 2-15 Natsushima Cho, Yokosuka, Kanagawa 2370061, Japan; [Krylova, Elena M.] Russian Acad Sci, Shirshov Inst Oceanol, 36 Nahimovskiy Prospekt, Moscow 117997, Russia</t>
  </si>
  <si>
    <t>UK Research &amp; Innovation (UKRI); Natural Environment Research Council (NERC); NERC British Antarctic Survey; Queens University Belfast; Senckenberg Gesellschaft fur Naturforschung (SGN); Japan Agency for Marine-Earth Science &amp; Technology (JAMSTEC); Russian Academy of Sciences; Shirshov Institute of Oceanology</t>
  </si>
  <si>
    <t>Sigwart, JD (corresponding author), Queens Univ Belfast, Marine Lab, 12-13 The Strand, Portaferry BT22 1PF, North Ireland.;Sigwart, JD (corresponding author), Senckenberg Res Inst, Marine Zool, Senckenberganlage 25, D-60325 Frankfurt, Germany.</t>
  </si>
  <si>
    <t>j.sigwart@qub.ac.uk</t>
  </si>
  <si>
    <t>Sigwart, Julia/J-2928-2014; Chen, Chong/F-7489-2019</t>
  </si>
  <si>
    <t>Sigwart, Julia/0000-0002-3005-6246; Linse, Katrin/0000-0003-3477-3047; Chen, Chong/0000-0002-5035-4021</t>
  </si>
  <si>
    <t>NERC Consortium Grant [NE/DO1249X/1]; Census of Marine Life; Sloan Foundation; BMBF; MARUM; State assignment of Minobrnauki, Russia [0149-2019-0009]; NERC [bas0100036] Funding Source: UKRI</t>
  </si>
  <si>
    <t>NERC Consortium Grant; Census of Marine Life; Sloan Foundation(Alfred P. Sloan Foundation); BMBF(Federal Ministry of Education &amp; Research (BMBF)); MARUM; State assignment of Minobrnauki, Russia; NERC(UK Research &amp; Innovation (UKRI)Natural Environment Research Council (NERC))</t>
  </si>
  <si>
    <t>The ChEsSo research programme was funded by a NERC Consortium Grant (NE/DO1249X/1) and supported by the Census of Marine Life and the Sloan Foundation all of which are gratefully acknowledged. PS119 was funded by BMBF and MARUM. The funders had no role in the study design, data collection and analysis, decision to publish, or preparation of the manuscript. E. Krylova was supported by State assignment of Minobrnauki, Russia, Theme No. 0149-2019-0009.</t>
  </si>
  <si>
    <t>0722-4060</t>
  </si>
  <si>
    <t>1432-2056</t>
  </si>
  <si>
    <t>POLAR BIOL</t>
  </si>
  <si>
    <t>Polar Biol.</t>
  </si>
  <si>
    <t>10.1007/s00300-020-02717-z</t>
  </si>
  <si>
    <t>NK5PQ</t>
  </si>
  <si>
    <t>Green Accepted, Green Published, hybrid</t>
  </si>
  <si>
    <t>WOS:000552161000001</t>
  </si>
  <si>
    <t>Fuentes-León, F; de Oliveira, AP; Quintero-Ruiz, N; Munford, V; Kajitani, GS; Brum, AC; Schuch, AP; Colepicolo, P; Sánchez-Lamar, A; Menck, CFM</t>
  </si>
  <si>
    <t>Fuentes-Leon, Fabiana; de Oliveira, Andressa Peres; Quintero-Ruiz, Nathalia; Munford, Veridiana; Kajitani, Gustavo Satoru; Brum, Antonio Coimbra; Schuch, Andre Passaglia; Colepicolo, Pio; Sanchez-Lamar, Angel; Martins Menck, Carlos Frederico</t>
  </si>
  <si>
    <t>DNA Damage Induced by Late Spring Sunlight in Antarctica</t>
  </si>
  <si>
    <t>PHOTOCHEMISTRY AND PHOTOBIOLOGY</t>
  </si>
  <si>
    <t>OZONE DEPLETION; UV-RADIATION; SOLAR</t>
  </si>
  <si>
    <t>Sunlight ultraviolet (UV) radiation constitutes an important environmental genotoxic agent that organisms are exposed to, as it can damage DNA directly, generating pyrimidine dimers, and indirectly, generating oxidized bases and single-strand breaks (SSBs). These lesions can lead to mutations, triggering skin and eye disorders, including carcinogenesis and photoaging. Stratospheric ozone layer depletion, particularly in the Antarctic continent, predicts an uncertain scenario of UV incidence on the Earth in the next decades. This research evaluates the DNA damage caused by environmental exposure to late spring sunlight in the Antarctic Peninsula, where the ozone layer hole is more pronounced. These experiments were performed at the Brazilian Comandante Ferraz Antarctic Station, at King's George Island, South Shetlands Islands. For comparison, tropical regions were also analyzed. Samples of plasmid DNA were exposed to sunlight. Cyclobutane pyrimidine dimers (CPDs), oxidized base damage and SSBs were detected using specific enzymes. In addition, an immunological approach was used to detect CPDs. The results reveal high levels of DNA damage induced by exposure under the Antarctic sunlight, inversely correlated with ozone layer thickness, confirming the high impact of ozone layer depletion on the DNA damaging action of sunlight in Antarctica.</t>
  </si>
  <si>
    <t>[Fuentes-Leon, Fabiana; Sanchez-Lamar, Angel] Univ La Habana, Fac Biol, Dept Biol Vegetal, Havana, Cuba; [Fuentes-Leon, Fabiana; de Oliveira, Andressa Peres; Quintero-Ruiz, Nathalia; Munford, Veridiana; Kajitani, Gustavo Satoru; Martins Menck, Carlos Frederico] Univ Sao Paulo, Inst Ciencias Biomed, Dept Microbiol, Sao Paulo, SP, Brazil; [Brum, Antonio Coimbra] Univ Vale Rio dos Sinos, Sao Leopoldo, RS, Brazil; [Schuch, Andre Passaglia] Univ Fed Santa Maria, Ctr Ciencias Nat &amp; Exatas, Dept Bioquim &amp; Biol Mol, Santa Maria, RS, Brazil; [Colepicolo, Pio] Univ Sao Paulo, Inst Quim, Dept Bioquim, Sao Paulo, SP, Brazil</t>
  </si>
  <si>
    <t>Universidad de la Habana; Universidade de Sao Paulo; Universidade do Vale do Rio dos Sinos (Unisinos); Universidade Federal de Santa Maria (UFSM); Universidade de Sao Paulo</t>
  </si>
  <si>
    <t>Fuentes-León, F (corresponding author), Univ La Habana, Fac Biol, Dept Biol Vegetal, Havana, Cuba.;Fuentes-León, F; Menck, CFM (corresponding author), Univ Sao Paulo, Inst Ciencias Biomed, Dept Microbiol, Sao Paulo, SP, Brazil.</t>
  </si>
  <si>
    <t>fabiana@fbio.uh.cu; cfmmenck@usp.br</t>
  </si>
  <si>
    <t>Schuch, André/AAY-8946-2020; Menck, Carlos/G-6321-2011; Munford, Veridiana/N-6749-2014</t>
  </si>
  <si>
    <t>Menck, Carlos/0000-0003-1941-0694; Munford, Veridiana/0000-0003-0329-4780; Kajitani, Gustavo/0000-0002-9988-1498; Quintero Ruiz, Nathalia/0000-0002-7966-8139</t>
  </si>
  <si>
    <t>Netherlands Organization for Scientific Research (NWO, The Netherlands) [2019/19435-3]; Conselho Nacional de Desenvolvimento Cientifico e Tecnologico (CNPq, Brasilia, Brazil) [308868/2018-8]; Coordenacao de Aperfeicoamento de Pessoal de Nivel Superior (CAPES, Brasilia, Brazil) [001]; CAPES (Brazil)/MES (Cuba) collaborative project [2741/2014]; Proantar Project [407588/20132]; Red de Macrouniversidades Publicas de America Latina y el Caribe (2017); International Union of Biochemistry and Molecular Biology; Sao Paulo Research Foundation (FAPESP, SP, Brazil); Colciencias (Colombia); Fundacao de Amparo a Pesquisa do Estado de Sao Paulo (FAPESP) [19/19435-3] Funding Source: FAPESP</t>
  </si>
  <si>
    <t>Netherlands Organization for Scientific Research (NWO, The Netherlands); Conselho Nacional de Desenvolvimento Cientifico e Tecnologico (CNPq, Brasilia, Brazil)(Conselho Nacional de Desenvolvimento Cientifico e Tecnologico (CNPQ)); Coordenacao de Aperfeicoamento de Pessoal de Nivel Superior (CAPES, Brasilia, Brazil)(Coordenacao de Aperfeicoamento de Pessoal de Nivel Superior (CAPES)); CAPES (Brazil)/MES (Cuba) collaborative project; Proantar Project; Red de Macrouniversidades Publicas de America Latina y el Caribe (2017); International Union of Biochemistry and Molecular Biology; Sao Paulo Research Foundation (FAPESP, SP, Brazil)(Fundacao de Amparo a Pesquisa do Estado de Sao Paulo (FAPESP)); Colciencias (Colombia)(Departamento Administrativo de Ciencia, Tecnologia e Innovacion Colciencias); Fundacao de Amparo a Pesquisa do Estado de Sao Paulo (FAPESP)(Fundacao de Amparo a Pesquisa do Estado de Sao Paulo (FAPESP))</t>
  </si>
  <si>
    <t>The authors want to thank the strong support from the Mariners of the Orion Base Group (2017-2018) at the Comandante Ferraz Antarctic Station. This work was supported under the International Collaboration Research Funding from Sao Paulo Research Foundation (FAPESP, SP, Brazil) and The Netherlands Organization for Scientific Research (NWO, The Netherlands, Grant #2019/19435-3). This work was also supported by Conselho Nacional de Desenvolvimento Cientifico e Tecnologico (CNPq, Brasilia, Brazil, Grant #308868/2018-8), Coordenacao de Aperfeicoamento de Pessoal de Nivel Superior (CAPES, Brasilia, Brazil, Funding Code 001), CAPES (Brazil)/MES (Cuba) collaborative project (Grant #2741/2014), Proantar Project 407588/20132, Red de Macrouniversidades Publicas de America Latina y el Caribe (2017), International Union of Biochemistry and Molecular Biology (for a Wood-Whelan Research Fellowship) and Colciencias (Colombia).</t>
  </si>
  <si>
    <t>0031-8655</t>
  </si>
  <si>
    <t>1751-1097</t>
  </si>
  <si>
    <t>PHOTOCHEM PHOTOBIOL</t>
  </si>
  <si>
    <t>Photochem. Photobiol.</t>
  </si>
  <si>
    <t>NOV</t>
  </si>
  <si>
    <t>10.1111/php.13307</t>
  </si>
  <si>
    <t>Biochemistry &amp; Molecular Biology; Biophysics</t>
  </si>
  <si>
    <t>OX9WR</t>
  </si>
  <si>
    <t>WOS:000551562400001</t>
  </si>
  <si>
    <t>Leihy, RI; Coetzee, BWT; Morgan, F; Raymond, B; Shaw, JD; Terauds, A; Bastmeijer, K; Chown, SL</t>
  </si>
  <si>
    <t>Leihy, Rachel I.; Coetzee, Bernard W. T.; Morgan, Fraser; Raymond, Ben; Shaw, Justine D.; Terauds, Aleks; Bastmeijer, Kees; Chown, Steven L.</t>
  </si>
  <si>
    <t>Antarctica's wilderness fails to capture continent's biodiversity</t>
  </si>
  <si>
    <t>PENINSULA; POPULATIONS; PROTECTION; MANAGEMENT; EXPANSION</t>
  </si>
  <si>
    <t>Recent assessments of Earth's dwindling wilderness have emphasized that Antarctica is a crucial wilderness in need of protection(1,2). Yet human impacts on the continent are widespread(3-5), the extent of its wilderness unquantified(2) and the importance thereof for biodiversity conservation unknown. Here we assemble a comprehensive record of human activity (approximately 2.7 million records, spanning 200 years) and use it to quantify the extent of Antarctica's wilderness and its representation of biodiversity. We show that 99.6% of the continent's area can still be considered wilderness, but this area captures few biodiversity features. Pristine areas, free from human interference, cover a much smaller area (less than 32% of Antarctica) and are declining as human activity escalates(6). Urgent expansion of Antarctica's network of specially protected areas(7) can both reverse this trend and secure the continent's biodiversity(8-10).</t>
  </si>
  <si>
    <t>[Leihy, Rachel I.; Chown, Steven L.] Monash Univ, Sch Biol Sci, Melbourne, Vic, Australia; [Coetzee, Bernard W. T.] Univ Witwatersrand, Global Change Inst, Johannesburg, South Africa; [Coetzee, Bernard W. T.] South African Natl Parks, Org Trop Studies, Sci Serv, Skukuza, South Africa; [Morgan, Fraser] Manaaki Whenua Landcare Res, Auckland, New Zealand; [Morgan, Fraser] Univ Auckland, Te Punaha Matatini, Auckland, New Zealand; [Raymond, Ben; Terauds, Aleks] Dept Agr Water &amp; Environm, Australian Antarctic Div, Kingston, Tas, Australia; [Raymond, Ben] Univ Tasmania, Inst Marine &amp; Antarctic Studies, Hobart, Tas, Australia; [Shaw, Justine D.] Univ Queensland, Sch Biol Sci, Brisbane, Qld, Australia; [Bastmeijer, Kees] Tilburg Univ, Tilburg Law Sch, Tilburg, Netherlands</t>
  </si>
  <si>
    <t>Melbourne Genomics Health Alliance; Monash University; University of Witwatersrand; Landcare Research - New Zealand; University of Auckland; Australian Antarctic Division; University of Tasmania; University of Queensland; Tilburg University</t>
  </si>
  <si>
    <t>Chown, SL (corresponding author), Monash Univ, Sch Biol Sci, Melbourne, Vic, Australia.</t>
  </si>
  <si>
    <t>steven.chown@monash.edu</t>
  </si>
  <si>
    <t>Terauds, Aleks/A-4991-2010; Bastmeijer, Kees/ABG-1133-2021; Coetzee, Bernard WT/AAR-8390-2021; Chown, Steven/ABD-7646-2021; Chown, Steven/H-3347-2011</t>
  </si>
  <si>
    <t>Bastmeijer, Kees/0000-0002-3652-8160; Coetzee, Bernard WT/0000-0002-9913-6295; Leihy, Rachel/0000-0001-9672-625X; Morgan, Fraser/0000-0002-7964-3361; Chown, Steven/0000-0001-6069-5105</t>
  </si>
  <si>
    <t>Australian Antarctic Science (AAS) [4482]; Sir James McNeill Foundation Postgraduate Research Scholarship; New Zealand Ministry of Business, Innovation and Employment grant [CO9X1413]; AAS [4296]</t>
  </si>
  <si>
    <t>Australian Antarctic Science (AAS); Sir James McNeill Foundation Postgraduate Research Scholarship; New Zealand Ministry of Business, Innovation and Employment grant(New Zealand Ministry of Business, Innovation and Employment (MBIE)); AAS</t>
  </si>
  <si>
    <t>We thank K. Close, G. A. Duffy, R. Harvey, K. A. Hughes, T. Robertson and D. Smith for their assistance in identifying activity data and M. A. McGeoch, H. P. Baird, J. R. Lee, L. Chapman and A. Clarke for reading a previous version of this manuscript. This research was supported by Australian Antarctic Science (AAS) grant 4482 and a Sir James McNeill Foundation Postgraduate Research Scholarship to R.I.L. F.M. was supported by a New Zealand Ministry of Business, Innovation and Employment grant (CO9X1413). A.T. was supported by AAS grant 4296.</t>
  </si>
  <si>
    <t>JUL 23</t>
  </si>
  <si>
    <t>10.1038/s41586-020-2506-3</t>
  </si>
  <si>
    <t>QP5AC</t>
  </si>
  <si>
    <t>WOS:000623847300001</t>
  </si>
  <si>
    <t>Thatje, S; Smith, KE; McClintock, JB; Aronson, RB</t>
  </si>
  <si>
    <t>Thatje, Sven; Smith, Kathryn E.; McClintock, James B.; Aronson, Richard B.</t>
  </si>
  <si>
    <t>From deep to shallow seas: Antarctic king crab on the move</t>
  </si>
  <si>
    <t>ECOLOGY</t>
  </si>
  <si>
    <t>Editorial Material</t>
  </si>
  <si>
    <t>benthos; cold adaptation; Crustacea; food web; Lithodidae; predator; reproduction; Southern Ocean; temperature; Western Antarctic Peninsula</t>
  </si>
  <si>
    <t>CONTINENTAL-SLOPE; PARALOMIS-BIRSTEINI</t>
  </si>
  <si>
    <t>[Thatje, Sven] Univ Southampton, Natl Oceanog Ctr Southampton, Ocean &amp; Earth Sci, Southampton SO14 3ZH, England; [Smith, Kathryn E.] Marine Biol Assoc UK, Lab, Citadel Hill, Plymouth PL1 2PB, England; [McClintock, James B.] Univ Alabama Birmingham, Dept Biol, Birmingham, AL 35294 USA; [Aronson, Richard B.] Florida Inst Technol, Dept Ocean Engn &amp; Marine Sci, 150 West Univ Blvd, Melbourne, FL 32901 USA</t>
  </si>
  <si>
    <t>University of Southampton; NERC National Oceanography Centre; Marine Biological Association United Kingdom; University of Alabama System; University of Alabama Birmingham; Florida Institute of Technology</t>
  </si>
  <si>
    <t>Thatje, S (corresponding author), Univ Southampton, Natl Oceanog Ctr Southampton, Ocean &amp; Earth Sci, Southampton SO14 3ZH, England.</t>
  </si>
  <si>
    <t>sthatje@icloud.com</t>
  </si>
  <si>
    <t>Smith, kathryn/KBC-9376-2024; Smith, Katie/G-5257-2014</t>
  </si>
  <si>
    <t>Smith, Katie/0000-0002-7240-1490</t>
  </si>
  <si>
    <t>National Science Foundation [ANT-0838846, ANT-1141877, ANT-0838844, ANT-1141896]</t>
  </si>
  <si>
    <t>National Science Foundation(National Science Foundation (NSF))</t>
  </si>
  <si>
    <t>We would like to thank John Pastor and Martin Thiel for constructively commenting on the manuscript. This research was supported by National Science Foundation grants ANT-0838846 and ANT-1141877 to RBA and ANT-0838844 and ANT-1141896 to JBM. This is contribution 320 from the Institute for Global Ecology at the Florida Institute of Technology.</t>
  </si>
  <si>
    <t>0012-9658</t>
  </si>
  <si>
    <t>1939-9170</t>
  </si>
  <si>
    <t>e03125</t>
  </si>
  <si>
    <t>10.1002/ecy.3125</t>
  </si>
  <si>
    <t>OP9CN</t>
  </si>
  <si>
    <t>WOS:000551292600001</t>
  </si>
  <si>
    <t>Marsh, NB; Lacelle, D; Faucher, B; Cotroneo, S; Jasperse, L; Clark, ID; Andersen, DT</t>
  </si>
  <si>
    <t>Marsh, Nicole B.; Lacelle, Denis; Faucher, Benoit; Cotroneo, Sarina; Jasperse, Liam; Clark, Ian D.; Andersen, Dale T.</t>
  </si>
  <si>
    <t>Sources of solutes and carbon cycling in perennially ice-covered Lake Untersee, Antarctica</t>
  </si>
  <si>
    <t>DRONNING MAUD LAND; DISSOLVED INORGANIC CARBON; MCMURDO DRY VALLEYS; ORGANIC-CARBON; ISOTOPIC COMPOSITION; ATMOSPHERIC CO2; TAYLOR VALLEY; STABLE CARBON; DOME-C; BIOGEOCHEMISTRY</t>
  </si>
  <si>
    <t>Perennially ice-covered lakes that host benthic microbial ecosystems are present in many regions of Antarctica. Lake Untersee is an ultra-oligotrophic lake that is substantially different from any other lakes on the continent as it does not develop a seasonal moat and therefore shares similarities to sub-glacial lakes where they are sealed to the atmosphere. Here, we determine the source of major solutes and carbon to Lake Untersee, evaluate the carbon cycling and assess the metabolic functioning of microbial mats using an isotope geochemistry approach. The findings suggest that the glacial meltwater recharging the closed-basin and well-sealed Lake Untersee largely determines the major solute chemistry of the oxic water column with plagioclase and alumino-silicate weathering contributing &lt; 5% of the Ca2+-Na+ solutes to the lake. The TIC concentration in the lake is very low and is sourced from melting of glacial ice and direct release of occluded CO2 gases into the water column. The comparison of delta C-13(TIC) of the oxic lake waters with the delta C-13 in the top microbial mat layer show no fractionation due to non-discriminating photosynthetic fixation of HCO3- in the high pH and carbon-starved water. The C-14 results indicate that phototrophs are also fixing respired CO2 from heterotrophic metabolism of the underlying microbial mats layers. The findings provide insights into the development of collaboration in carbon partitioning within the microbial mats to support their growth in a carbon-starved ecosystem.</t>
  </si>
  <si>
    <t>[Marsh, Nicole B.; Cotroneo, Sarina; Jasperse, Liam; Clark, Ian D.] Univ Ottawa, Dept Earth &amp; Environm Sci, Ottawa, ON, Canada; [Lacelle, Denis; Faucher, Benoit] Univ Ottawa, Dept Geog Environm &amp; Geomat, Ottawa, ON, Canada; [Andersen, Dale T.] SETI Inst, Carl Sagan Ctr, Mountain View, CA USA</t>
  </si>
  <si>
    <t>University of Ottawa; University of Ottawa</t>
  </si>
  <si>
    <t>Lacelle, D (corresponding author), Univ Ottawa, Dept Geog Environm &amp; Geomat, Ottawa, ON, Canada.</t>
  </si>
  <si>
    <t>dlacelle@uottawa.ca</t>
  </si>
  <si>
    <t>Faucher, Benoit/0000-0002-3954-8386; Lacelle, Denis/0000-0002-6691-8717</t>
  </si>
  <si>
    <t>TAWANI Foundation; Trottier Family Foundation; Natural Sciences and Engineering Research Council of Canada (NSERC); Arctic and Antarctic Research Institute/Russian Antarctic Expedition</t>
  </si>
  <si>
    <t>TAWANI Foundation; Trottier Family Foundation; Natural Sciences and Engineering Research Council of Canada (NSERC)(Natural Sciences and Engineering Research Council of Canada (NSERC)); Arctic and Antarctic Research Institute/Russian Antarctic Expedition</t>
  </si>
  <si>
    <t>This work was supported by the TAWANI Foundation, the Trottier Family Foundation, the Natural Sciences and Engineering Research Council of Canada (NSERC) Discovery Grant, and the Arctic and Antarctic Research Institute/Russian Antarctic Expedition. Logistical support was provided by the Antarctic Logistics Centre International, Cape Town, South Africa. We are grateful to Colonel (IL) J. N. Pritzker, IL ARNG (retired), Lorne Trottier, and fellow field team members for their support during the expedition. We thank the two reviewers for their constructive comments.</t>
  </si>
  <si>
    <t>10.1038/s41598-020-69116-6</t>
  </si>
  <si>
    <t>MV9VW</t>
  </si>
  <si>
    <t>WOS:000556697300009</t>
  </si>
  <si>
    <t>Greaves, BL; Davidson, AT; Fraser, AD; McKinlay, JP; Martin, A; McMinn, A; Wright, SW</t>
  </si>
  <si>
    <t>Greaves, Bruce L.; Davidson, Andrew T.; Fraser, Alexander D.; McKinlay, John P.; Martin, Andrew; McMinn, Andrew; Wright, Simon W.</t>
  </si>
  <si>
    <t>The Southern Annular Mode (SAM) influences phytoplankton communities in the seasonal ice zone of the Southern Ocean</t>
  </si>
  <si>
    <t>BIOGEOSCIENCES</t>
  </si>
  <si>
    <t>ANTARCTIC SEA-ICE; MARINE-PHYTOPLANKTON; PRIMARY PRODUCTIVITY; DIATOM ASSEMBLAGES; CLIMATE-CHANGE; VARIABILITY; ECOSYSTEMS; HEMISPHERE; TRENDS; EXPORT</t>
  </si>
  <si>
    <t>Ozone depletion and climate change are causing the Southern Annular Mode (SAM) to become increasingly positive, driving stronger winds southward in the Southern Ocean (SO), with likely effects on phytoplankton habitat due to possible changes in ocean mixing, nutrient upwelling, and sea ice characteristics. This study examined the effect of the SAM and 12 other environmental variables on the abundance of siliceous and calcareous phytoplankton in the seasonal ice zone (SIZ) of the SO. A total of 52 surface-water samples were collected during repeat resupply voyages between Hobart, Australia, and Dumont d'Urville, Antarctica, centred around longitude 142 degrees E, over 11 consecutive austral spring-summer seasons (2002-2012), and spanning 131 d in the spring-summer from 20 October to 28 February. A total of 22 taxa groups, comprised of individual species, groups of species, genera, or higher taxonomic groups, were analysed using CAP analysis (constrained analysis of principal coordinates), cluster analysis, and correlation. Overall, satellite-derived estimates of total chlorophyll and measured depletion of macronutrients both indicated a more positive SAM was associated with greater productivity in the SIZ. The greatest effect of the SAM on phytoplankton communities was the average value of the SAM across 57 d in the previous austral autumn centred around 11 March, which explained 13.3 % of the variance in community composition in the following spring-summer. This autumn SAM index was significantly correlated pair-wise (p &lt; 0.05) with the relative abundance of 12 of the 22 taxa groups resolved. A more positive SAM favoured increases in the relative abundance of large Chaetoceros spp. that predominated later in the spring-summer and reductions in small diatom taxa and siliceous and calcareous flagellates that predominated earlier in the spring-summer. Individual species belonging to the abundant Fragilariopsis genera responded differently to the SAM, indicating the importance of species-level observation in detecting SAM-induced changes in phytoplankton communities. The day through the spring-summer on which a sample was collected explained a significant and larger proportion (15.4 %) of the variance in the phytoplankton community composition than the SAM, yet this covariate was a proxy for such environmental factors as ice cover and sea surface temperature, factors that are regarded as drivers of the extreme seasonal variability in phytoplankton communities in Antarctic waters. The impacts of SAM on phytoplankton, which are the pasture of the SO and principal energy source for Antarctic life, would have ramifications for both carbon export and food availability for higher trophic levels in the SIZ of the SO.</t>
  </si>
  <si>
    <t>[Greaves, Bruce L.; Fraser, Alexander D.; Martin, Andrew; McMinn, Andrew; Wright, Simon W.] Univ Tasmania, Inst Marine &amp; Antarctic Studies, Private Bag 129, Hobart, Tas 7001, Australia; [Davidson, Andrew T.; McKinlay, John P.; Wright, Simon W.] Australian Antarctic Div, Dept Environm &amp; Energy, 203 Channel Highway, Kingston, Tas 7050, Australia; [Davidson, Andrew T.; Fraser, Alexander D.; Wright, Simon W.] Univ Tasmania, Antarctic Climate &amp; Ecosyst Cooperat Res Ctr ACE, Private Bag 80, Hobart, Tas 7001, Australia</t>
  </si>
  <si>
    <t>University of Tasmania; Australian Antarctic Division; University of Tasmania; Antarctic Climate &amp; Ecosystems Cooperative Research Centre (ACE CRC)</t>
  </si>
  <si>
    <t>Greaves, BL (corresponding author), Univ Tasmania, Inst Marine &amp; Antarctic Studies, Private Bag 129, Hobart, Tas 7001, Australia.</t>
  </si>
  <si>
    <t>bruce.on.aria@gmail.com</t>
  </si>
  <si>
    <t>Fraser, Alexander/AFO-7186-2022; McMinn, Andrew/A-9910-2008</t>
  </si>
  <si>
    <t>Fraser, Alexander/0000-0003-1924-0015; McKinlay, John/0000-0003-4858-2604; McMinn, Andrew/0000-0002-2133-3854</t>
  </si>
  <si>
    <t>University of Tasmania (Institute of Marine and Antarctic Studies); Australian Government's Cooperative Research Centre program through the Antarctic Climate and Ecosystems CRC; Australian Antarctic Division [40, 4107]; Australian Research Council's Special Research Initiative for Antarctic Gateway Partnership [SR140300001]</t>
  </si>
  <si>
    <t>University of Tasmania (Institute of Marine and Antarctic Studies); Australian Government's Cooperative Research Centre program through the Antarctic Climate and Ecosystems CRC(Australian GovernmentDepartment of Industry, Innovation and ScienceCooperative Research Centres (CRC) Programme); Australian Antarctic Division; Australian Research Council's Special Research Initiative for Antarctic Gateway Partnership(Australian Research Council)</t>
  </si>
  <si>
    <t>This research has been supported by the University of Tasmania (Institute of Marine and Antarctic Studies), by the Australian Government's Cooperative Research Centre program through the Antarctic Climate and Ecosystems CRC, the Australian Antarctic Division (projects 40 and 4107), and by the Australian Research Council's Special Research Initiative for Antarctic Gateway Partnership (project no. SR140300001).</t>
  </si>
  <si>
    <t>1726-4170</t>
  </si>
  <si>
    <t>1726-4189</t>
  </si>
  <si>
    <t>Biogeosciences</t>
  </si>
  <si>
    <t>10.5194/bg-17-3815-2020</t>
  </si>
  <si>
    <t>Ecology; Geosciences, Multidisciplinary</t>
  </si>
  <si>
    <t>Environmental Sciences &amp; Ecology; Geology</t>
  </si>
  <si>
    <t>MU1AK</t>
  </si>
  <si>
    <t>gold, Green Accepted, Green Submitted</t>
  </si>
  <si>
    <t>WOS:000555401600002</t>
  </si>
  <si>
    <t>Gupta, P; Vakhlu, J; Sharma, YP; Imchen, M; Kumavath, R</t>
  </si>
  <si>
    <t>Gupta, Puja; Vakhlu, Jyoti; Sharma, Yash Pal; Imchen, Madangchanok; Kumavath, Ranjith</t>
  </si>
  <si>
    <t>Metagenomic insights into the fungal assemblages of the northwest Himalayan cold desert</t>
  </si>
  <si>
    <t>EXTREMOPHILES</t>
  </si>
  <si>
    <t>Fungal diversity; Cold desert; Pyrosequencing; Conocybe; Ecotype</t>
  </si>
  <si>
    <t>SOIL ORGANIC-MATTER; PSYCHROTROPHIC BACTERIA; DIVERSITY; COMMUNITIES; ENZYMES; TERRESTRIAL; SAMPLES; MARINE; GROWTH</t>
  </si>
  <si>
    <t>Psychrophilic fungi are a critical biotic component in cold deserts that serves a central role in nutrient recycling and biogeochemical cycles. Despite their ecological significance, culture-independent studies on psychrophilic mycobiome are limited. In the present study, the fungal diversity patterns across the Drass, an Indian cold desert in the Himalaya, were indexed by targeted amplicon pyrosequencing (ITS). In the Drass dataset, Ascomycota was represented by 92 genera, while 22 genera represented Basidiomycota. The most abundant genus was Conocybe (20.46%). Most of the identified genera were reported in the literature to be prolific extracellular hydrolytic enzyme producers. To identify whether the Drass fungal assemblages share similarities to other cold deserts, these were further compared to Antarctic and Arctic cold deserts. Comparative analysis across the three cold deserts indicated the dominance of Dikarya (Ascomycota and Basidiomycota). The observed alpha diversity, Shannon index as well as Pielou's evenness was highest in the Antarctic followed by Drass and Arctic datasets. The genera Malassezia, Preussia, Pseudogymnoascus, Cadophora, Geopora, Monodictys, Tetracladium, Titaea, Mortierella, and Cladosporium were common to all the cold deserts. Furthermore, Conocybe was represented predominantly in Drass. Interestingly, the genus Conocybe has not been previously reported from any other studies on Antarctic or Arctic biomes. To the best of our knowledge, this is the first fungal metagenome study in Drass soil. Our analysis shows that despite the similarities of low temperature among the cold deserts, a significant differential abundance of fungal communities prevails in the global cold deserts.</t>
  </si>
  <si>
    <t>[Gupta, Puja; Vakhlu, Jyoti] Univ Jammu, Sch Biotechnol, Jammu 180006, Jammu &amp; Kashmir, India; [Sharma, Yash Pal] Univ Jammu, Dept Bot, Jammu 180006, Jammu &amp; Kashmir, India; [Imchen, Madangchanok; Kumavath, Ranjith] Cent Univ Kerala, Dept Genom Sci, Tejaswini Hills, Kasaragod 671320, Periya, India</t>
  </si>
  <si>
    <t>University of Jammu; University of Jammu; Central University of Kerala</t>
  </si>
  <si>
    <t>Gupta, P; Vakhlu, J (corresponding author), Univ Jammu, Sch Biotechnol, Jammu 180006, Jammu &amp; Kashmir, India.;Kumavath, R (corresponding author), Cent Univ Kerala, Dept Genom Sci, Tejaswini Hills, Kasaragod 671320, Periya, India.</t>
  </si>
  <si>
    <t>pujagupta.metagenomics@gmail.com; jyotivakhlu@gmail.com; rnkumavath@gmail.com</t>
  </si>
  <si>
    <t>Kumavath, Ranjith/AAL-4226-2020; Sharma, Yash Pal/HHS-9328-2022; Gupta, Puja/AAT-8970-2020</t>
  </si>
  <si>
    <t>Kumavath, Ranjith/0000-0002-0751-5491; Sharma, Yash Pal/0000-0003-3268-5588; Gupta, Puja/0000-0002-9766-1053</t>
  </si>
  <si>
    <t>DBT, Government of India [BT/PR11727/BCE/08/720/2008]; CSIR, Government of India [(9/100/0177) 2K13-EMR-I]; UGC-JRF/SRF fellowship Govt. of India; [DST-SERB/EEQ/2018/001085]</t>
  </si>
  <si>
    <t>DBT, Government of India(Department of Biotechnology (DBT) India); CSIR, Government of India(Council of Scientific &amp; Industrial Research (CSIR) - India); UGC-JRF/SRF fellowship Govt. of India;</t>
  </si>
  <si>
    <t>PG is thankful to DBT, Government of India (BT/PR11727/BCE/08/720/2008) and CSIR (9/100/0177) 2K13-EMR-I, Government of India for funding of this project. RK thanks to DSTSERB/EEQ/2018/001085 for partial financial assistance and IM thanks to UGC-JRF/SRF fellowship Govt. of India and the research facilities supported by the Central University of Kerala.</t>
  </si>
  <si>
    <t>SPRINGER JAPAN KK</t>
  </si>
  <si>
    <t>TOKYO</t>
  </si>
  <si>
    <t>SHIROYAMA TRUST TOWER 5F, 4-3-1 TORANOMON, MINATO-KU, TOKYO, 105-6005, JAPAN</t>
  </si>
  <si>
    <t>1431-0651</t>
  </si>
  <si>
    <t>1433-4909</t>
  </si>
  <si>
    <t>Extremophiles</t>
  </si>
  <si>
    <t>SEP</t>
  </si>
  <si>
    <t>10.1007/s00792-020-01191-z</t>
  </si>
  <si>
    <t>Biochemistry &amp; Molecular Biology; Microbiology</t>
  </si>
  <si>
    <t>NH8RS</t>
  </si>
  <si>
    <t>WOS:000551779400001</t>
  </si>
  <si>
    <t>Presta, ML; Hoffmeyer, MS; Capitanio, FL</t>
  </si>
  <si>
    <t>Presta, Maria Laura; Hoffmeyer, Monica Susana; Capitanio, Fabiana Lia</t>
  </si>
  <si>
    <t>Mesozooplankton succession in a sub-Antarctic bay (Beagle channel, Southern tip of South America): distinctive annual patterns between two environmentally different zones</t>
  </si>
  <si>
    <t>Monthly sampling; Mesozooplankton dynamics; Ushuaia Bay; Year-to-year variability; Sub-Antarctic fjords</t>
  </si>
  <si>
    <t>PATAGONIAN SHELF ARGENTINA; SEASONAL SUCCESSION; DREPANOPUS-FORCIPATUS; REPRODUCTIVE ACTIVITY; PLANKTON VARIABILITY; COMMUNITY STRUCTURE; COPEPOD COMMUNITY; GRAZING IMPACT; ANNUAL CYCLE; LATE SUMMER</t>
  </si>
  <si>
    <t>Frequent sampling of zooplankton is essential to understand their annual dynamics. However, in polar and subpolar ecosystems, such sampling is rare. This study comparatively analysed, for the first time, the annual mesozooplankton succession in the northwest nearshore and external zones of Ushuaia Bay in the sub-Antarctic Beagle Channel by monthly sampling over two years. The nearshore zone, with shallow waters and strong continental and anthropogenic influence, was characterised by the year-round occurrence of the euryhaline copepodEurytemoraamericanaand adventitious taxa. The mesozooplankton community exhibited pronounced monthly and year-to-year variability but, as a general seasonal trend, winter assemblages were dominated by the copepodOithona similisand adventitious nematodes, whereas the spring-summer ones were dominated byE. americana, the cladoceranPodon leuckartiand Cirripedia nauplii. In the external zone, the copepodsDrepanopus forcipatusandCtenocalanus citerwere found throughout the year. The annual succession showed a clearer seasonal pattern. Main shifts in community structure occurred in late winter-spring and late summer-autumn, when a high representation of meroplankton and appendicularians was closely associated with phytoplankton blooms. The higher temporal variability in the nearshore community was partially related to variable contributions of adventitious taxa to assemblage composition and may be also reflecting stressful conditions for plankton species linked to freshwater and urban discharges reported within the bay. This study allowed filling the temporal gaps in previous research and providing a more complete picture of the annual mesozooplankton dynamics in the Beagle Channel, generating hypotheses at the community and population levels for future research.</t>
  </si>
  <si>
    <t>[Presta, Maria Laura; Capitanio, Fabiana Lia] Univ Buenos Aires, Fac Ciencias Exactas &amp; Nat, Dept Biodiversidad &amp; Biol Expt, C1428EGA, Buenos Aires, DF, Argentina; [Presta, Maria Laura; Capitanio, Fabiana Lia] UBA, CONICET, IBBEA, C1428EGA, Buenos Aires, DF, Argentina; [Hoffmeyer, Monica Susana] UNS, CONICET, Inst Argentino Oceanog, Bahia Blanca, Buenos Aires, Argentina; [Hoffmeyer, Monica Susana] Univ Tecnol Nacl, Fac Reg Bahia Blanca, Bahia Blanca, Buenos Aires, Argentina</t>
  </si>
  <si>
    <t>University of Buenos Aires; Consejo Nacional de Investigaciones Cientificas y Tecnicas (CONICET); University of Buenos Aires; Consejo Nacional de Investigaciones Cientificas y Tecnicas (CONICET); National University of the South</t>
  </si>
  <si>
    <t>Presta, ML (corresponding author), Univ Buenos Aires, Fac Ciencias Exactas &amp; Nat, Dept Biodiversidad &amp; Biol Expt, C1428EGA, Buenos Aires, DF, Argentina.;Presta, ML (corresponding author), UBA, CONICET, IBBEA, C1428EGA, Buenos Aires, DF, Argentina.</t>
  </si>
  <si>
    <t>mlpresta@hotmail.com</t>
  </si>
  <si>
    <t>PIP CONICET 2012-2014 grant; Consejo Nacional de Investigaciones Cientificas y Tecnicas, Argentina</t>
  </si>
  <si>
    <t>PIP CONICET 2012-2014 grant; Consejo Nacional de Investigaciones Cientificas y Tecnicas, Argentina(Consejo Nacional de Investigaciones Cientificas y Tecnicas (CONICET))</t>
  </si>
  <si>
    <t>We are very grateful to Ignacio Chiesa, Cristina Daponte, Daniel Nahabedian and Sofia Dutto for helping us with the taxonomic determinations. We are indebted to the Centro Austral de Investigaciones Cientificas (CADIC), Ushuaia, Argentina, and especially to the people who participated in project GEF-PNUD Arg. 2/18 Coastal pollution prevention and management of marine biodiversity. We would also like to thank the reviewer Dr. Danilo L. Calliari and the two anonymous reviewers for their constructive criticism and valuable suggestions that notably improved an earlier version of this manuscript. This study was partially supported by PIP CONICET 2012-2014 grant to F. Capitanio. M. L. Presta was funded by a doctoral fellowship of the Consejo Nacional de Investigaciones Cientificas y Tecnicas, Argentina.</t>
  </si>
  <si>
    <t>10.1007/s00300-020-02698-z</t>
  </si>
  <si>
    <t>NF7PO</t>
  </si>
  <si>
    <t>WOS:000551753600001</t>
  </si>
  <si>
    <t>Monier, SA; Veit, RR; Manne, LL</t>
  </si>
  <si>
    <t>Monier, Samantha A.; Veit, Richard R.; Manne, Lisa L.</t>
  </si>
  <si>
    <t>Changes in positive associations among vertebrate predators at South Georgia during winter</t>
  </si>
  <si>
    <t>Austral winter; Climate change; South Georgia; Seabirds; Local enhancement; Positive interactions</t>
  </si>
  <si>
    <t>CLIMATE-CHANGE IMPACTS; ANTARCTIC PENINSULA; SOCIAL INFORMATION; SPECIES ABUNDANCE; FOOD SUPPLIES; SEABIRDS; KRILL; OCEAN; ECOSYSTEM; SEA</t>
  </si>
  <si>
    <t>We studied positive associations among seabirds and marine mammals at South Georgia on research cruises during the Austral winters of 1985, 1991 and 1993 and found statistically significant differences. We collected data on abundance and distribution, providing a critical reference for sub-Antarctic conservation in anticipation of future environmental changes. We found significant changes in the abundance of 29% of species surveyed and a consequent change in species diversity. We postulate that the resulting altered community composition may have previously unanticipated population effects on the component species, due to changes in positive interactions among species which use each other as cues to the presence of prey. We found a near threefold reduction in spatial overlap among vertebrate predators, associated with warming sea temperatures. As the strength and opportunity for positive associations decreases in the future, feeding success may be negatively impacted. In this way, environmental changes may disproportionately impact predator abundances and such changes are likely already underway, as Southern Ocean temperatures have increased substantially since our surveys. Of course the changes we describe are not solely due to changing sea temperature or any other single cause-many factors are important and we do not claim to have removed these from consideration. Rather, we report previously undocumented changes in positive associations among species, and argue these changes may continue into the future, given near-certain continued increases in climate-related changes.</t>
  </si>
  <si>
    <t>[Monier, Samantha A.; Veit, Richard R.; Manne, Lisa L.] CUNY, Grad Ctr, Biol Dept, 365 5th Ave, New York, NY 10016 USA; [Monier, Samantha A.; Veit, Richard R.; Manne, Lisa L.] CUNY Coll Staten Isl, Dept Biol, 2800 Victory Blvd, Staten Isl, NY 10314 USA</t>
  </si>
  <si>
    <t>City University of New York (CUNY) System; City University of New York (CUNY) System; College of Staten Island (CUNY)</t>
  </si>
  <si>
    <t>Veit, RR (corresponding author), CUNY, Grad Ctr, Biol Dept, 365 5th Ave, New York, NY 10016 USA.;Veit, RR (corresponding author), CUNY Coll Staten Isl, Dept Biol, 2800 Victory Blvd, Staten Isl, NY 10314 USA.</t>
  </si>
  <si>
    <t>rrveit23@gmail.com</t>
  </si>
  <si>
    <t>National Science Foundation [DPP-8918130]</t>
  </si>
  <si>
    <t>We acknowledge support from the National Science Foundation DPP-8918130 to P.M. Kareiva and R.R. Veit and thank I.W.D. Dalziel for the invitation to join the 1985 expedition. We would like to thank all those involved in the surveys including C. Cinninger, D.F. Doak, A. Engh, S.F. Heppell, M. Hollon, C.E. Jordan, R.A. Morgan, W.F. Morris, G.A. Nevitt and G.T. Smith. We thank M.P. Meredith for providing helpful information, and the three anonymous reviewers for their feedback.</t>
  </si>
  <si>
    <t>10.1007/s00300-020-02720-4</t>
  </si>
  <si>
    <t>WOS:000551753600002</t>
  </si>
  <si>
    <t>Alix, M; Kjesbu, OS; Anderson, KC</t>
  </si>
  <si>
    <t>Alix, Maud; Kjesbu, Olav S.; Anderson, Kelli C.</t>
  </si>
  <si>
    <t>From gametogenesis to spawning: How climate-driven warming affects teleost reproductive biology</t>
  </si>
  <si>
    <t>JOURNAL OF FISH BIOLOGY</t>
  </si>
  <si>
    <t>climate change; fecundity; fish; gamete; physiology; temperature</t>
  </si>
  <si>
    <t>COD GADUS-MORHUA; FEMALE ATLANTIC SALMON; FOLLICLE-STIMULATING-HORMONE; TROUT ONCORHYNCHUS-MYKISS; PLASMA STEROID-LEVELS; WATER TEMPERATURE; RAINBOW-TROUT; GENE-EXPRESSION; GONADAL DEVELOPMENT; EGG QUALITY</t>
  </si>
  <si>
    <t>Ambient temperature modulates reproductive processes, especially in poikilotherms such as teleosts. Consequently, global warming is expected to impact the reproductive function of fish, which has implications for wild population dynamics, fisheries and aquaculture. In this extensive review spanning tropical and cold-water environments, we examine the impact of higher-than-optimal temperatures on teleost reproductive development and physiology across reproductive stages, species, generations and sexes. In doing so, we demonstrate that warmer-than-optimal temperatures can affect every stage of reproductive development from puberty through to the act of spawning, and these responses are mediated by age at spawning and are associated with changes in physiology at multiple levels of the brain-pituitary-gonad axis. Response to temperature is often species-specific and changes with environmental history/transgenerational conditioning, and the amplitude, timing and duration of thermal exposure within a generation. Thermally driven changes to physiology, gamete development and maturation typically culminate in poor sperm and oocyte quality, and/or advancement/delay/inhibition of ovulation/spermiation and spawning. Although the field of teleost reproduction and temperature is advanced in many respects, we identify areas where research is lacking, especially for males and egg quality from omics perspectives. Climate-driven warming will continue to disturb teleost reproductive performance and therefore guide future research, especially in the emerging areas of transgenerational acclimation and epigenetic studies, which will help to understand and project climate change impacts on wild populations and could also have implications for aquaculture.</t>
  </si>
  <si>
    <t>[Alix, Maud; Kjesbu, Olav S.] Inst Marine Res, POB 1870 Nordnes, NO-5817 Bergen, Norway; [Anderson, Kelli C.] Univ Tasmania, Inst Marine &amp; Antarctic Studies, Newnham Campus, Newnham, Tas, Australia</t>
  </si>
  <si>
    <t>Institute of Marine Research - Norway; University of Tasmania</t>
  </si>
  <si>
    <t>Alix, M (corresponding author), Inst Marine Res, POB 1870 Nordnes, NO-5817 Bergen, Norway.</t>
  </si>
  <si>
    <t>maud.alix@hi.no</t>
  </si>
  <si>
    <t>Alix, Maud/W-2377-2019</t>
  </si>
  <si>
    <t>Alix, Maud/0000-0002-2365-9188; Anderson, Kelli/0000-0001-7749-4641; Kjesbu, Olav Sigurd/0000-0002-8651-6838</t>
  </si>
  <si>
    <t>Norwegian Research Council (NFR) project Scaling Climate Effects from Individual Physiology to Population Responses [268336]</t>
  </si>
  <si>
    <t>Norwegian Research Council (NFR) project Scaling Climate Effects from Individual Physiology to Population Responses</t>
  </si>
  <si>
    <t>This work was partly supported by the Norwegian Research Council (NFR) project Scaling Climate Effects from Individual Physiology to Population Responses (no. 268336). The authors thank Dr Anders Thorsen (Institute of Marine Research, Bergen) for providing micrographs and Dr Diego Crespo (Institute of Marine Research, Bergen) for discussion and help with the male section of this manuscript. Finally, the authors thank the two anonymous referees for their detailed revision of the manuscript.</t>
  </si>
  <si>
    <t>0022-1112</t>
  </si>
  <si>
    <t>1095-8649</t>
  </si>
  <si>
    <t>J FISH BIOL</t>
  </si>
  <si>
    <t>J. Fish Biol.</t>
  </si>
  <si>
    <t>10.1111/jfb.14439</t>
  </si>
  <si>
    <t>Fisheries; Marine &amp; Freshwater Biology</t>
  </si>
  <si>
    <t>NM3MR</t>
  </si>
  <si>
    <t>hybrid, Green Accepted, Green Published</t>
  </si>
  <si>
    <t>WOS:000551178500001</t>
  </si>
  <si>
    <t>Blackburn, T; Edwards, GH; Tulaczyk, S; Scudder, M; Piccione, G; Hallet, B; McLean, N; Zachos, JC; Cheney, B; Babbe, JT</t>
  </si>
  <si>
    <t>Blackburn, T.; Edwards, G. H.; Tulaczyk, S.; Scudder, M.; Piccione, G.; Hallet, B.; McLean, N.; Zachos, J. C.; Cheney, B.; Babbe, J. T.</t>
  </si>
  <si>
    <t>Ice retreat in Wilkes Basin of East Antarctica during a warm interglacial</t>
  </si>
  <si>
    <t>TAYLOR VALLEY; SERIES ISOTOPES; ABLATION ZONE; DRY VALLEYS; LAKE BONNEY; SHEET; GLACIER; GREENLAND; U-234/U-238; MELTWATER</t>
  </si>
  <si>
    <t>Uranium isotopes in subglacial precipitates from the Wilkes Basin of the East Antarctic Ice Sheet reveal ice retreat during a warm Pleistocene interglacial period about 400,000 years ago. Efforts to improve sea level forecasting on a warming planet have focused on determining the temperature, sea level and extent of polar ice sheets during Earth's past interglacial warm periods(1-3). About 400,000 years ago, during the interglacial period known as Marine Isotopic Stage 11 (MIS11), the global temperature was 1 to 2 degrees Celsius greater(2)and sea level was 6 to 13 metres higher(1,3). Sea level estimates in excess of about 10 metres, however, have been discounted because these require a contribution from the East Antarctic Ice Sheet(3), which has been argued to have remained stable for millions of years before and includes MIS11(4,5). Here we show how the evolution of(234)U enrichment within the subglacial waters of East Antarctica recorded the ice sheet's response to MIS11 warming. Within the Wilkes Basin, subglacial chemical precipitates of opal and calcite record accumulation of(234)U (the product of rock-water contact within an isolated subglacial reservoir) up to 20 times higher than that found in marine waters. The timescales of(234)U enrichment place the inception of this reservoir at MIS11. Informed by the(234)U cycling observed in the Laurentide Ice Sheet, where(234)U accumulated during periods of ice stability(6)and was flushed to global oceans in response to deglaciation(7), we interpret our East Antarctic dataset to represent ice loss within the Wilkes Basin at MIS11. The(234)U accumulation within the Wilkes Basin is also observed in the McMurdo Dry Valleys brines(8-10), indicating(11)that the brine originated beneath the adjacent East Antarctic Ice Sheet. The marine origin of brine salts(10)and bacteria(12)implies that MIS11 ice loss was coupled with marine flooding. Collectively, these data indicate that during one of the warmest Pleistocene interglacials, the ice sheet margin at the Wilkes Basin retreated to near the precipitate location, about 700 kilometres inland from the current position of the ice margin, which-assuming current ice volumes-would have contributed about 3 to 4 metres(13)to global sea levels.</t>
  </si>
  <si>
    <t>[Blackburn, T.; Edwards, G. H.; Tulaczyk, S.; Scudder, M.; Piccione, G.; Zachos, J. C.; Cheney, B.; Babbe, J. T.] Univ Calif Santa Cruz, Earth &amp; Planetary Sci, Santa Cruz, CA 95064 USA; [Hallet, B.] Univ Washington, Quaternary Res Ctr, Seattle, WA 98195 USA; [McLean, N.] Univ Kansas, Dept Geol, Lawrence, KS 66045 USA</t>
  </si>
  <si>
    <t>University of California System; University of California Santa Cruz; University of Washington; University of Washington Seattle; University of Kansas</t>
  </si>
  <si>
    <t>Blackburn, T (corresponding author), Univ Calif Santa Cruz, Earth &amp; Planetary Sci, Santa Cruz, CA 95064 USA.</t>
  </si>
  <si>
    <t>terryb@ucsc.edu</t>
  </si>
  <si>
    <t>Edwards, Graham Harper/AAQ-5926-2020; Zachos, James C/A-7674-2008; McLean, Noah M/H-5770-2012; Tulaczyk, Slawek/O-7375-2018</t>
  </si>
  <si>
    <t>Edwards, Graham Harper/0000-0002-3285-4858; Tulaczyk, Slawek/0000-0002-9711-4332; Scudder, Michael/0000-0003-3566-6729; Blackburn, Terrence/0000-0003-0029-0709; McLean, Noah/0000-0003-0388-1862</t>
  </si>
  <si>
    <t>10.1038/s41586-020-2484-5</t>
  </si>
  <si>
    <t>MP1EM</t>
  </si>
  <si>
    <t>WOS:000551954700007</t>
  </si>
  <si>
    <t>Nowicki, S; Goelzer, H; Seroussi, H; Payne, AJ; Lipscomb, WH; Abe-Ouchi, A; Agosta, C; Alexander, P; Asay-Davis, XS; Barthel, A; Bracegirdle, TJ; Cullather, R; Felikson, D; Fettweis, X; Gregory, JM; Hattermann, T; Jourdain, NC; Munneke, PK; Larour, E; Little, CM; Morlighem, M; Nias, I; Shepherd, A; Simon, E; Slater, D; Smith, RS; Straneo, F; Trusel, LD; van den Broeke, MR; van de Wal, R</t>
  </si>
  <si>
    <t>Nowicki, Sophie; Goelzer, Heiko; Seroussi, Helene; Payne, Anthony J.; Lipscomb, William H.; Abe-Ouchi, Ayako; Agosta, Cecile; Alexander, Patrick; Asay-Davis, Xylar S.; Barthel, Alice; Bracegirdle, Thomas J.; Cullather, Richard; Felikson, Denis; Fettweis, Xavier; Gregory, Jonathan M.; Hattermann, Tore; Jourdain, Nicolas C.; Munneke, Peter Kuipers; Larour, Eric; Little, Christopher M.; Morlighem, Mathieu; Nias, Isabel; Shepherd, Andrew; Simon, Erika; Slater, Donald; Smith, Robin S.; Straneo, Fiammetta; Trusel, Luke D.; van den Broeke, Michiel R.; van de Wal, Roderik</t>
  </si>
  <si>
    <t>Experimental protocol for sea level projections from ISMIP6 stand-alone ice sheet models</t>
  </si>
  <si>
    <t>CRYOSPHERE</t>
  </si>
  <si>
    <t>SURFACE MASS-BALANCE; MELT RATES; BREAK-UP; GREENLAND; CLIMATE; SYSTEM; SHELF; CIRCULATION; ANTARCTICA; GLACIERS</t>
  </si>
  <si>
    <t>Projection of the contribution of ice sheets to sea level change as part of the Coupled Model Intercomparison Project Phase 6 (CMIP6) takes the form of simulations from coupled ice sheet-climate models and stand-alone ice sheet models, overseen by the Ice Sheet Model Intercomparison Project for CMIP6 (ISMIP6). This paper describes the experimental setup for process-based sea level change projections to be performed with stand-alone Greenland and Antarctic ice sheet models in the context of ISMIP6. The ISMIP6 protocol relies on a suite of polar atmospheric and oceanic CMIP-based forcing for ice sheet models, in order to explore the uncertainty in projected sea level change due to future emissions scenarios, CMIP models, ice sheet models, and parameterizations for ice-ocean interactions. We describe here the approach taken for defining the suite of ISMIP6 stand-alone ice sheet simulations, document the experimental framework and implementation, and present an overview of the ISMIP6 forcing to be used by participating ice sheet modeling groups.</t>
  </si>
  <si>
    <t>[Nowicki, Sophie; Cullather, Richard; Felikson, Denis; Nias, Isabel; Simon, Erika] NASA, Goddard Space Flight Ctr, Greenbelt, MD 20771 USA; [Goelzer, Heiko; Munneke, Peter Kuipers; van den Broeke, Michiel R.; van de Wal, Roderik] Univ Utrecht, Inst Marine &amp; Atmospher Res Utrecht, Utrecht, Netherlands; [Goelzer, Heiko] Univ Libre Bruxelles, Lab Glaciol, Brussels, Belgium; [Seroussi, Helene; Larour, Eric] CALTECH, Jet Prop Lab, Pasadena, CA USA; [Payne, Anthony J.] Univ Bristol, Sch Geog Sci, Bristol, Avon, England; [Lipscomb, William H.] Natl Ctr Atmospher Res, Climate &amp; Global Dynam Lab, POB 3000, Boulder, CO 80307 USA; [Abe-Ouchi, Ayako] Univ Tokyo, Atmosphere &amp; Ocean Res Inst, Kashiwa, Chiba, Japan; [Agosta, Cecile] Univ Paris Saclay, Lab Sci Climat &amp; Environm, LSCE IPSL, CEA CNRS UVSQ, Gif Sur Yvette, France; [Alexander, Patrick] Columbia Univ, Lamont Doherty Earth Observ, Palisades, NY USA; [Alexander, Patrick] NASA, Goddard Inst Space Studies, New York, NY 10025 USA; [Asay-Davis, Xylar S.; Barthel, Alice] Los Alamos Natl Lab, Los Alamos, NM USA; [Bracegirdle, Thomas J.] British Antarctic Survey, Cambridge, England; [Fettweis, Xavier] Univ Liege, Dept Geog, Lab Climatol, Liege, Belgium; [Gregory, Jonathan M.; Smith, Robin S.] Univ Reading, Natl Ctr Atmospher Sci, Reading, Berks, England; [Gregory, Jonathan M.; Smith, Robin S.] Univ Reading, Dept Meteorol, Reading, Berks, England; [Gregory, Jonathan M.] Met Off Hadley Ctr, Exeter, Devon, England; [Hattermann, Tore] Norwegian Polar Res Inst, Tromso, Norway; [Hattermann, Tore] Arctic Univ Univ Tromso, Dept Phys &amp; Technol, Energy &amp; Climate Grp, Tromso, Norway; [Jourdain, Nicolas C.] Univ Grenoble Alpes, Inst Geosci Environm, CNRS, IRD,G INP, Grenoble, France; [Little, Christopher M.] Atmospher &amp; Environm Res Inc, Lexington, MA USA; [Morlighem, Mathieu] Univ Calif Irvine, Dept Earth Syst Sci, Irvine, CA USA; [Nias, Isabel] Univ Liverpool, Sch Environm Sci, Dept Geog &amp; Planning, Liverpool, Merseyside, England; [Shepherd, Andrew] Univ Leeds, Ctr Polar Observat &amp; Modelling, Leeds, W Yorkshire, England; [Slater, Donald; Straneo, Fiammetta] Univ Calif San Diego, Scripps Inst Oceanog, La Jolla, CA 92093 USA; [Trusel, Luke D.] Penn State Univ, Dept Geog, University Pk, PA 16802 USA; [van de Wal, Roderik] Univ Utrecht, Dept Phys Geog, Utrecht, Netherlands</t>
  </si>
  <si>
    <t>National Aeronautics &amp; Space Administration (NASA); NASA Goddard Space Flight Center; Utrecht University; Universite Libre de Bruxelles; California Institute of Technology; National Aeronautics &amp; Space Administration (NASA); NASA Jet Propulsion Laboratory (JPL); University of Bristol; National Center Atmospheric Research (NCAR) - USA; University of Tokyo; Universite Paris Cite; CEA; Centre National de la Recherche Scientifique (CNRS); Universite Paris Saclay; Columbia University; National Aeronautics &amp; Space Administration (NASA); NASA Goddard Space Flight Center; Goddard Institute for Space Studies; United States Department of Energy (DOE); Los Alamos National Laboratory; UK Research &amp; Innovation (UKRI); Natural Environment Research Council (NERC); NERC British Antarctic Survey; University of Liege; University of Reading; UK Research &amp; Innovation (UKRI); Natural Environment Research Council (NERC); NERC National Centre for Atmospheric Science; University of Reading; Met Office - UK; Hadley Centre; Norwegian Polar Institute; UiT The Arctic University of Tromso; Institut de Recherche pour le Developpement (IRD); Communaute Universite Grenoble Alpes; Universite Grenoble Alpes (UGA); Centre National de la Recherche Scientifique (CNRS); Atmospheric &amp; Environmental Research; University of California System; University of California Irvine; University of Liverpool; University of California System; University of California San Diego; Scripps Institution of Oceanography; Pennsylvania Commonwealth System of Higher Education (PCSHE); Pennsylvania State University; Pennsylvania State University - University Park; Utrecht University</t>
  </si>
  <si>
    <t>Nowicki, S (corresponding author), NASA, Goddard Space Flight Ctr, Greenbelt, MD 20771 USA.</t>
  </si>
  <si>
    <t>sophie.nowicki@nasa.gov</t>
  </si>
  <si>
    <t>Gregory, Jonathan/J-2939-2016; van de wal, roderik/D-1705-2011; Van den Broeke, Michiel R./F-7867-2011; Agosta, Cécile/HLQ-5577-2023; Trusel, Luke D/E-2578-2013; Morlighem, Mathieu/O-9942-2014; Goelzer, Heiko/M-2367-2016; Lipscomb, William/AAR-8668-2021; Barthel, Alice/AHE-2973-2022; Abe-Ouchi, Ayako A/M-6359-2013; Jourdain, Nicolas C/B-6899-2015; Felikson, Denis/M-2397-2016; Seroussi, Helene/AAX-5342-2021; Agosta, Cecile/B-9625-2013; payne, antony/A-8916-2008</t>
  </si>
  <si>
    <t>Gregory, Jonathan/0000-0003-1296-8644; van de wal, roderik/0000-0003-2543-3892; Van den Broeke, Michiel R./0000-0003-4662-7565; Morlighem, Mathieu/0000-0001-5219-1310; Goelzer, Heiko/0000-0002-5878-9599; Barthel, Alice/0000-0002-2481-8646; Abe-Ouchi, Ayako A/0000-0003-1745-5952; Felikson, Denis/0000-0002-3785-5112; Seroussi, Helene/0000-0001-9201-1644; Agosta, Cecile/0000-0003-4091-1653; Nias, Isabel/0000-0002-5657-8691; Straneo, Fiammetta/0000-0002-1735-2366; payne, antony/0000-0001-8825-8425; Lipscomb, William/0000-0002-7100-3730; Trusel, Luke/0000-0002-7792-6173; Fettweis, Xavier/0000-0002-4140-3813; Slater, Donald/0000-0001-8394-6149; Asay-Davis, Xylar/0000-0002-1990-892X</t>
  </si>
  <si>
    <t>NASA Cryospheric Sciences, Sea Level Change Team and Modeling, Analysis and Predictions Program; NASA; Netherlands Earth System Science Centre (NESSC); Scientific Discovery through Advanced Computing (SciDAC) program - U.S. Department of Energy (DOE), Office of Science; Norwegian Research Council [280727, 295075]; NSF [1916566, 1643733]; NASA [NNX17AI03G]; UK Natural Environment Research Council through the British Antarctic Survey research program Polar Science for Planet Earth; Scientific Committee on Antarctic Research (SCAR) AntClim21 research program; National Centre for Atmospheric Science - UK National Environment Research Council; U.S. Department of Energy (DOE); National Center for Atmospheric Research - National Science Foundation [1852977]; Office of Polar Programs (OPP); Directorate For Geosciences [1643733, 1916566] Funding Source: National Science Foundation; NERC [cpom30001, ncas10014, bas0100032, NE/T009470/1] Funding Source: UKRI</t>
  </si>
  <si>
    <t>NASA Cryospheric Sciences, Sea Level Change Team and Modeling, Analysis and Predictions Program; NASA(National Aeronautics &amp; Space Administration (NASA)); Netherlands Earth System Science Centre (NESSC); Scientific Discovery through Advanced Computing (SciDAC) program - U.S. Department of Energy (DOE), Office of Science(United States Department of Energy (DOE)); Norwegian Research Council(Research Council of Norway); NSF(National Science Foundation (NSF)); NASA(National Aeronautics &amp; Space Administration (NASA)); UK Natural Environment Research Council through the British Antarctic Survey research program Polar Science for Planet Earth; Scientific Committee on Antarctic Research (SCAR) AntClim21 research program; National Centre for Atmospheric Science - UK National Environment Research Council; U.S. Department of Energy (DOE)(United States Department of Energy (DOE)); National Center for Atmospheric Research - National Science Foundation; Office of Polar Programs (OPP); Directorate For Geosciences(National Science Foundation (NSF)NSF - Directorate for Geosciences (GEO)); NERC(UK Research &amp; Innovation (UKRI)Natural Environment Research Council (NERC))</t>
  </si>
  <si>
    <t>Sophie Nowicki, Helene Seroussi, Richard Cullather, Eric Larour, Isabel Nias, and Erika Simon were supported by grants from the NASA Cryospheric Sciences, Sea Level Change Team and Modeling, Analysis and Predictions Program. Denis Felikson was supported by an appointment to the NASA Postdoctoral Program at the Goddard Space Flight Center, administered by the Universities Space Research Association under contract with NASA. Heiko Goelzer, Peter Kuipers Munneke, Roderik van de Wal, and Michiel van den Broeke acknowledge support from the Netherlands Earth System Science Centre (NESSC). Support for Xylar Asay-Davis was provided through the Scientific Discovery through Advanced Computing (SciDAC) program funded by the U.S. Department of Energy (DOE), Office of Science, Advanced Scientific Computing Research and Biological and Environmental Research programs. Tore Hattermann was supported by the Norwegian Research Council (grant nos. 280727, 295075). Fiamma Straneo and Donald Slater acknowledge support from NSF (grant no. 1916566) and NASA (grant no. NNX17AI03G). Thomas Bracegirdle was supported both by the UK Natural Environment Research Council through the British Antarctic Survey research program Polar Science for Planet Earth and by the Scientific Committee on Antarctic Research (SCAR) AntClim21 research program. Jonathan Gregory and Robin S. Smith were supported by the National Centre for Atmospheric Science, funded by the UK National Environment Research Council. Alice Barthel was supported by the U.S. Department of Energy (DOE) Early Career Program and Biological and Environmental Research Program (Hi-LAT project). Luke Trusel was supported under the NSF Antarctic Glaciology Program (award no. 1643733). This material is based in part upon work supported by the National Center for Atmospheric Research, which is a major facility sponsored by the National Science Foundation under a cooperative agreement (grant no. 1852977).</t>
  </si>
  <si>
    <t>1994-0416</t>
  </si>
  <si>
    <t>1994-0424</t>
  </si>
  <si>
    <t>Cryosphere</t>
  </si>
  <si>
    <t>10.5194/tc-14-2331-2020</t>
  </si>
  <si>
    <t>MU1BF</t>
  </si>
  <si>
    <t>WOS:000555403800001</t>
  </si>
  <si>
    <t>Ziegler, A; Gilligan, AM; Dillon, JG; Pernet, B</t>
  </si>
  <si>
    <t>Ziegler, Alexander; Gilligan, Ariel M.; Dillon, Jesse G.; Pernet, Bruno</t>
  </si>
  <si>
    <t>Schizasterid Heart Urchins Host Microorganisms in a Digestive Symbiosis of Mesozoic Origin</t>
  </si>
  <si>
    <t>FRONTIERS IN MICROBIOLOGY</t>
  </si>
  <si>
    <t>Echinoidea; microbiome; digestive tract; intestinal caecum; spirochete; Brisaster</t>
  </si>
  <si>
    <t>ECHINOCARDIUM-CORDATUM SPATANGOIDA; SULFATE-REDUCING MICROORGANISMS; SP-NOV.; SEA-URCHINS; GEN. NOV.; SPIROCHAETA-SMARAGDINAE; ANTARCTIC ECHINOIDS; BURROWING BEHAVIOR; HIGH-RESOLUTION; GUT MICROBIOTA</t>
  </si>
  <si>
    <t>Because of their lifestyles, abundance, and feeding habits, infaunal marine deposit feeders have a significant impact on the ocean floor. As these animals also ingest microorganisms associated with their sediment and seawater diet, their digestive tract usually contains a diverse array of bacteria. However, while most of these microorganisms are transients, some may become part of a resident gut microbiome, in particular when sheltered from the main flow of digesta in specialized gut compartments. Here, we provide an in-depth analysis of the structure and contents of the intestinal caecum (IC), a hindgut diverticulum found exclusively in schizasterid heart urchins (Echinoidea: Spatangoida: Schizasteridae). Based on specimens ofBrisaster townsendi, in addition to various other schizasterid taxa, our structural characterization of the IC shows that the organ is a highly specialized gut compartment with unique structural properties. Next generation sequencing shows that the IC contains a microbial population composed predominantly of Bacteroidales, Desulfobacterales, and Spirochaetales. The microbiome of this gut compartment is significantly different in composition and lower in diversity than the microbial population in the sediment-filled main digestive tract. Inferences on the function and evolution of the IC and its microbiome suggest that this symbiosis plays a distinct role in host nutrition and that it evolved at least 66 million years ago during the final phase of the Mesozoic.</t>
  </si>
  <si>
    <t>[Ziegler, Alexander] Rheinische Friedrich Wilhelms Univ, Inst Evolutionsbiol &amp; Okol, Bonn, Germany; [Gilligan, Ariel M.; Dillon, Jesse G.; Pernet, Bruno] Calif State Univ Long Beach, Dept Biol Sci, Long Beach, CA 90840 USA</t>
  </si>
  <si>
    <t>University of Bonn; California State University System; California State University Long Beach</t>
  </si>
  <si>
    <t>Ziegler, A (corresponding author), Rheinische Friedrich Wilhelms Univ, Inst Evolutionsbiol &amp; Okol, Bonn, Germany.</t>
  </si>
  <si>
    <t>aziegler@evolution.uni-bonn.de</t>
  </si>
  <si>
    <t>Dillon, Jesse/0000-0002-8582-1937</t>
  </si>
  <si>
    <t>Deutsche Forschungsgemeinschaft [INST 217/849-1 FUGG]; National Science Foundation [OCE-1756531]; National Institute of General Medical Sciences of the National Institutes of Health [UL1GM118979, TL4GM118980, RL5GM118978]</t>
  </si>
  <si>
    <t>Deutsche Forschungsgemeinschaft(German Research Foundation (DFG)); National Science Foundation(National Science Foundation (NSF)); National Institute of General Medical Sciences of the National Institutes of Health(United States Department of Health &amp; Human ServicesNational Institutes of Health (NIH) - USANIH National Institute of General Medical Sciences (NIGMS))</t>
  </si>
  <si>
    <t>This work was supported by the Deutsche Forschungsgemeinschaft (grant no. INST 217/849-1 FUGG), the National Science Foundation (grant no. OCE-1756531), and the National Institute of General Medical Sciences of the National Institutes of Health (grant nos. UL1GM118979, TL4GM118980, and RL5GM118978). The content is solely the responsibility of the authors and does not necessarily represent the official views of the National Institutes of Health.</t>
  </si>
  <si>
    <t>1664-302X</t>
  </si>
  <si>
    <t>FRONT MICROBIOL</t>
  </si>
  <si>
    <t>Front. Microbiol.</t>
  </si>
  <si>
    <t>JUL 22</t>
  </si>
  <si>
    <t>10.3389/fmicb.2020.01697</t>
  </si>
  <si>
    <t>Microbiology</t>
  </si>
  <si>
    <t>MZ6NS</t>
  </si>
  <si>
    <t>WOS:000559244800001</t>
  </si>
  <si>
    <t>French, WJR; Klekociuk, AR; Mulligan, FJ</t>
  </si>
  <si>
    <t>French, W. John R.; Klekociuk, Andrew R.; Mulligan, Frank J.</t>
  </si>
  <si>
    <t>Analysis of 24 years of mesopause region OH rotational temperature observations at Davis, Antarctica - Part 2: Evidence of a quasi-quadrennial oscillation (QQO) in the polar mesosphere</t>
  </si>
  <si>
    <t>ATMOSPHERIC CHEMISTRY AND PHYSICS</t>
  </si>
  <si>
    <t>GRAVITY-WAVE CHARACTERISTICS; CHEMISTRY-CLIMATE MODEL; SOUTHERN-HEMISPHERE; SABER EXPERIMENT; SOLAR-CYCLE; VARIABILITY; TRANSITION; DEPENDENCE; ALTITUDE; STATION</t>
  </si>
  <si>
    <t>Observational evidence of a quasi-quadrennial oscillation (QQO) in the polar mesosphere is presented based on the analysis of 24 years of hydroxyl (OH) nightglow rotational temperatures derived from scanning spectrometer observations above Davis research station, Antarctica (68 degrees S, 78 degrees E). After removal of the long-term trend and solar cycle response, the residual winter mean temperature variability contains an oscillation over an approximately 3.5-4.5-year cycle with a peak-to-peak amplitude of 3-4 K. Here we investigate this QQO feature in the context of the global temperature, pressure, wind, and surface fields using satellite, meteorological reanalysis, sea surface temperature, and sea ice concentration data sets in order to understand possible drivers of the signal. Specifically, correlation and composite analyses are made with data sets from the Microwave Limb Sounder on the Aura satellite (Aura/MLS v4.2) and the Sounding of the Atmosphere using Broadband Emission Radiometry instrument on the Thermosphere Ionosphere Mesosphere Energetics Dynamics satellite (TIMED/SABER v2.0), ERAS reanalysis, the Extended Reconstructed Sea Surface Temperature (ERSST v5), and Optimum-Interpolation (OI v2) sea ice concentration. We find a significant anti-correlation between the QQO temperature and the meridional wind at 86 km altitude measured by a medium-frequency spaced antenna radar at Davis (R-2 similar to 0.516; poleward flow associated with warmer temperatures at similar to 0.83 +/- 0.21 K (ms(-1))(-1)). The QQO signal is also marginally correlated with vertical transport as determined from an evaluation of carbon monoxide (CO) concentrations in the mesosphere (sensitivity 0.73 +/- 0.45 K ppmv(-1) CO, R-2 similar to 0.18). Together this relationship suggests that the QQO is plausibly linked to adiabatic heating and cooling driven by the meridional flow. The presence of quasi-stationary or persistent patterns in the ERAS data geopotential anomaly and the meridional wind anomaly data during warm and cold phases of the QQO is consistent with tidal or planetary waves influencing its formation, which may act on the filtering of gravity waves to drive an adiabatic response in the mesosphere. The QQO signal plausibly arises from an ocean-atmosphere response, and appears to have a signature in Antarctic sea ice extent.</t>
  </si>
  <si>
    <t>[French, W. John R.; Klekociuk, Andrew R.] Australian Antarctic Div, 203 Channel Hwy, Kingston, Tas 7050, Australia; [Klekociuk, Andrew R.] Univ Adelaide, Dept Phys, Adelaide, SA 5005, Australia; [Mulligan, Frank J.] Maynooth Univ, Dept Expt Phys, Maynooth, Co Kildare, Ireland</t>
  </si>
  <si>
    <t>Australian Antarctic Division; University of Adelaide; Maynooth University</t>
  </si>
  <si>
    <t>French, WJR (corresponding author), Australian Antarctic Div, 203 Channel Hwy, Kingston, Tas 7050, Australia.</t>
  </si>
  <si>
    <t>john.french@aad.gov.au</t>
  </si>
  <si>
    <t>; Klekociuk, Andrew/A-4498-2015</t>
  </si>
  <si>
    <t>French, John/0000-0001-9305-6190; Klekociuk, Andrew/0000-0003-3335-0034</t>
  </si>
  <si>
    <t>Australian Antarctic Science Program under the Australian Government Department of Agriculture, Water and the Environment [AAS 4157, AAS 4025]</t>
  </si>
  <si>
    <t>Australian Antarctic Science Program under the Australian Government Department of Agriculture, Water and the Environment</t>
  </si>
  <si>
    <t>This work is undertaken within the Australian Antarctic Science Program (projects AAS 4157 and AAS 4025) under the Australian Government Department of Agriculture, Water and the Environment.</t>
  </si>
  <si>
    <t>1680-7316</t>
  </si>
  <si>
    <t>1680-7324</t>
  </si>
  <si>
    <t>ATMOS CHEM PHYS</t>
  </si>
  <si>
    <t>Atmos. Chem. Phys.</t>
  </si>
  <si>
    <t>10.5194/acp-20-8691-2020</t>
  </si>
  <si>
    <t>Environmental Sciences; Meteorology &amp; Atmospheric Sciences</t>
  </si>
  <si>
    <t>Environmental Sciences &amp; Ecology; Meteorology &amp; Atmospheric Sciences</t>
  </si>
  <si>
    <t>MT5TN</t>
  </si>
  <si>
    <t>gold, Green Accepted</t>
  </si>
  <si>
    <t>WOS:000555037600003</t>
  </si>
  <si>
    <t>Dell, R; Arnold, N; Willis, I; Banwell, A; Williamson, A; Pritchard, H; Orr, A</t>
  </si>
  <si>
    <t>Dell, Rebecca; Arnold, Neil; Willis, Ian; Banwell, Alison; Williamson, Andrew; Pritchard, Hamish; Orr, Andrew</t>
  </si>
  <si>
    <t>Lateral meltwater transfer across an Antarctic ice shelf</t>
  </si>
  <si>
    <t>SUPRAGLACIAL LAKE DEPTH; DRONNING MAUD LAND; WEST GREENLAND; SURFACE MELT; SEASONAL EVOLUTION; DATA ASSIMILATION; ELEVATION MODEL; RESOLUTION; SHEET; DRAINAGE</t>
  </si>
  <si>
    <t>Surface meltwater on ice shelves can exist as slush, it can pond in lakes or crevasses, or it can flow in surface streams and rivers. The collapse of the Larsen B Ice Shelf in 2002 has been attributed to the sudden drainage of similar to 3000 surface lakes and has highlighted the potential for surface water to cause ice-shelf instability. Surface meltwater systems have been identified across numerous Antarctic ice shelves, although the extent to which these systems impact ice-shelf instability is poorly constrained. To better understand the role of surface meltwater systems on ice shelves, it is important to track their seasonal development, monitoring the fluctuations in surface water volume and the transfer of water across ice-shelf surfaces. Here, we use Landsat 8 and Sentinel-2 imagery to track surface meltwater across the Nivlisen Ice Shelf in the 2016-2017 melt season. We develop the Fully Automated Supraglacial-Water Tracking algorithm for Ice Shelves (FASTISh) and use it to identify and track the development of 1598 water bodies, which we classify as either circular or linear. The total volume of surface meltwater peaks on 26 January 2017 at 5.5 x 10(7) m(3). At this time, 63 % of the total volume is held within two linear surface meltwater systems, which are up to 27 km long, are orientated along the ice shelf's north-south axis, and follow the surface slope. Over the course of the melt season, they appear to migrate away from the grounding line, while growing in size and enveloping smaller water bodies. This suggests there is large-scale lateral water transfer through the surface meltwater system and the firn pack towards the ice-shelf front during the summer.</t>
  </si>
  <si>
    <t>[Dell, Rebecca; Arnold, Neil; Willis, Ian; Banwell, Alison; Williamson, Andrew] Scott Polar Res Inst, Lensfield Rd, Cambridge CB2 1ER, England; [Dell, Rebecca; Pritchard, Hamish; Orr, Andrew] British Antarctic Survey, Madingley Rd, Cambridge CB3 0ET, England; [Banwell, Alison] Univ Colorado, Cooperat Inst Res Environm Sci, Boulder, CO 80309 USA</t>
  </si>
  <si>
    <t>University of Cambridge; UK Research &amp; Innovation (UKRI); Natural Environment Research Council (NERC); NERC British Antarctic Survey; University of Colorado System; University of Colorado Boulder</t>
  </si>
  <si>
    <t>Dell, R (corresponding author), Scott Polar Res Inst, Lensfield Rd, Cambridge CB2 1ER, England.;Dell, R (corresponding author), British Antarctic Survey, Madingley Rd, Cambridge CB3 0ET, England.</t>
  </si>
  <si>
    <t>rld46@cam.ac.uk</t>
  </si>
  <si>
    <t>Banwell, Alison/W-8180-2018; Arnold, Neil/AAI-2272-2021; Pritchard, Hamish Daniel/AAU-4696-2021</t>
  </si>
  <si>
    <t>Banwell, Alison/0000-0001-9545-829X; Dell, Rebecca/0000-0001-6617-3906; Willis, Ian/0000-0002-0750-7088; Arnold, Neil/0000-0001-7538-3999</t>
  </si>
  <si>
    <t>Natural Environment Research Council [NE/L002507/1, G102130]; US National Science Foundation [1841607]; CIRES Visiting Postdoctoral Fellowship; NERC [NE/T006234/1, bas0100032, bas0100034] Funding Source: UKRI</t>
  </si>
  <si>
    <t>Natural Environment Research Council(UK Research &amp; Innovation (UKRI)Natural Environment Research Council (NERC)); US National Science Foundation(National Science Foundation (NSF)); CIRES Visiting Postdoctoral Fellowship; NERC(UK Research &amp; Innovation (UKRI)Natural Environment Research Council (NERC))</t>
  </si>
  <si>
    <t>This research has been supported by the Natural Environment Research Council Doctoral Training Partnership Studentship (CASE with the British Antarctic Survey) awarded to Rebecca Dell (grant no. NE/L002507/1) and a grant awarded to Ian Willis (grant no. G102130). It has also been supported by the US National Science Foundation grant (grant no. 1841607) and a CIRES Visiting Postdoctoral Fellowship, both awarded to Alison Banwell.</t>
  </si>
  <si>
    <t>10.5194/tc-14-2313-2020</t>
  </si>
  <si>
    <t>MT4RH</t>
  </si>
  <si>
    <t>Green Submitted, Green Accepted, gold</t>
  </si>
  <si>
    <t>WOS:000554959100002</t>
  </si>
  <si>
    <t>Oses-Pedraza, R; Torres-Díaz, C; Lavín, P; Retamales-Molina, P; Atala, C; Gallardo-Cerda, J; Acuña-Rodríguez, IS; Molina-Montenegro, MA</t>
  </si>
  <si>
    <t>Oses-Pedraza, Romulo; Torres-Diaz, Cristian; Lavin, Paris; Retamales-Molina, Patricio; Atala, Cristian; Gallardo-Cerda, Jorge; Acuna-Rodriguez, Ian S.; Molina-Montenegro, Marco A.</t>
  </si>
  <si>
    <t>Root endophytic Penicillium promotes growth of Antarctic vascular plants by enhancing nitrogen mineralization</t>
  </si>
  <si>
    <t>Endophytes; Antarctic vascular plants; Penicillium; Growth; Nitrogen; Mineralization</t>
  </si>
  <si>
    <t>FUNGAL ENDOPHYTES; DARK-SEPTATE; DESCHAMPSIA-ANTARCTICA; COLOBANTHUS-QUITENSIS; DIVERSITY; SOIL; TEMPERATURE; LIFE; ECOLOGY; COMMUNITIES</t>
  </si>
  <si>
    <t>Fungal endophyte associations have been suggested as a possible strategy of Antarctic vascular plants for surviving the extreme environmental conditions of Antarctica. However, the mechanisms by which this occurs are still poorly understood. The role of root fungal endophytes in nitrogen mineralization and nutrient uptake, as well as their impact on the performance of Antarctic plants, were studied. We tested root endophytes, isolated fromColobanthus quitensisandDeschampsia antarctica, for lignocellulolytic enzyme production, nitrogen mineralization, and growth enhancement of their host plants.Penicillium chrysogenumandPenicillium brevicompactumwere identified using a molecular approach as the main root endophytes inhabitingC. quitensisandD. antarctica, respectively. Both root endophytes were characterized as psychrophilic fungi displaying amylase, esterase, protease, cellulase, hemicellulase, phosphatase and urease enzymatic activities, mainly at 4 degrees C. Moreover, the rates and percentages of nitrogen mineralization, as well as the final total biomass, were significantly higher in symbioticC. quitensisandD. antarcticaindividuals. Our findings suggest that root endophytes exert a pivotal ecological role based not only to breakdown different nutrient sources but also on accelerating nitrogen mineralization, improving nutrient acquisition, and therefore promoting plant growth in Antarctic terrestrial ecosystems.</t>
  </si>
  <si>
    <t>[Oses-Pedraza, Romulo] Univ Atacama UDA, Ctr Reg Invest &amp; Desarrollo Sustentable Atacama C, Vicerrectoria Invest &amp; Postgrad VRIP, Ave Copayapu 485, Copiapo, Chile; [Oses-Pedraza, Romulo; Molina-Montenegro, Marco A.] Univ Catolica Norte, Fac Ciencias Mar, Ctr Estudios Avanzados Zonas Aridas CEAZA, Larrondo 1281, Coquimbo, Chile; [Torres-Diaz, Cristian] Univ Bio Bio, Dept Ciencias Nat, Lab Genom &amp; Biodiversidad LGB, Chillan, Chile; [Lavin, Paris] Univ Antofagasta, Dept Biotecnol, Fac Ciencias Mar &amp; Recursos Biol, Antofagasta, Chile; [Lavin, Paris] Univ Antofagasta, Lab Complejidad Microbiana &amp; Ecol Func, Inst Antofagasta, Antofagasta, Chile; [Retamales-Molina, Patricio] Univ Diego Portales UDP, Fac Med, Lab Bacteriol Mol, Republ 239, Santiago, Chile; [Atala, Cristian] Pontificia Univ Catolica Valparaiso, Fac Ciencias, Inst Biol, Lab Anat &amp; Ecol Func Plantas AEF, Campus Curauma, Valparaiso, Chile; [Gallardo-Cerda, Jorge; Acuna-Rodriguez, Ian S.; Molina-Montenegro, Marco A.] Univ Talca, Inst Ciencias Biol, Ctr Ecol Mol &amp; Aplicac Evolut Agroecosistemas CEM, Campus Talca,Avda Lircay S-N, Talca, Chile; [Molina-Montenegro, Marco A.] Univ Talca, Res Program Adaptat Agr Climate Change PIEI A2C2, Talca, Region Del Maul, Chile; [Molina-Montenegro, Marco A.] Univ Catol Maule, Centro Invest Estudios Avanzados Maule CIEAM, Talca, Chile</t>
  </si>
  <si>
    <t>Universidad Catolica del Norte; Universidad del Bio-Bio; Universidad de Antofagasta; Universidad de Antofagasta; Pontificia Universidad Catolica de Valparaiso; Universidad de Talca; Universidad de Talca; Universidad Catolica del Maule</t>
  </si>
  <si>
    <t>Oses-Pedraza, R (corresponding author), Univ Atacama UDA, Ctr Reg Invest &amp; Desarrollo Sustentable Atacama C, Vicerrectoria Invest &amp; Postgrad VRIP, Ave Copayapu 485, Copiapo, Chile.;Oses-Pedraza, R (corresponding author), Univ Catolica Norte, Fac Ciencias Mar, Ctr Estudios Avanzados Zonas Aridas CEAZA, Larrondo 1281, Coquimbo, Chile.</t>
  </si>
  <si>
    <t>romulo.oses@uda.cl</t>
  </si>
  <si>
    <t>Lavin, Paris/HPH-3612-2023</t>
  </si>
  <si>
    <t>Lavin, Paris/0000-0002-8893-526X; Oses-Pedraza, Romulo/0000-0003-2310-3339; Torres Diaz, Cristian/0000-0002-5741-5288; Atala, Cristian/0000-0003-1337-9534</t>
  </si>
  <si>
    <t>National Fund for Scientific and Technological Development, FONDECYT [3140279]; Chilean Antarctic Institute (INACH) [INACH G22-11]</t>
  </si>
  <si>
    <t>National Fund for Scientific and Technological Development, FONDECYT(Comision Nacional de Investigacion Cientifica y Tecnologica (CONICYT)CONICYT FONDECYT); Chilean Antarctic Institute (INACH)</t>
  </si>
  <si>
    <t>We thank Chilean Antarctic Institute (INACH), the Chilean Navy (AP-41 Aquiles and AP-46 Almirante Oscar Viel), and the Arctowski Polish Antarctic Station for their logistical support. We want to thank C. Fardella and M.A. Montoya for his valuable help in the lab and growth chamber experiments. This work was supported by The National Fund for Scientific and Technological Development, FONDECYT Postdoctoral Grant No 3140279, and the INACH G22-11 Grant of Chilean Antarctic Institute (INACH). This work is dedicated to Professor Hugo I. Moyano dagger (October 2014), Zoology Department, University of Concepcion for his contribution to Chilean Antarctic Research and to the memory of Dr. Jaime Rodriguez G. dagger, Director of Center of Biotechnology, University of Concepcion (February 2017).</t>
  </si>
  <si>
    <t>10.1007/s00792-020-01189-7</t>
  </si>
  <si>
    <t>WOS:000551351700001</t>
  </si>
  <si>
    <t>Prates, L; Politis, GG; Perez, SI</t>
  </si>
  <si>
    <t>Prates, Luciano; Politis, Gustavo G.; Ivan Perez, S.</t>
  </si>
  <si>
    <t>Rapid radiation of humans in South America after the last glacial maximum: A radiocarbon-based study</t>
  </si>
  <si>
    <t>PLOS ONE</t>
  </si>
  <si>
    <t>INFERRING EXTINCTION; CONFIDENCE-INTERVALS; POPULATION; COLONIZATION; DEMOGRAPHY; SITE; TIME; DISTRIBUTIONS; DISPERSAL</t>
  </si>
  <si>
    <t>The early peopling of the Americas has been one of the most hotly contested topics in American anthropology and a research issue that draws archaeologists into a multidisciplinary debate. In South America, although the background data on this issue has increased exponentially in recent decades, the core questions related to the temporal and spatial patterns of the colonization process remain open. In this paper we tackle these questions in the light of the quantitative analysis of a screened radiocarbon database of more than 1600 early dates. We explore the frequency of radiocarbon dates as proxies for assessing population growth; and define a reliable and statistically well supported lower chronological bound (not to the exact date) for the earliest human arrival. Our results suggest that the earliest chronological threshold for the peopling of South America should be between 16,600 and 15,100, with a mean estimated date similar to 15,500 cal BP (post Last Glacial Maximum). Population would have grown until the end of Antarctic Cold Reversal stadia) similar to 12,500 cal BP at the time of the main extinctions of megafauna-, when the increase rate slows, probably as a result of the changes that occurred in the trophic niche of humans.</t>
  </si>
  <si>
    <t>[Prates, Luciano; Politis, Gustavo G.; Ivan Perez, S.] Consejo Nacl Invest Cient &amp; Tecn, Buenos Aires, DF, Argentina; [Prates, Luciano] Univ Nacl La Plata, Fac Ciencias Nat &amp; Museo, Div Arqueol, La Plata, Argentina; [Politis, Gustavo G.] Univ Nacl Ctr Prov Buenos Aires, Inst Invest Arqueol &amp; Paleontol Cuaternario Pampe, Olavarria, Argentina; [Ivan Perez, S.] Univ Nacl La Plata, Fac Ciencias Nat &amp; Museo, Div Antropol, La Plata, Argentina</t>
  </si>
  <si>
    <t>Consejo Nacional de Investigaciones Cientificas y Tecnicas (CONICET); National University of La Plata; Museo La Plata; Comision Nacional de Energia Atomica (CNEA); National University of La Plata; Museo La Plata</t>
  </si>
  <si>
    <t>Prates, L (corresponding author), Consejo Nacl Invest Cient &amp; Tecn, Buenos Aires, DF, Argentina.;Prates, L (corresponding author), Univ Nacl La Plata, Fac Ciencias Nat &amp; Museo, Div Arqueol, La Plata, Argentina.</t>
  </si>
  <si>
    <t>lprates@fcnym.unlp.edu.ar</t>
  </si>
  <si>
    <t>Center for the Evolution of Cultural Diversity; Institute of Archaeology, University College London (UK) [A008]; PUE-CONICET 2017-2021 Ajuste cronologico de los procesos de continuidad y cambio en las sociedades indigenas del centroeste de Argentina</t>
  </si>
  <si>
    <t>Center for the Evolution of Cultural Diversity; Institute of Archaeology, University College London (UK); PUE-CONICET 2017-2021 Ajuste cronologico de los procesos de continuidad y cambio en las sociedades indigenas del centroeste de Argentina</t>
  </si>
  <si>
    <t>Funding for the building of the database of this paper was provided by the Center for the Evolution of Cultural Diversity. Institute of Archaeology, University College London (UK); Project Early population history of the Americas (#A008). In addition, the research for this article received funds from PUE-CONICET 2017-2021 Ajuste cronologico de los procesos de continuidad y cambio en las sociedades indigenas del centroeste de Argentina.The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</si>
  <si>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</si>
  <si>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</si>
  <si>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</si>
  <si>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</si>
  <si>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</si>
  <si>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e0236023</t>
  </si>
  <si>
    <t>10.1371/journal.pone.0236023</t>
  </si>
  <si>
    <t>MU0WZ</t>
  </si>
  <si>
    <t>WOS:000555392700025</t>
  </si>
  <si>
    <t>Stevens, C; Hulbe, C; Brewer, M; Stewart, C; Robinson, N; Ohneiser, C; Jendersie, S</t>
  </si>
  <si>
    <t>Stevens, Craig; Hulbe, Christina; Brewer, Mike; Stewart, Craig; Robinson, Natalie; Ohneiser, Christian; Jendersie, Stefan</t>
  </si>
  <si>
    <t>Ocean mixing and heat transport processes observed under the Ross Ice Shelf control its basal melting</t>
  </si>
  <si>
    <t>PROCEEDINGS OF THE NATIONAL ACADEMY OF SCIENCES OF THE UNITED STATES OF AMERICA</t>
  </si>
  <si>
    <t>ice shelf cavity; ocean mixing; interleaving; basal melting; Antarctic oceanography</t>
  </si>
  <si>
    <t>PINE ISLAND GLACIER; CIRCULATION; ANTARCTICA; DRIVEN; SURFACE; BENEATH; TEMPERATURE; VARIABILITY; SHELF/OCEAN; THICKNESS</t>
  </si>
  <si>
    <t>The stability of large Antarctic ice shelves has important implications for global sea level, sea ice area, and ocean circulation. A significant proportion of ice mass loss from these ice shelves is through ocean-driven melting which is controlled by largely unobserved oceanic thermodynamic and circulatory processes in the cavity beneath the ice shelf. Here we use direct measurements to provide evidence of the changing water column structure in the cavity beneath the Ross Ice Shelf, the planet's largest ice shelf by area. The cavity water column data exhibit both basal and benthic boundary layers, along with evidence of tidally modulated and diffusively convecting internal mixing processes. A region of thermohaline interleaving in the upper-middle water column indicates elevated diffusion and the potential to modify the cavity circulation. The measurements were recorded using the Aotearoa New Zealand Ross Ice Shelf Program hot water drill borehole melted in the central region of the shelf in December 2017 (HWD2), only the second borehole through the central region of the ice shelf, following J9 in 1977. These data, and comparison with the 1977 data, provide valuable insight into ice shelf cavity circulation and aid understanding of the evolution of the presently stable Ross Ice Shelf.</t>
  </si>
  <si>
    <t>[Stevens, Craig; Brewer, Mike; Stewart, Craig; Robinson, Natalie] New Zealand Natl Inst Water &amp; Atmospher Res, Ocean Dynam Grp, Wellington 6241, New Zealand; [Stevens, Craig] Univ Auckland, Dept Phys, Auckland 1010, New Zealand; [Hulbe, Christina] Univ Otago, Dept Surveying, Dunedin 9016, New Zealand; [Ohneiser, Christian] Univ Otago, Dept Geol, Dunedin 9054, New Zealand; [Jendersie, Stefan] Victoria Univ Wellington, Antarctic Res Ctr, Wellington 6140, New Zealand</t>
  </si>
  <si>
    <t>National Institute of Water &amp; Atmospheric Research (NIWA) - New Zealand; University of Auckland; University of Otago; University of Otago; Victoria University Wellington</t>
  </si>
  <si>
    <t>Stevens, C (corresponding author), New Zealand Natl Inst Water &amp; Atmospher Res, Ocean Dynam Grp, Wellington 6241, New Zealand.;Stevens, C (corresponding author), Univ Auckland, Dept Phys, Auckland 1010, New Zealand.</t>
  </si>
  <si>
    <t>craig.stevens@niwa.co.nz</t>
  </si>
  <si>
    <t>Jendersie, Stefan/HKW-3913-2023</t>
  </si>
  <si>
    <t>Ohneiser, Christian/0000-0002-2781-2522; Stevens, Craig/0000-0002-4730-6985; Hulbe, Christina/0000-0003-4765-7037; Jendersie, Stefan/0000-0002-8658-3184</t>
  </si>
  <si>
    <t>New Zealand Antarctic Research Institute; New Zealand National Institute of Water and Atmospheric Research; Deep South National Science Challenge; Antarctic Science Platform</t>
  </si>
  <si>
    <t>This research was facilitated by the New Zealand Antarctic Research Institute funded Aotearoa New Zealand Ross Ice Shelf Programme and the Victoria University of Wellington Hot Water Drilling initiative. We thank the Victoria University of Wellington Hot Water Drilling Team led by Alex Pyne and Darcy Mendeno. Jeff Dunne, Lana Hastie, and Kurt Roberts made it possible to work at camp. Dan Lowry, Gavin Dunbar, and Gary Wilson provided field assistance and invaluable discussions. Brett Grant, Pete de Joux, and Nick Eaton developed and mobilized the instrumentation. Logistics support and flights were provided by Antarctica New Zealand and Kenn Borek Air. Additional support was provided by New Zealand National Institute of Water and Atmospheric Research Strategic Science Investment Funding, the Deep South National Science Challenge, and the Antarctic Science Platform. We thank two anonymous reviewers for their constructive comments on an earlier draft of this work.</t>
  </si>
  <si>
    <t>NATL ACAD SCIENCES</t>
  </si>
  <si>
    <t>2101 CONSTITUTION AVE NW, WASHINGTON, DC 20418 USA</t>
  </si>
  <si>
    <t>0027-8424</t>
  </si>
  <si>
    <t>P NATL ACAD SCI USA</t>
  </si>
  <si>
    <t>Proc. Natl. Acad. Sci. U. S. A.</t>
  </si>
  <si>
    <t>JUL 21</t>
  </si>
  <si>
    <t>10.1073/pnas.1910760117</t>
  </si>
  <si>
    <t>MX8BZ</t>
  </si>
  <si>
    <t>WOS:000557946500018</t>
  </si>
  <si>
    <t>Cornford, SL; Seroussi, H; Asay-Davis, XS; Gudmundsson, GH; Arthern, R; Borstad, C; Christmann, J; dos Santos, TD; Feldmann, J; Goldberg, D; Hoffman, MJ; Humbert, A; Kleiner, T; Leguy, G; Lipscomb, WH; Merino, N; Durand, G; Morlighem, M; Pollard, D; Rückamp, M; Williams, CR; Yu, HJ</t>
  </si>
  <si>
    <t>Cornford, Stephen L.; Seroussi, Helene; Asay-Davis, Xylar S.; Gudmundsson, G. Hilmar; Arthern, Rob; Borstad, Chris; Christmann, Julia; dos Santos, Thiago Dias; Feldmann, Johannes; Goldberg, Daniel; Hoffman, Matthew J.; Humbert, Angelika; Kleiner, Thomas; Leguy, Gunter; Lipscomb, William H.; Merino, Nacho; Durand, Gael; Morlighem, Mathieu; Pollard, David; Rueckamp, Martin; Williams, C. Rosie; Yu, Hongju</t>
  </si>
  <si>
    <t>Results of the third Marine Ice Sheet Model Intercomparison Project (MISMIP plus )</t>
  </si>
  <si>
    <t>FULL-STOKES MODEL; GROUNDING-LINE; HIGHER-ORDER; BASAL FRICTION; ADAPTIVE MESH; FLOW; GLACIER; PERFORMANCE; APPROXIMATION; SIMULATIONS</t>
  </si>
  <si>
    <t>We present the result of the third Marine Ice Sheet Model Intercomparison Project, MISMIP+. MISMIP+ is intended to be a benchmark for ice-flow models which include fast sliding marine ice streams and floating ice shelves and in particular a treatment of viscous stress that is sufficient to model buttressing, where upstream ice flow is restrained by a downstream ice shelf. A set of idealized experiments first tests that models are able to maintain a steady state with the grounding line located on a retrograde slope due to buttressing and then explore scenarios where a reduction in that buttressing causes ice stream acceleration, thinning, and grounding line retreat. The majority of participating models passed the first test and then produced similar responses to the loss of buttressing. We find that the most important distinction between models in this particular type of simulation is in the treatment of sliding at the bed, with other distinctions - notably the difference between the simpler and more complete treatments of englacial stress but also the differences between numerical methods - taking a secondary role.</t>
  </si>
  <si>
    <t>[Cornford, Stephen L.] Swansea Univ, Ctr Polar Observat &amp; Modelling, Dept Geog, Swansea, W Glam, Wales; [Seroussi, Helene] CALTECH, Jet Prop Lab, Pasadena, CA USA; [Asay-Davis, Xylar S.; Hoffman, Matthew J.] Los Alamos Natl Lab, Los Alamos, NM USA; [Gudmundsson, G. Hilmar] Northumbria Univ, Fac Engn &amp; Environm, Newcastle Upon Tyne, Tyne &amp; Wear, England; [Arthern, Rob; Williams, C. Rosie] British Antarctic Survey, Cambridge, England; [Borstad, Chris] Montana State Univ, Dept Civil Engn, Bozeman, MT 59717 USA; [Christmann, Julia; Humbert, Angelika; Kleiner, Thomas; Rueckamp, Martin] Alfred Wegener Inst Polar &amp; Marine Res, Bremerhaven, Germany; [dos Santos, Thiago Dias; Morlighem, Mathieu; Yu, Hongju] Univ Calif Irvine, Dept Earth Syst Sci, Irvine, CA USA; [dos Santos, Thiago Dias] Univ Fed Rio Grande do Sul, Ctr Polar &amp; Climat, Porto Alegre, RS, Brazil; [Feldmann, Johannes] Potsdam Inst Climate Impact Res, Potsdam, Germany; [Goldberg, Daniel] Univ Edinburgh, Inst Geog, Edinburgh, Midlothian, Scotland; [Humbert, Angelika] Univ Bremen, Fac Geosci, Bremen, Germany; [Leguy, Gunter; Lipscomb, William H.] Natl Ctr Atmospher Res, Climate &amp; Global Dynam Lab, POB 3000, Boulder, CO 80307 USA; [Merino, Nacho; Durand, Gael] Univ Grenoble Alpes, IGE, CNRS, IRD, Grenoble, France; [Pollard, David] Penn State Univ, Earth &amp; Environm Syst Inst, University Pk, PA 16802 USA</t>
  </si>
  <si>
    <t>Swansea University; National Aeronautics &amp; Space Administration (NASA); NASA Jet Propulsion Laboratory (JPL); California Institute of Technology; United States Department of Energy (DOE); Los Alamos National Laboratory; Northumbria University; UK Research &amp; Innovation (UKRI); Natural Environment Research Council (NERC); NERC British Antarctic Survey; Montana State University System; Montana State University Bozeman; Helmholtz Association; Alfred Wegener Institute, Helmholtz Centre for Polar &amp; Marine Research; University of California System; University of California Irvine; Universidade Federal do Rio Grande do Sul; Potsdam Institut fur Klimafolgenforschung; University of Edinburgh; University of Bremen; National Center Atmospheric Research (NCAR) - USA; Centre National de la Recherche Scientifique (CNRS); Institut de Recherche pour le Developpement (IRD); Communaute Universite Grenoble Alpes; Universite Grenoble Alpes (UGA); Pennsylvania Commonwealth System of Higher Education (PCSHE); Pennsylvania State University; Pennsylvania State University - University Park</t>
  </si>
  <si>
    <t>Cornford, SL (corresponding author), Swansea Univ, Ctr Polar Observat &amp; Modelling, Dept Geog, Swansea, W Glam, Wales.</t>
  </si>
  <si>
    <t>s.l.cornford@swansea.ac.uk</t>
  </si>
  <si>
    <t>Seroussi, Helene/AAX-5342-2021; Gudmundsson, Gudmundur Hilmar/AAU-5987-2020; Kleiner, Thomas/F-6821-2015; Lipscomb, William/AAR-8668-2021; Morlighem, Mathieu/O-9942-2014</t>
  </si>
  <si>
    <t>Seroussi, Helene/0000-0001-9201-1644; Gudmundsson, Gudmundur Hilmar/0000-0003-4236-5369; Kleiner, Thomas/0000-0001-7825-5765; Morlighem, Mathieu/0000-0001-5219-1310; Asay-Davis, Xylar/0000-0002-1990-892X; Ruckamp, Martin/0000-0003-2512-7238; Feldmann, Johannes/0000-0003-4210-0221; Humbert, Angelika/0000-0002-0244-8760; Santos, Thiago/0000-0001-8257-1314; Cornford, Stephen/0000-0003-1844-274X</t>
  </si>
  <si>
    <t>German Federal Ministry of Education and Research (BMBF) as the Research for Sustainability initiative (FONA) [FKZ: 01LP1511B]; Scientific Discovery through Advanced Computing (SciDAC) program; Energy Exascale Earth System Model (E3SM) project - the U.S. Department of Energy (DOE), Office of Science, Biological and Environmental Research program; Energy Exascale Earth System Model (E3SM) project - the U.S. Department of Energy (DOE), Office of Science, Advanced Scientific Computing Research program; Office of Science of the U.S. Department of Energy [DE-AC02-05CH11231]; U.S. Department of Energy National Nuclear Security Administration [DE-AC5206NA25396]; National Center for Atmospheric Research - National Science Foundation [1852977]; NERC [NE/L005212/1, bas0100034, NE/S006745/1, cpom30001, NE/T009470/1] Funding Source: UKRI; Natural Environment Research Council [NE/L005212/1] Funding Source: researchfish</t>
  </si>
  <si>
    <t>German Federal Ministry of Education and Research (BMBF) as the Research for Sustainability initiative (FONA)(Federal Ministry of Education &amp; Research (BMBF)); Scientific Discovery through Advanced Computing (SciDAC) program; Energy Exascale Earth System Model (E3SM) project - the U.S. Department of Energy (DOE), Office of Science, Biological and Environmental Research program(United States Department of Energy (DOE)); Energy Exascale Earth System Model (E3SM) project - the U.S. Department of Energy (DOE), Office of Science, Advanced Scientific Computing Research program(United States Department of Energy (DOE)); Office of Science of the U.S. Department of Energy(United States Department of Energy (DOE)); U.S. Department of Energy National Nuclear Security Administration(National Nuclear Security AdministrationUnited States Department of Energy (DOE)); National Center for Atmospheric Research - National Science Foundation; NERC(UK Research &amp; Innovation (UKRI)Natural Environment Research Council (NERC)); Natural Environment Research Council(UK Research &amp; Innovation (UKRI)Natural Environment Research Council (NERC))</t>
  </si>
  <si>
    <t>The work of Thomas Kleiner has been conducted in the framework of the PalMod project (FKZ: 01LP1511B), supported by the German Federal Ministry of Education and Research (BMBF) as the Research for Sustainability initiative (FONA). Support for Matthew Hoffman and the MALI model was provided through the Scientific Discovery through Advanced Computing (SciDAC) program and the Energy Exascale Earth System Model (E3SM) project funded by the U.S. Department of Energy (DOE), Office of Science, Biological and Environmental Research, and Advanced Scientific Computing Research programs. This research used resources of the National Energy Research Scientific Computing Center, a DOE Office of Science user facility supported by the Office of Science of the U.S. Department of Energy under contract DE-AC02-05CH11231, and resources provided by the Los Alamos National Laboratory Institutional Computing Program, which is supported by the U.S. Department of Energy National Nuclear Security Administration under contract DE-AC5206NA25396. The material provided for the CISM model is based upon work supported by the National Center for Atmospheric Research, which is a major facility sponsored by the National Science Foundation under cooperative agreement no. 1852977.</t>
  </si>
  <si>
    <t>10.5194/tc-14-2283-2020</t>
  </si>
  <si>
    <t>MP5WA</t>
  </si>
  <si>
    <t>WOS:000552273400002</t>
  </si>
  <si>
    <t>Min, SK; Kim, JE; Hong, JM; Yim, JH; Park, H; Youn, UJ; Han, SJ; Kim, I</t>
  </si>
  <si>
    <t>Min, Seul Ki; Kim, Jung Eun; Hong, Ju-Mi; Yim, Joung Han; Park, Hyun; Youn, Ui Joung; Han, Se Jong; Kim, Il-Chan</t>
  </si>
  <si>
    <t>Anti-inflammatory Effects of Lecania gerlachei Extract Collected from the Antarctic King Sejong Island</t>
  </si>
  <si>
    <t>BIOTECHNOLOGY AND BIOPROCESS ENGINEERING</t>
  </si>
  <si>
    <t>Lecania gerlachei; lichens; Antarctica; antiinflammatory properties; nuclear factor kappa B (NF-kappa B) pathway</t>
  </si>
  <si>
    <t>FRESH-WATER MICROALGA; NF-KAPPA-B; ETHANOL EXTRACT; NITRIC-OXIDE; CORTICOSTEROIDS; RAMALIN; DRUGS; ALPHA</t>
  </si>
  <si>
    <t>Chronic inflammation is the cause of various diseases such as rheumatoid arthritis and asthma, with a large number of people suffering from them. There have been many reports that even link cancer to inflammation, so the development of sophisticated and powerful drugs continues to be in demand. Here we demonstrate that the methanol extract of Lecania gerlachei(LGME), a lichen member found in the extreme Antarctic environment, exhibits anti-inflammatory activities. Treatment of lipopoly-saccharide (LPS) stimulated Raw 264.7 murine macrophage cells with LGME reduced nitric oxide (NO) immune modulator production, and also down-regulated inducible nitric oxide synthase (iNOS), pro-inflammatory interleukin 6, 1 beta and 1 alpha (IL-6, IL-1 beta and IL-1 alpha), and tumor necrosis factor alpha (TNF-alpha) at both transcript and protein levels, in a concentration dependent manner. Furthermore, it was found that these effects were mediated by nuclear factor kappa B (NF-kappa B) signaling inhibition. Thus, our findings may contribute towards the development of novel inflammatory drugs.</t>
  </si>
  <si>
    <t>[Min, Seul Ki; Kim, Jung Eun; Hong, Ju-Mi; Yim, Joung Han; Youn, Ui Joung; Han, Se Jong; Kim, Il-Chan] Korea Polar Res Inst, Div Polar Life Sci, Incheon 21990, South Korea; [Kim, Jung Eun] Sungkyunkwan Univ, Sch Pharm, Suwon 16419, South Korea; [Park, Hyun] Korea Univ, Coll Life Sci &amp; Biotechnol, Div Biotechnol, Seoul 02841, South Korea</t>
  </si>
  <si>
    <t>Korea Polar Research Institute (KOPRI); Sungkyunkwan University (SKKU); Korea University</t>
  </si>
  <si>
    <t>Kim, I (corresponding author), Korea Polar Res Inst, Div Polar Life Sci, Incheon 21990, South Korea.</t>
  </si>
  <si>
    <t>ickim@kopri.re.kr</t>
  </si>
  <si>
    <t>Park, Hyun/0000-0002-8055-2010</t>
  </si>
  <si>
    <t>Korea Polar Research Institute (KOPRI) of the Republic of Korea [PE19100]</t>
  </si>
  <si>
    <t>Korea Polar Research Institute (KOPRI) of the Republic of Korea(Korea Polar Research Institute of Marine Research Placement (KOPRI))</t>
  </si>
  <si>
    <t>This work was supported by the Korea Polar Research Institute (KOPRI) of the Republic of Korea, under project PE19100.</t>
  </si>
  <si>
    <t>KOREAN SOC BIOTECHNOLOGY &amp; BIOENGINEERING</t>
  </si>
  <si>
    <t>SEOUL</t>
  </si>
  <si>
    <t>KOREAN SCIENCE TECHNOLOGY CENTER, #704 YEOGSAM-DONG, KANGNAM-KU, SEOUL 135-703, SOUTH KOREA</t>
  </si>
  <si>
    <t>1226-8372</t>
  </si>
  <si>
    <t>1976-3816</t>
  </si>
  <si>
    <t>BIOTECHNOL BIOPROC E</t>
  </si>
  <si>
    <t>Biotechnol. Bioprocess Eng.</t>
  </si>
  <si>
    <t>10.1007/s12257-019-0371-4</t>
  </si>
  <si>
    <t>Biotechnology &amp; Applied Microbiology</t>
  </si>
  <si>
    <t>NI2ZY</t>
  </si>
  <si>
    <t>WOS:000550999700001</t>
  </si>
  <si>
    <t>Cimino, MA; Santora, JA; Schroeder, I; Sydeman, W; Jacox, MG; Hazen, EL; Bograd, SJ</t>
  </si>
  <si>
    <t>Cimino, Megan A.; Santora, Jarrod A.; Schroeder, Isaac; Sydeman, William; Jacox, Michael G.; Hazen, Elliott L.; Bograd, Steven J.</t>
  </si>
  <si>
    <t>Essential krill species habitat resolved by seasonal upwelling and ocean circulation models within the large marine ecosystem of the California Current System</t>
  </si>
  <si>
    <t>ECOGRAPHY</t>
  </si>
  <si>
    <t>BRTs; data-assimilation; ocean models; ROMS; species distribution model; the Blob</t>
  </si>
  <si>
    <t>EUPHAUSIA-PACIFICA; POPULATION BIOLOGY; ROCKFISH SEBASTES; TROPHIC TRANSFER; ANTARCTIC KRILL; CENTRAL OREGON; LIFE-HISTORY; NINA EVENTS; CLIMATE; ZOOPLANKTON</t>
  </si>
  <si>
    <t>Due to their global distribution, high biomass and energy content, euphausiids (krill) are important prey for many mid and upper trophic level marine organisms. Understanding drivers of krill habitat is essential for forecasting range shifts, and to better understand the response of krill predators to climate change. We hypothesized that the distribution and abundance of krill species derived from ecosystem surveys in spring/summer relates to geomorphic features, coastal upwelling during the preceding winter, and spring mesoscale oceanographic conditions. To test this hypothesis, we used boosted regression trees with environmental data and ocean model output to quantify the habitat associations of two primary krill species (Euphausia pacificaandThysanoessa spinifera) in the central California Current Ecosystem from 2002 to 2018. Models confirmed the neritic distribution of T. spiniferaand pelagic, outer slope association of E. pacifica(deviance explained similar to 35%). Distribution of these species were influenced by depth and bottom rugosity; chlorophyll-a concentrations and increased winter upwelling conditions; and spring surface currents and wind stress. Thysanoessa spiniferaand E. pacifica-abundance responded negatively (positively) to warm (cold) climate events, confirming known relationships. As an independent evaluation of krill models, observations of krill predator (seabirds, marine mammals) distribution indicated they were present within habitats of predicted high krill species abundance. Our framework indicates species-specific habitat relationships for these foundational forage species and their negative response to large-scale climate variations, such as El Nino and marine heatwave conditions. The approach can be easily transferred to other ecosystems or krill species that respond to similar ocean and climate forcing.</t>
  </si>
  <si>
    <t>[Cimino, Megan A.; Schroeder, Isaac; Jacox, Michael G.; Hazen, Elliott L.; Bograd, Steven J.] Univ Calif Santa Cruz, Inst Marine Sci, Santa Cruz, CA 95064 USA; [Cimino, Megan A.; Schroeder, Isaac; Jacox, Michael G.; Hazen, Elliott L.; Bograd, Steven J.] NOAA, Southwest Fisheries Sci Ctr, Environm Res Div, Monterey, CA USA; [Jacox, Michael G.] NOAA, Earth Syst Res Lab, Phys Sci Div, Boulder, CO USA; [Santora, Jarrod A.] Univ Calif Santa Cruz, Dept Appl Math, Santa Cruz, CA USA; [Sydeman, William] Farallon Inst, Petaluma, CA USA</t>
  </si>
  <si>
    <t>University of California System; University of California Santa Cruz; National Oceanic Atmospheric Admin (NOAA) - USA; National Oceanic Atmospheric Admin (NOAA) - USA; University of California System; University of California Santa Cruz</t>
  </si>
  <si>
    <t>Cimino, MA (corresponding author), Univ Calif Santa Cruz, Inst Marine Sci, Santa Cruz, CA 95064 USA.</t>
  </si>
  <si>
    <t>mecimino@ucsc.edu</t>
  </si>
  <si>
    <t>Bograd, Steven/AAA-4824-2021; Hazen, Elliott/G-4149-2014</t>
  </si>
  <si>
    <t>Hazen, Elliott/0000-0002-0412-7178; Jacox, Michael/0000-0003-3684-0717; Cimino, Megan/0000-0002-1715-2903</t>
  </si>
  <si>
    <t>National Aeronautics and Space Administration (NASA) [80NSSC17K0574]; NASA; U.S. Marine Biodiversity Observation Network (MBON) [80NSSC20M0001]</t>
  </si>
  <si>
    <t>National Aeronautics and Space Administration (NASA)(National Aeronautics &amp; Space Administration (NASA)); NASA(National Aeronautics &amp; Space Administration (NASA)); U.S. Marine Biodiversity Observation Network (MBON)</t>
  </si>
  <si>
    <t>JAS was supported by a grant from the National Aeronautics and Space Administration (NASA; 80NSSC17K0574). Additional support was provided from NASA and the U.S. Marine Biodiversity Observation Network (MBON; 80NSSC20M0001).</t>
  </si>
  <si>
    <t>0906-7590</t>
  </si>
  <si>
    <t>1600-0587</t>
  </si>
  <si>
    <t>Ecography</t>
  </si>
  <si>
    <t>10.1111/ecog.05204</t>
  </si>
  <si>
    <t>NU9GP</t>
  </si>
  <si>
    <t>WOS:000550570200001</t>
  </si>
  <si>
    <t>Stoessel, DJ; van Rooyen, AR; Beheregaray, LB; Raymond, SMC; van Wyk, B; Haddy, J; Lieschke, J; Weeks, AR</t>
  </si>
  <si>
    <t>Stoessel, Daniel J.; van Rooyen, Anthony R.; Beheregaray, Luciano B.; Raymond, Scott M. C.; van Wyk, Bryan; Haddy, James; Lieschke, Jason; Weeks, Andrew R.</t>
  </si>
  <si>
    <t>Population genetic structure of estuary perch (Percalates colonorum Gunther) in south-eastern Australia</t>
  </si>
  <si>
    <t>MARINE AND FRESHWATER RESEARCH</t>
  </si>
  <si>
    <t>conservation; fishery; genetic diversity; stocking; supplementation</t>
  </si>
  <si>
    <t>MACQUARIA-COLONORUM; F-STATISTICS; BASS; FISH; WILD; NOVEMACULEATA; INDIVIDUALS; SOFTWARE; ORIGIN; GROWTH</t>
  </si>
  <si>
    <t>Estuary perch (PercalatescolonorumGunther) is an estuary dependent fish native to south-eastern Australia that is in decline. There is an increasing emphasis on stocking the species. Understanding the genetic structure across its range is important for guiding optimal stocking strategies. A prior study found some evidence of population genetic structure; however, few genetic markers were used in that assessment. Here, we develop 21 novel polymorphic microsatellite markers to reassess population genetics. Analyses indicate three broad genetic clusters, with populations on mainland Australia exhibiting an isolation by distance pattern. The only known population from Tasmania is genetically and geographically isolated from mainland populations and has very low levels of genetic diversity. We provide recommendations for sourcing broodstock from mainland populations, including describing three broad areas for procuring and releasing broodstock and offspring. The markers and results reported here will prove invaluable for guiding and monitoring the outcomes of stocking and conservation activities.</t>
  </si>
  <si>
    <t>[Stoessel, Daniel J.; Raymond, Scott M. C.; Lieschke, Jason] Arthur Rylah Inst Environm Res, Dept Environm Land Water &amp; Planning, 123 Brown St, Heidelberg, Vic 3084, Australia; [van Rooyen, Anthony R.; Weeks, Andrew R.] Cesar Pty Ltd, 293 Royal Parade, Parkville, Vic 3052, Australia; [Beheregaray, Luciano B.] Flinders Univ S Australia, Coll Sci &amp; Engn, Mol Ecol Lab, Adelaide, SA 5042, Australia; [van Wyk, Bryan] Austral Fisheries, 4-53 Dutton St, Portsmith, Qld 4870, Australia; [Haddy, James] Univ Tasmania, Fisheries &amp; Aquaculture Ctr, Inst Marine &amp; Antarctic Studies, Launceston, Tas 7250, Australia; [Weeks, Andrew R.] Univ Melbourne, Sch BioSci, Bio21 Inst, 30 Flemington Rd, Parkville, Vic 3052, Australia</t>
  </si>
  <si>
    <t>Arthur Rylah Institute for Environmental Research (ARI); Flinders University South Australia; University of Tasmania; University of Melbourne</t>
  </si>
  <si>
    <t>Stoessel, DJ (corresponding author), Arthur Rylah Inst Environm Res, Dept Environm Land Water &amp; Planning, 123 Brown St, Heidelberg, Vic 3084, Australia.</t>
  </si>
  <si>
    <t>daniel.j.stoessel@delwp.vic.gov.au</t>
  </si>
  <si>
    <t>Weeks, Andrew/ABC-3048-2020; Beheregaray, Luciano/A-8621-2008; Beheregaray, Luciano/AAY-6384-2021</t>
  </si>
  <si>
    <t>Beheregaray, Luciano/0000-0003-0944-3003; Beheregaray, Luciano/0000-0003-0944-3003; Stoessel, Daniel/0000-0002-2140-7390; van Rooyen, Anthony Raymond Joseph/0000-0002-1221-7712; Weeks, Andrew/0000-0003-3081-135X</t>
  </si>
  <si>
    <t>East Gippsland Catchment Management Authority</t>
  </si>
  <si>
    <t>The authors thank the East Gippsland Catchment Management Authority for partially funding this project.</t>
  </si>
  <si>
    <t>CSIRO PUBLISHING</t>
  </si>
  <si>
    <t>CLAYTON</t>
  </si>
  <si>
    <t>UNIPARK, BLDG 1, LEVEL 1, 195 WELLINGTON RD, LOCKED BAG 10, CLAYTON, VIC 3168, AUSTRALIA</t>
  </si>
  <si>
    <t>1323-1650</t>
  </si>
  <si>
    <t>1448-6059</t>
  </si>
  <si>
    <t>MAR FRESHWATER RES</t>
  </si>
  <si>
    <t>Mar. Freshw. Res.</t>
  </si>
  <si>
    <t>10.1071/MF20024</t>
  </si>
  <si>
    <t>Fisheries; Limnology; Marine &amp; Freshwater Biology; Oceanography</t>
  </si>
  <si>
    <t>Fisheries; Marine &amp; Freshwater Biology; Oceanography</t>
  </si>
  <si>
    <t>PT6BS</t>
  </si>
  <si>
    <t>WOS:000550844500001</t>
  </si>
  <si>
    <t>Huston, DC; Smales, LR</t>
  </si>
  <si>
    <t>Huston, Daniel C.; Smales, Lesley R.</t>
  </si>
  <si>
    <t>Proposal ofSpinulacorpus biforme(Smales, 2014) n. g., n. comb. and the Spinulacorpidae n. fam. to resolve paraphyly of the acanthocephalan family Rhadinorhynchidae Luhe, 1912</t>
  </si>
  <si>
    <t>SYSTEMATIC PARASITOLOGY</t>
  </si>
  <si>
    <t>PHYLOGENETIC-RELATIONSHIPS; MARINE FISH; GENUS; PALAEACANTHOCEPHALA; CAVISOMIDAE; EXISTENCE; ALIGNMENT</t>
  </si>
  <si>
    <t>Previous phylogenetic analyses of the Acanthocephala have demonstrated that the families Rhadinorhynchidae Luhe, 1912 and Transvenidae Pichelin &amp; Cribb, 2001 are sister clades. However, a recent study found that the Rhadinorhynchidae is paraphyletic, due to the basal position ofRhadinorhynchus biformisSmales, 2014 relative to the Rhadinorhynchidae + Transvenidae. We reassess these relationships with new single-gene and concatenated phylogenetic analyses utilisingcox1 mtDNA, 18S rDNA and 28S rDNA, including recently available sequences. Although topologies differed among single-gene analyses, the overall results supportR.biformisas representative of a lineage distinct from those of the Rhadinorhynchidae and Transvenidae. Examination of additional specimens ofR.biformisallowed us to identify morphological characters that further support this hypothesis. These results lead us to propose transfer ofR.biformisto a new genus (Spinulacorpusn. g.) and family (Spinulacorpidae n. fam.) to resolve the paraphyly of the Rhadinorhynchidae.</t>
  </si>
  <si>
    <t>[Huston, Daniel C.] Univ Tasmania, Inst Marine &amp; Antarctic Studies, Hobart, Tas 7005, Australia; [Smales, Lesley R.] South Australian Museum, Parasitol Sect, Adelaide, SA 5000, Australia</t>
  </si>
  <si>
    <t>University of Tasmania; South Australian Museum</t>
  </si>
  <si>
    <t>Huston, DC (corresponding author), Univ Tasmania, Inst Marine &amp; Antarctic Studies, Hobart, Tas 7005, Australia.</t>
  </si>
  <si>
    <t>Daniel.Huston@uqconnect.edu.au</t>
  </si>
  <si>
    <t>Smales, Lesley/0000-0002-1587-8129; Huston, Daniel Colgan/0000-0002-1015-4703</t>
  </si>
  <si>
    <t>ABRS grant [RF215-40]</t>
  </si>
  <si>
    <t>ABRS grant</t>
  </si>
  <si>
    <t>Collections within Moreton Bay were part of a larger effort to characterise the metazoan parasite fauna of fishes from that region and were funded by an ABRS grant (RF215-40) awarded to Drs Thomas Cribb and Scott Cutmore (University of Queensland).</t>
  </si>
  <si>
    <t>0165-5752</t>
  </si>
  <si>
    <t>1573-5192</t>
  </si>
  <si>
    <t>SYST PARASITOL</t>
  </si>
  <si>
    <t>Syst. Parasitol.</t>
  </si>
  <si>
    <t>10.1007/s11230-020-09923-7</t>
  </si>
  <si>
    <t>Parasitology</t>
  </si>
  <si>
    <t>NG0DQ</t>
  </si>
  <si>
    <t>WOS:000550622100001</t>
  </si>
  <si>
    <t>Visch, W; Nylund, GM; Pavia, H</t>
  </si>
  <si>
    <t>Visch, Wouter; Nylund, Goran M.; Pavia, Henrik</t>
  </si>
  <si>
    <t>Growth and biofouling in kelp aquaculture (Saccharina latissima): the effect of location and wave exposure</t>
  </si>
  <si>
    <t>JOURNAL OF APPLIED PHYCOLOGY</t>
  </si>
  <si>
    <t>Aquaculture; Biofouling; Biomass yield; Phaeophyta; Saccharina latissima; Seaweed farming; Wave exposure</t>
  </si>
  <si>
    <t>ANTHROPOGENIC NITROGEN INPUT; CULTIVATED KELP; UNDARIA-PINNATIFIDA; WATER MOTION; MACROCYSTIS-INTEGRIFOLIA; MEMBRANIPORA-MEMBRANACEA; BRYOZOAN COLONIZATION; DELTA-N-15 VALUES; GIANT-KELP; LAMINARIALES</t>
  </si>
  <si>
    <t>Seaweed aquaculture is receiving increasing attention for food and non-food applications in Europe, where it is still an emerging industry. The cultivation of seaweeds in the sea is attractive as it does not compete with agricultural crops for land and freshwater, whilst generating high yearly biomass yield. The selection of suitable cultivation sites in coastal waters is essential for the sustainable establishment and further development of seaweed aquaculture in Europe. Here, we investigate the effects of wave exposure and geographic location on growth and biofouling of kelp (Saccharina latissima), using a transplantation experiment along the Swedish west coast. Biofouling of kelp decreased with increased wave exposure, from 10 and 6% coverage at sheltered and moderately exposed locations, respectively, to 3% at exposed locations. Growth, measured as blade surface area, generally increased with decreased wave exposure, with approximately 40% less growth at exposed locations compared to sheltered or moderately exposed location. We identified that there is large spatial variation in growth and fouling of the seaweed biomass at the selected farm sites, with significant differences from the km-scale to the m-scale. In addition, exposure level affected the tissue composition, with a high carbon, but low nitrogen and water content at exposed locations compared to moderate and sheltered sites. Isotope signatures (i.e. delta C-13 and delta N-15) also differed between exposure levels. Together, these results indicate that wave exposure is an important factor to consider in site selection for both yield as well as quality of the seaweed biomass for future kelp farms.</t>
  </si>
  <si>
    <t>[Visch, Wouter; Nylund, Goran M.; Pavia, Henrik] Univ Gothenburg, Dept Marine Sci, Tjarno Marine Lab, SE-45296 Stromstad, Sweden; [Visch, Wouter] Univ Tasmania, Inst Marine &amp; Antarctic Studies, 20 Castray Esplanade, Hobart, Tas 7004, Australia</t>
  </si>
  <si>
    <t>University of Gothenburg; University of Tasmania</t>
  </si>
  <si>
    <t>Visch, W (corresponding author), Univ Gothenburg, Dept Marine Sci, Tjarno Marine Lab, SE-45296 Stromstad, Sweden.;Visch, W (corresponding author), Univ Tasmania, Inst Marine &amp; Antarctic Studies, 20 Castray Esplanade, Hobart, Tas 7004, Australia.</t>
  </si>
  <si>
    <t>wouter.visch@utas.edu.au</t>
  </si>
  <si>
    <t>Visch, Wouter/0000-0003-4291-6239</t>
  </si>
  <si>
    <t>Swedish Foundation for Strategic Environmental Research MISTRA [2013/75]; Swedish Research Council Formas [213-2013-92]</t>
  </si>
  <si>
    <t>Swedish Foundation for Strategic Environmental Research MISTRA(Swedish Foundation for Strategic Research); Swedish Research Council Formas(Swedish Research Council Formas)</t>
  </si>
  <si>
    <t>This study is supported by The Swedish Foundation for Strategic Environmental Research MISTRA (grant no. 2013/75) and The Swedish Research Council Formas (grant no. 213-2013-92).</t>
  </si>
  <si>
    <t>0921-8971</t>
  </si>
  <si>
    <t>1573-5176</t>
  </si>
  <si>
    <t>J APPL PHYCOL</t>
  </si>
  <si>
    <t>J. Appl. Phycol.</t>
  </si>
  <si>
    <t>10.1007/s10811-020-02201-5</t>
  </si>
  <si>
    <t>Biotechnology &amp; Applied Microbiology; Marine &amp; Freshwater Biology</t>
  </si>
  <si>
    <t>NY2HE</t>
  </si>
  <si>
    <t>WOS:000550610100002</t>
  </si>
  <si>
    <t>Sherman, J; Gorbunov, MY; Schofield, O; Falkowski, PG</t>
  </si>
  <si>
    <t>Sherman, Jonathan; Gorbunov, Maxim Y.; Schofield, Oscar; Falkowski, Paul G.</t>
  </si>
  <si>
    <t>Photosynthetic energy conversion efficiency in the West Antarctic Peninsula</t>
  </si>
  <si>
    <t>LIMNOLOGY AND OCEANOGRAPHY</t>
  </si>
  <si>
    <t>DIATOM PHAEODACTYLUM-TRICORNUTUM; IRON-LIGHT INTERACTIONS; CHLOROPHYLL FLUORESCENCE; PHOTOSYSTEM-II; PHYTOPLANKTON PHOTOSYNTHESIS; PHOTOCHEMICAL APPARATUS; PRIMARY PRODUCTIVITY; EXCITATION-ENERGY; QUANTUM YIELD; LIMITATION</t>
  </si>
  <si>
    <t>The West Antarctic Peninsula (WAP) is a highly productive polar ecosystem where phytoplankton dynamics are regulated by intense bottom-up control from light and iron availability. Rapid climate change along the WAP is driving shifts in the mixed layer depth and iron availability. Elucidating the relative role of each of these controls and their interactions is crucial for understanding of how primary productivity will change in coming decades. Using a combination of ultra-high-resolution variable chlorophyll fluorescence together with fluorescence lifetime analyses on the 2017 Palmer Long Term Ecological Research cruise, we mapped the temporal and spatial variability in phytoplankton photophysiology across the WAP. Highest photosynthetic energy conversion efficiencies and lowest fluorescence quantum yields were observed in iron replete coastal regions. Photosynthetic energy conversion efficiencies decreased by similar to 60% with a proportional increase in quantum yields of thermal dissipation and fluorescence on the outer continental shelf and slope. The combined analysis of variable fluorescence and lifetimes revealed that, in addition to the decrease in the fraction of inactive reaction centers, up to 20% of light harvesting chlorophyll-protein antenna complexes were energetically uncoupled from photosystem II reaction centers in iron-limited phytoplankton. These biophysical signatures strongly suggest severe iron limitation of photosynthesis in the surface waters along the continental slope of the WAP.</t>
  </si>
  <si>
    <t>[Sherman, Jonathan; Gorbunov, Maxim Y.; Schofield, Oscar; Falkowski, Paul G.] Rutgers State Univ, Dept Marine &amp; Coastal Sci, Environm Biophys &amp; Mol Ecol Program, New Brunswick, NJ 08901 USA; [Schofield, Oscar] Rutgers State Univ, Ctr Ocean Observing Leadership, Dept Marine &amp; Coastal Sci, New Brunswick, NJ USA</t>
  </si>
  <si>
    <t>Rutgers University System; Rutgers University New Brunswick; Rutgers University System; Rutgers University New Brunswick</t>
  </si>
  <si>
    <t>Falkowski, PG (corresponding author), Rutgers State Univ, Dept Marine &amp; Coastal Sci, Environm Biophys &amp; Mol Ecol Program, New Brunswick, NJ 08901 USA.</t>
  </si>
  <si>
    <t>sherman@marine.rutgers.edu; gorbunov@marine.rutgers.edu; oscar@marine.rutgers.edu; falko@marine.rutgers.edu</t>
  </si>
  <si>
    <t>Sherman, Jonathan/GOV-3103-2022; Schofield, Oscar/H-4169-2018</t>
  </si>
  <si>
    <t>Sherman, Jonathan/0000-0002-5644-0182; Schofield, Oscar/0000-0003-2359-4131</t>
  </si>
  <si>
    <t>NASA Ocean Biology and Biogeochemistry Program [NNX16AT54G, 80NSSC18K1416]; LTER Program of the US National Science Foundation [ANT-0823101]; Department of Marine and Coastal Sciences at Rutgers University</t>
  </si>
  <si>
    <t>NASA Ocean Biology and Biogeochemistry Program(National Aeronautics &amp; Space Administration (NASA)); LTER Program of the US National Science Foundation(National Science Foundation (NSF)); Department of Marine and Coastal Sciences at Rutgers University</t>
  </si>
  <si>
    <t>The authors thank the crew and support staff of ARSV Laurence M. Gould during LMG17-01. We also thank Schuyler Nardelli and Naomi Shelton for help analyzing chlorophyll and nutrient concentrations, Robert Sherell and Kevin Wyman for comments on the manuscript, and two anonymous reviewers and Editor for constructive comments. This research was supported by NASA Ocean Biology and Biogeochemistry Program (grants NNX16AT54G and 80NSSC18K1416 to M.Y.G. and P.G.F.) and LTER Program of the US National Science Foundation (ANT-0823101 to O.S.). J.S. is supported by a graduate fellowship from the Department of Marine and Coastal Sciences at Rutgers University.</t>
  </si>
  <si>
    <t>0024-3590</t>
  </si>
  <si>
    <t>1939-5590</t>
  </si>
  <si>
    <t>LIMNOL OCEANOGR</t>
  </si>
  <si>
    <t>Limnol. Oceanogr.</t>
  </si>
  <si>
    <t>10.1002/lno.11562</t>
  </si>
  <si>
    <t>Limnology; Oceanography</t>
  </si>
  <si>
    <t>Marine &amp; Freshwater Biology; Oceanography</t>
  </si>
  <si>
    <t>PE2VO</t>
  </si>
  <si>
    <t>WOS:000550505400001</t>
  </si>
  <si>
    <t>Tsai, CY; Forest, CE; Pollard, D</t>
  </si>
  <si>
    <t>Tsai, Chii-Yun; Forest, Chris E.; Pollard, David</t>
  </si>
  <si>
    <t>The role of internal climate variability in projecting Antarctica's contribution to future sea-level rise</t>
  </si>
  <si>
    <t>CLIMATE DYNAMICS</t>
  </si>
  <si>
    <t>Ice sheets; Antarctica; Sea level; Climate variability; Climate model; Climate change</t>
  </si>
  <si>
    <t>GREENLAND ICE-SHEET; SURFACE MASS-BALANCE; MODEL INTERCOMPARISON PROJECT; MULTIMODEL ENSEMBLE; RETREAT; SHELVES; CONSEQUENCES; DRIVEN</t>
  </si>
  <si>
    <t>Retreat of the Antarctic ice sheet (AIS) is likely to be a major contributor to future sea-level rise (SLR). Current projections of SLR due to ice-sheet mass loss remain highly uncertain. Better understanding of how ice sheets respond to future climate forcing and variability is essential for assessing long-term risk of SLR. However, predictability of future climate is limited by uncertainties from emission scenarios, model structural differences, and internal climate variability (ICV) that is inherently generated within the fully coupled climate system. Among those uncertainties, the impact of ICV on the AIS changes has not been explicitly assessed. Here we quantify the effects of ICV on the AIS evolutions by employing climate fields from two large-ensemble experiments using the Community Earth System Model to force a three-dimensional ice-sheet model. We find that ICV of climate fields among ensemble members leads to significantly different AIS responses, and that most of the effect is due to atmospheric variability compared to oceanic. Our results show that ICV can cause about 0.08 m differences of AIS contribution to SLR by 2100 compared to the ensemble-mean AIS contribution of 0.38-0.45 m. Moreover, using ensemble-mean climate forcing fields as the forcing in an ice-sheet model significantly delays retreat of the West AIS for up to 20 years and significantly underestimates the AIS contribution to SLR by 0.07-0.11 m in 2100 and up to 0.34 m in the 2250's. This study highlights the need to take internal climate variability into account in assessing uncertainty associated with the AIS contribution in sea-level rise projections.</t>
  </si>
  <si>
    <t>[Tsai, Chii-Yun; Forest, Chris E.] Penn State Univ, Dept Meteorol &amp; Atmospher Sci, University Pk, PA 16802 USA; [Forest, Chris E.] Penn State Univ, Dept Geosci, University Pk, PA 16802 USA; [Forest, Chris E.; Pollard, David]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</si>
  <si>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</si>
  <si>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Forest, CE (corresponding author), Penn State Univ, Dept Meteorol &amp; Atmospher Sci, University Pk, PA 16802 USA.;Forest, CE (corresponding author), Penn State Univ, Dept Geosci, University Pk, PA 16802 USA.;Forest, CE (corresponding author), Penn State Univ, Earth &amp; Environm Syst Inst, University Pk, PA 16802 USA.</t>
  </si>
  <si>
    <t>cxt334@psu.edu; ceforest@psu.edu; pollard@essc.psu.edu</t>
  </si>
  <si>
    <t>Forest, Chris/M-1993-2014</t>
  </si>
  <si>
    <t>Forest, Chris/0000-0002-2643-0186</t>
  </si>
  <si>
    <t>National Science Foundation (NSF) [DMS-1418090, GEO-1240507]; Penn State Center for Climate Risk Management (CLIMA)</t>
  </si>
  <si>
    <t>National Science Foundation (NSF)(National Science Foundation (NSF)); Penn State Center for Climate Risk Management (CLIMA)</t>
  </si>
  <si>
    <t>This study was sponsored by the National Science Foundation (NSF) under grant DMS-1418090 and supported by the Penn State Center for Climate Risk Management (CLIMA). For SFK LE experiment, we thank Ryan Sriver for providing data so that the authors could extend the previous SFK LE to 2300. For the extension of SFK LE simulations, we acknowledge high-performance computing support from Yellowstone (ark:/85065/d7wd3xhc) provided by NCAR's Computational and Information Systems Laboratory (CISL), sponsored by the NSF. For the data from NCAR LE, we acknowledge the CESM Large Ensemble Community Project and supercomputing resources provided by NSF/CISL/Yellowstone. For the ice sheet model simulations using two LEs, we thank Network for Sustainable Climate Risk Management (SCRiM), supported by the National Science Foundation under NSF cooperative agreement GEO-1240507, for providing computing resources and data storage. For the CMIP5 results, we acknowledge the World Climate Research Programme's Working Group on Coupled Modelling, which is responsible for CMIP, and we thank the climate modeling groups (listed in Table 4 in Appendix) for producing and making available their model output. The ice sheet model used in this study, the SFK LE data set, input files and scripts are available from the authors upon request (ceforest@psu.edu).The NCAR LE data sets can be downloaded at Earth System Grid (https://www.earthsystemgrid.org).</t>
  </si>
  <si>
    <t>0930-7575</t>
  </si>
  <si>
    <t>1432-0894</t>
  </si>
  <si>
    <t>CLIM DYNAM</t>
  </si>
  <si>
    <t>Clim. Dyn.</t>
  </si>
  <si>
    <t>7-8</t>
  </si>
  <si>
    <t>10.1007/s00382-020-05354-8</t>
  </si>
  <si>
    <t>NI5XM</t>
  </si>
  <si>
    <t>WOS:000549795500001</t>
  </si>
  <si>
    <t>Alem, D; Marizcurrena, JJ; Saravia, V; Davyt, D; Martinez-Lopez, W; Castro-Sowinski, S</t>
  </si>
  <si>
    <t>Alem, Diego; Jose Marizcurrena, Juan; Saravia, Veronica; Davyt, Danilo; Martinez-Lopez, Wilner; Castro-Sowinski, Susana</t>
  </si>
  <si>
    <t>Production and antiproliferative effect of violacein, a purple pigment produced by an Antarctic bacterial isolate</t>
  </si>
  <si>
    <t>WORLD JOURNAL OF MICROBIOLOGY &amp; BIOTECHNOLOGY</t>
  </si>
  <si>
    <t>Cervix cancer; Cisplatin; Senzibilization; Violacein</t>
  </si>
  <si>
    <t>CHROMOBACTERIUM-VIOLACEUM; MOLECULAR-MECHANISMS; APOPTOSIS; CISPLATIN; CAFFEINE; STRAIN; CELLS</t>
  </si>
  <si>
    <t>We studied the production and the potential use of a purple-pigment produced by an Antarctic bacterial isolate. This pigment was identified as violacein, a metabolite produced by many bacterial strains and reported that it has antiproliferative activity in many cell lines. We analyzed the effect of temperature and the composition of the growth medium on pigment production, achieving the highest yield at 20 degrees C in Tryptic Soy Broth medium supplemented with 3.6 g/L glucose. We doubled the yield of the pigment production when the process was scaled up in a 5 L bioreactor (77 mg/L of crude pigment). The pigment was purified and identified by mass spectrometry (DI-EI-MS) and Nuclear Magnetic Resonance (NMR) spectroscopy as violacein. We performed survival assays that showed that the pure pigment has antiproliferative activity and sensitize HeLa cells (cervix cell carcinoma) to cisplatin. Besides, the pigment did not show genotoxic activity in HeLa cells as found performing micronucleus assays. These results suggest that this pigment may be used as anticancer or sensitizer to cisplatin drug in cervix cancer.</t>
  </si>
  <si>
    <t>[Alem, Diego; Martinez-Lopez, Wilner] Inst Invest Biol Clemente Estable, Epigenet &amp; Genom Instabil Lab, Av Italia 3318, Montevideo, Uruguay; [Alem, Diego; Jose Marizcurrena, Juan; Castro-Sowinski, Susana] Univ Republica, Fac Sci, Biochem &amp; Mol Biol, Igua 4225, Montevideo, Uruguay; [Saravia, Veronica] Univ Republica, Fac Engn, Inst Chem Engn, Bioengn Dept, Av Julio Herrera &amp; Reissig 565, Montevideo, Uruguay; [Davyt, Danilo] Univ Republica, Fac Chem, Organ Chem Dept, Gral Flores 2124, Montevideo, Uruguay; [Castro-Sowinski, Susana] Inst Invest Biol Clemente Estable, Mol Microbiol, Av Italia 3318, Montevideo 11600, Uruguay</t>
  </si>
  <si>
    <t>Instituto de Investigaciones Biologicas Clemente Estable Uruguay; Universidad de la Republica, Uruguay; Universidad de la Republica, Uruguay; Universidad de la Republica, Uruguay; Instituto de Investigaciones Biologicas Clemente Estable Uruguay</t>
  </si>
  <si>
    <t>Castro-Sowinski, S (corresponding author), Univ Republica, Fac Sci, Biochem &amp; Mol Biol, Igua 4225, Montevideo, Uruguay.;Castro-Sowinski, S (corresponding author), Inst Invest Biol Clemente Estable, Mol Microbiol, Av Italia 3318, Montevideo 11600, Uruguay.</t>
  </si>
  <si>
    <t>s.castro.sow@gmail.com</t>
  </si>
  <si>
    <t>Castro-Sowinski, Susana/0000-0002-1286-1743; Saravia, Veronica/0000-0001-7555-5623; Alem, Diego/0000-0002-0279-8226</t>
  </si>
  <si>
    <t>PEDECIBA (Programa de Desarrollo de las Ciencias Basicas); ANII; CAP (Comision Academica de Posgrado, UdelaR)</t>
  </si>
  <si>
    <t>The authors thank the Uruguayan Antarctic Institute for the logistic support during the stay in the Antarctic Base Artigas. S. Castro-Sowinski, D. Davyt, W. Martinez Lopez and J. J. Marizcurrena are members of the National Research System (SNI, Sistema Nacional de Investigadores). This work was partially supported by PEDECIBA (Programa de Desarrollo de las Ciencias Basicas). The work of DA and JJM was supported by ANII and CAP (Comision Academica de Posgrado, UdelaR).</t>
  </si>
  <si>
    <t>0959-3993</t>
  </si>
  <si>
    <t>1573-0972</t>
  </si>
  <si>
    <t>WORLD J MICROB BIOT</t>
  </si>
  <si>
    <t>World J. Microbiol. Biotechnol.</t>
  </si>
  <si>
    <t>JUL 18</t>
  </si>
  <si>
    <t>10.1007/s11274-020-02893-4</t>
  </si>
  <si>
    <t>MP7YL</t>
  </si>
  <si>
    <t>WOS:000552417100003</t>
  </si>
  <si>
    <t>Jonsen, ID; Patterson, TA; Costa, DP; Doherty, PD; Godley, BJ; Grecian, WJ; Guinet, C; Hoenner, X; Kienle, SS; Robinson, PW; Votier, SC; Whiting, S; Witt, MJ; Hindell, MA; Harcourt, RG; McMahon, CR</t>
  </si>
  <si>
    <t>Jonsen, Ian D.; Patterson, Toby A.; Costa, Daniel P.; Doherty, Philip D.; Godley, Brendan J.; Grecian, W. James; Guinet, Christophe; Hoenner, Xavier; Kienle, Sarah S.; Robinson, Patrick W.; Votier, Stephen C.; Whiting, Scott; Witt, Matthew J.; Hindell, Mark A.; Harcourt, Robert G.; McMahon, Clive R.</t>
  </si>
  <si>
    <t>A continuous-time state-space model for rapid quality control of argos locations from animal-borne tags</t>
  </si>
  <si>
    <t>MOVEMENT ECOLOGY</t>
  </si>
  <si>
    <t>Animal-borne sensors; Bio-telemetry; foieGras R package; Global Positioning System; Seabird; Pinniped; Sea turtle; Template Model Builder</t>
  </si>
  <si>
    <t>DYNAMIC OCEAN; MOVEMENT DATA; MANAGEMENT; ACCURACY</t>
  </si>
  <si>
    <t>Background State-space models are important tools for quality control and analysis of error-prone animal movement data. The near real-time (within 24 h) capability of the Argos satellite system can aid dynamic ocean management of human activities by informing when animals enter wind farms, shipping lanes, and other intensive use zones. This capability also facilitates the use of ocean observations from animal-borne sensors in operational ocean forecasting models. Such near real-time data provision requires rapid, reliable quality control to deal with error-prone Argos locations. Methods We formulate a continuous-time state-space model to filter the three types of Argos location data (Least-Squares, Kalman filter, and Kalman smoother), accounting for irregular timing of observations. Our model is deliberately simple to ensure speed and reliability for automated, near real-time quality control of Argos location data. We validate the model by fitting to Argos locations collected from 61 individuals across 7 marine vertebrates and compare model-estimated locations to contemporaneous GPS locations. We then test assumptions that Argos Kalman filter/smoother error ellipses are unbiased, and that Argos Kalman smoother location accuracy cannot be improved by subsequent state-space modelling. Results Estimation accuracy varied among species with Root Mean Squared Errors usually &lt;5 km and these decreased with increasing data sampling rate and precision of Argos locations. Including a model parameter to inflate Argos error ellipse sizes in the north - south direction resulted in more accurate location estimates. Finally, in some cases the model appreciably improved the accuracy of the Argos Kalman smoother locations, which should not be possible if the smoother is using all available information. Conclusions Our model provides quality-controlled locations from Argos Least-Squares or Kalman filter data with accuracy similar to or marginally better than Argos Kalman smoother data that are only available via fee-based reprocessing. Simplicity and ease of use make the model suitable both for automated quality control of near real-time Argos data and for manual use by researchers working with historical Argos data.</t>
  </si>
  <si>
    <t>[Jonsen, Ian D.; Harcourt, Robert G.] Macquarie Univ, Dept Biol Sci, Sydney, NSW, Australia; [Patterson, Toby A.; Hoenner, Xavier] CSIRO Oceans &amp; Atmosphere, Hobart, Tas, Australia; [Costa, Daniel P.; Kienle, Sarah S.; Robinson, Patrick W.] Univ Calif Santa Cruz, Dept Ecol &amp; Evolutionary Biol, Santa Cruz, CA 95064 USA; [Doherty, Philip D.; Godley, Brendan J.; Votier, Stephen C.; Witt, Matthew J.] Univ Exeter, Environm &amp; Sustainabil Inst, Penryn, England; [Grecian, W. James] Univ St Andrews, Scottish Oceans Inst, Sea Mammal Res Unit, St Andrews, Fife, Scotland; [Guinet, Christophe] CNRS, Chize, France; [Whiting, Scott] Govt Western Australia, Dept Biodivers Conservat &amp; Attract, Kensington, NSW, Australia; [Hindell, Mark A.] Univ Tasmania, Inst Marine &amp; Antarctic Studies, Hobart, Tas, Australia; [McMahon, Clive R.] Sydney Inst Marine Sci, Mosman, Australia</t>
  </si>
  <si>
    <t>Macquarie University; Commonwealth Scientific &amp; Industrial Research Organisation (CSIRO); University of California System; University of California Santa Cruz; University of Exeter; University of St Andrews; Centre National de la Recherche Scientifique (CNRS); University of Tasmania; Sydney Institute of Marine Science</t>
  </si>
  <si>
    <t>Jonsen, ID (corresponding author), Macquarie Univ, Dept Biol Sci, Sydney, NSW, Australia.</t>
  </si>
  <si>
    <t>ian.jonsen@mq.edu.au</t>
  </si>
  <si>
    <t>Hindell, Mark A/K-1131-2013; Votier, Stephen/IUO-0154-2023; McMahon, Clive R/D-5713-2013; Godley, Brendan J/A-6139-2009; Grecian, James/A-7689-2012; Patterson, Toby A/B-3836-2011; Witt, Matthew/V-3318-2018; Hoenner, Xavier/N-7422-2014</t>
  </si>
  <si>
    <t>Votier, Stephen/0000-0002-0976-0167; McMahon, Clive R/0000-0001-5241-8917; Godley, Brendan J/0000-0003-3845-0034; Grecian, James/0000-0002-6428-719X; Witt, Matthew/0000-0002-9498-5378; Harcourt, Robert/0000-0003-4666-2934; Jonsen, Ian/0000-0001-5423-6076; Patterson, Toby/0000-0002-7150-9205; Doherty, Philip/0000-0001-7561-3731; Whiting, Scott/0000-0003-3339-9559; Hoenner, Xavier/0000-0001-5811-1166</t>
  </si>
  <si>
    <t>Macquarie University; Office of Naval Research; Integrated Marine Observing System - Animal Tracking Facility; Ocean Tracking Network; Taronga Conservation Society; Birds Canada; Innovasea/Vemco; CSIRO Oceans AMP; Atmosphere internal research funding scheme; National Science Foundation Office of Polar Projects research grant; National Oceanographic Partnership Program; Gordon and Betty Moore Foundation; David and Lucille Packard Foundation; Sloan Foundation; California Sea Grant Program; Australian Government under the Caring for Country Initiative; Anindilyakwa Land Council; Northern Territory Government; Charles Darwin University; ANZ Trustees Foundation - Holsworth Wildlife Research Endowment; Defra Darwin [17-005]; Peninsula Institute for Marine Renewable Energy; Harvest Natural Resources; IPEV program 109; IPEV program 1201; CNES-TOSCA program Elephants de Mer Oceanographe; SNO-MEMO; NERC [NE/G001014/1]; Peninsula Research Institute for Marine Renewable Energy; EU INTERREG Project CHARM III; Vaalco Energy Inc.; NERC [NE/P00623X/1] Funding Source: UKRI</t>
  </si>
  <si>
    <t>Macquarie University; Office of Naval Research(Office of Naval Research); Integrated Marine Observing System - Animal Tracking Facility; Ocean Tracking Network; Taronga Conservation Society; Birds Canada; Innovasea/Vemco; CSIRO Oceans AMP; Atmosphere internal research funding scheme; National Science Foundation Office of Polar Projects research grant; National Oceanographic Partnership Program; Gordon and Betty Moore Foundation(Gordon and Betty Moore Foundation); David and Lucille Packard Foundation(The David &amp; Lucile Packard Foundation); Sloan Foundation(Alfred P. Sloan Foundation); California Sea Grant Program; Australian Government under the Caring for Country Initiative(Australian Government); Anindilyakwa Land Council; Northern Territory Government; Charles Darwin University; ANZ Trustees Foundation - Holsworth Wildlife Research Endowment; Defra Darwin; Peninsula Institute for Marine Renewable Energy; Harvest Natural Resources; IPEV program 109; IPEV program 1201; CNES-TOSCA program Elephants de Mer Oceanographe; SNO-MEMO; NERC(UK Research &amp; Innovation (UKRI)Natural Environment Research Council (NERC)); Peninsula Research Institute for Marine Renewable Energy; EU INTERREG Project CHARM III(Interreg Europe); Vaalco Energy Inc.; NERC(UK Research &amp; Innovation (UKRI)Natural Environment Research Council (NERC))</t>
  </si>
  <si>
    <t>IDJ was supported by Macquarie University's co-Funded Fellowship Program and by external partners: Office of Naval Research grant N00014-18-1-2405; the Integrated Marine Observing System - Animal Tracking Facility; the Ocean Tracking Network; Taronga Conservation Society; Birds Canada; and Innovasea/Vemco. TAP was supported by CSIRO Oceans &amp; Atmosphere internal research funding scheme. SSK was supported by a National Science Foundation Office of Polar Projects research grant.r California sea lion, Cape fur seal, and leopard seal data collection were funded by the National Oceanographic Partnership Program, the Office of Naval Research, the Gordon and Betty Moore Foundation, the David and Lucille Packard Foundation, and the Sloan Foundation, and the California Sea Grant Program.r Hawksbill turtle data collection was funded by the Australian Government under the Caring for Country Initiative, the Anindilyakwa Land Council, the Northern Territory Government, Charles Darwin University, and the ANZ Trustees Foundation - Holsworth Wildlife Research Endowment. Leatherback turtle data collection was funded by Defra Darwin (17-005), the Peninsula Institute for Marine Renewable Energy, and Harvest Natural Resources and Vaalco Energy Inc.r Francais Paul Emile Victor (IPEV programs 109, H.Weimerskirch and 1201, C.Gilbert) for logistical and financial support, CNES-TOSCA program Elephants de Mer Oceanographe and SNO-MEMO for financial support.r Northern gannet data collection was funded by NERC New Investigators Grant (NE/G001014/1), the Peninsula Research Institute for Marine Renewable Energy and EU INTERREG Project CHARM III.</t>
  </si>
  <si>
    <t>BMC</t>
  </si>
  <si>
    <t>CAMPUS, 4 CRINAN ST, LONDON N1 9XW, ENGLAND</t>
  </si>
  <si>
    <t>2051-3933</t>
  </si>
  <si>
    <t>MOV ECOL</t>
  </si>
  <si>
    <t>Mov. Ecol.</t>
  </si>
  <si>
    <t>JUL 17</t>
  </si>
  <si>
    <t>10.1186/s40462-020-00217-7</t>
  </si>
  <si>
    <t>MP6GX</t>
  </si>
  <si>
    <t>Green Published, gold, Green Accepted, Green Submitted</t>
  </si>
  <si>
    <t>WOS:000552302200001</t>
  </si>
  <si>
    <t>Ghimire, N; Han, SR; Kim, B; Park, H; Lee, JH; Oh, TJ</t>
  </si>
  <si>
    <t>Ghimire, Nisha; Han, So-Ra; Kim, Byeollee; Park, Hyun; Lee, Jun Hyuck; Oh, Tae-Jin</t>
  </si>
  <si>
    <t>Comparative Genomic Study of Polar Lichen-Associated Hymenobacter sp. PAMC 26554 and Hymenobacter sp. PAMC 26628 Reveals the Presence of Polysaccharide-Degrading Ability Based on Habitat</t>
  </si>
  <si>
    <t>CURRENT MICROBIOLOGY</t>
  </si>
  <si>
    <t>COLD ADAPTATION; ALPHA-AMYLASE; SP-NOV.; BACTERIUM; LAMINARINASE; DEGRADATION; SEQUENCE; ENZYMES; STARCH</t>
  </si>
  <si>
    <t>The genusHymenobacteris classified in the family Hymenobacteraceae under the phylum Bacteroidetes. They have been isolated from diverse environments, such as air, soil, and lichen, along with extreme polar environments, including the Arctic and Antarctic regions. The polar regions have attracted intense research interest for the discovery of novel microorganisms and their functions. Analysis of the polysaccharide utilization-related carbohydrate-active enzyme among the two lichen-associated polar organismsHymenobactersp. PAMC 26554 andHymenobactersp. PAMC 26628 was performed, along with its comparison with the complete genome of the same genus available in the NCBI database. The study was conducted relying on the AZCL screening data for the two polar lichen-associated species. While comparing with eight other complete genomes, differences in polysaccharide preferences based on the isolation environment and biosample source were discovered. All the species showed almost similar percentage of cellulose synthesis and degradation genes. However, the polar lichen-associated microorganism was found to have a high percentage of hemicellulose degradation genes, and less starch and laminarin degradation. TheHymenobacterspecies with higher number of hemicellulose degradation genes was found to have a lower number of starch and laminarin degradation genes and vice versa, highlighting the differences in polysaccharide utilization among the species.</t>
  </si>
  <si>
    <t>[Ghimire, Nisha; Han, So-Ra; Kim, Byeollee; Oh, Tae-Jin] SunMoon Univ, Grad Sch, Dept Life Sci &amp; Biochem Engn, Asan 31460, South Korea; [Park, Hyun] Korea Univ, Coll Life Sci &amp; Biotechnol, Div Biotechnol, Seoul 02841, South Korea; [Lee, Jun Hyuck] Korea Polar Res Inst, Unit Res Pract Applicat, Incheon 21990, South Korea; [Lee, Jun Hyuck] Univ Sci &amp; Technol, Dept Polar Sci, Incheon 21990, South Korea; [Oh, Tae-Jin] Genome Based BioIT Convergence Inst, Asan 31460, South Korea; [Oh, Tae-Jin] SunMoon Univ, Dept Pharmaceut Engn &amp; Biotechnol, Asan 31460, South Korea</t>
  </si>
  <si>
    <t>Sun Moon University; Korea University; Korea Polar Research Institute (KOPRI); Sun Moon University</t>
  </si>
  <si>
    <t>Oh, TJ (corresponding author), SunMoon Univ, Grad Sch, Dept Life Sci &amp; Biochem Engn, Asan 31460, South Korea.;Lee, JH (corresponding author), Korea Polar Res Inst, Unit Res Pract Applicat, Incheon 21990, South Korea.;Lee, JH (corresponding author), Univ Sci &amp; Technol, Dept Polar Sci, Incheon 21990, South Korea.;Oh, TJ (corresponding author), Genome Based BioIT Convergence Inst, Asan 31460, South Korea.;Oh, TJ (corresponding author), SunMoon Univ, Dept Pharmaceut Engn &amp; Biotechnol, Asan 31460, South Korea.</t>
  </si>
  <si>
    <t>junhyucklee@kopri.re.kr; tjoh3782@sunmoon.ac.kr</t>
  </si>
  <si>
    <t>Ghimire, Nisha/AIA-8604-2022; Ghimire, Nisha/GMW-4867-2022</t>
  </si>
  <si>
    <t>Ghimire, Nisha/0000-0003-2799-2452; Ghimire, Nisha/0000-0003-2799-2452; Park, Hyun/0000-0002-8055-2010</t>
  </si>
  <si>
    <t>Korea Polar Research Institute (KOPRI) [PM20030]</t>
  </si>
  <si>
    <t>Korea Polar Research Institute (KOPRI)</t>
  </si>
  <si>
    <t>This work was supported by the Korea Polar Research Institute (KOPRI Grant No. PM20030).</t>
  </si>
  <si>
    <t>0343-8651</t>
  </si>
  <si>
    <t>1432-0991</t>
  </si>
  <si>
    <t>CURR MICROBIOL</t>
  </si>
  <si>
    <t>Curr. Microbiol.</t>
  </si>
  <si>
    <t>10.1007/s00284-020-02120-1</t>
  </si>
  <si>
    <t>NF3AF</t>
  </si>
  <si>
    <t>WOS:000549683100003</t>
  </si>
  <si>
    <t>Wang, SY; McNamara, SM; Kolesar, KR; May, NW; Fuentes, JD; Cook, RD; Gunsch, MJ; Mattson, CN; Hornbrook, RS; Apel, EC; Pratt, KA</t>
  </si>
  <si>
    <t>Wang, Siyuan; McNamara, Stephen M.; Kolesar, Katheryn R.; May, Nathaniel W.; Fuentes, Jose D.; Cook, Ryan D.; Gunsch, Matthew J.; Mattson, Claire N.; Hornbrook, Rebecca S.; Apel, Eric C.; Pratt, Kerri A.</t>
  </si>
  <si>
    <t>Urban Snowpack ClNO2 Production and Fate: A One-Dimensional Modeling Study</t>
  </si>
  <si>
    <t>ACS EARTH AND SPACE CHEMISTRY</t>
  </si>
  <si>
    <t>atmospheric chemistry; snow; 1-D modeling road salt; air quality; winter; ClNO2; N2O5</t>
  </si>
  <si>
    <t>INTERCOMPARISON EXPERIMENT NOMHICE; REACTIVE UPTAKE; NITRYL CHLORIDE; BOUNDARY-LAYER; PART 1; MOLECULAR BROMINE; VERTICAL PROFILES; ANTARCTIC PLATEAU; NOX EMISSIONS; GASEOUS N2O5</t>
  </si>
  <si>
    <t>Nitryl chloride (ClNO2) is formed in urban areas from the multiphase reaction of dinitrogen pentoxide (N2O5) on chloride-containing surfaces. ClNO2 undergoes photolysis to produce atomic chlorine (Cl-center dot), a strong atmospheric oxidant. While previous ClNO2 studies have focused on atmospheric particulate chloride, the saline snowpack in locations impacted by sea spray and road salt usage represents an additional, potentially large, source of ClNO2. Here, we present the first modeling study to explore the production of ClNO2 from the inland urban snowpack The coupled snowpack-atmospheric one-dimensional model is constrained to and evaluated by an array of ambient measurements in Ann Arbor, Michigan, during February 2016. The model predicts strong N2O5 deposition onto the snowpack, with ClNO2 formation and release to the atmosphere at low temperatures (similar to 270 K), the ClNO2 yield is low (e.g., 10%), with ClNO2 undergoing hydrolysis on the snow grains, making the snowpack a net sink for ClNO2. These results motivate measurements to quantify ClNO2 production from the urban snowpack because of potential broader impacts on atmospheric composition and air quality.</t>
  </si>
  <si>
    <t>[Wang, Siyuan; McNamara, Stephen M.; Kolesar, Katheryn R.; May, Nathaniel W.; Cook, Ryan D.; Gunsch, Matthew J.; Mattson, Claire N.; Pratt, Kerri A.] Univ Michigan, Dept Chem, Ann Arbor, MI 48109 USA; [Pratt, Kerri A.] Univ Michigan, Dept Earth &amp; Environm Sci, Ann Arbor, MI 48109 USA; [Fuentes, Jose D.] Penn State Univ, Dept Meteorol &amp; Atmospher Sci, University Pk, PA 16802 USA; [Hornbrook, Rebecca S.; Apel, Eric C.] Natl Ctr Atmospher Res, Atmospher Chem Observat &amp; Modeling Lab, Boulder, CO 80301 USA</t>
  </si>
  <si>
    <t>University of Michigan System; University of Michigan; University of Michigan System; University of Michigan; Pennsylvania Commonwealth System of Higher Education (PCSHE); Pennsylvania State University; Pennsylvania State University - University Park; National Center Atmospheric Research (NCAR) - USA</t>
  </si>
  <si>
    <t>Pratt, KA (corresponding author), Univ Michigan, Dept Chem, Ann Arbor, MI 48109 USA.;Pratt, KA (corresponding author), Univ Michigan, Dept Earth &amp; Environm Sci, Ann Arbor, MI 48109 USA.</t>
  </si>
  <si>
    <t>prattka@umich.edu</t>
  </si>
  <si>
    <t>Wang, Siyuan/AAA-6800-2021; Hornbrook, Rebecca/AAA-3520-2021; Fuentes, Jose D/B-9936-2009; Fuentes, José/JZT-9323-2024; Pratt, Kerri/F-8025-2010</t>
  </si>
  <si>
    <t>Wang, Siyuan/0000-0002-8110-5714; May, Nathaniel William/0000-0002-8913-4827; Pratt, Kerri/0000-0003-4707-2290; Hornbrook, Rebecca/0000-0002-6304-6554</t>
  </si>
  <si>
    <t>University of Michigan; National Science Foundation Atmospheric Chemistry program [AGS-1738588]; Dow Postdoctoral Fellowship in Sustainability from the University of Michigan; U.S. Department of Education Graduate Assistance in Areas of National Need (GAANN) fellowships; National Science Foundation</t>
  </si>
  <si>
    <t>University of Michigan(University of Michigan System); National Science Foundation Atmospheric Chemistry program(National Science Foundation (NSF)); Dow Postdoctoral Fellowship in Sustainability from the University of Michigan; U.S. Department of Education Graduate Assistance in Areas of National Need (GAANN) fellowships; National Science Foundation(National Science Foundation (NSF))</t>
  </si>
  <si>
    <t>Funding was provided by the University of Michigan and the National Science Foundation Atmospheric Chemistry program (AGS-1738588). K.R.K. was partially funded by a Dow Postdoctoral Fellowship in Sustainability from the University of Michigan. S.M.M. and N.W.M. were partially funded by U.S. Department of Education Graduate Assistance in Areas of National Need (GAANN) fellowships. The authors thank David J. Tanner and L. Gregory Huey (Georgia Institute of Technology) for providing the NO analyzer, Thomas B. Ryerson and Chelsea R. Thompson (NOAA) for providing the photolytic NO2 converter, Alicia Kevelin, Madeline Parks, and Maria Morales (University of Michigan) for snow sampling and IC analysis, and Chelsea R. Thompson (NOAA) for assistance with NOx measurements and helpful discussions. The National Center for Atmospheric Research is sponsored by the National Science Foundation; any opinions, findings, and conclusions or recommendations expressed in this publication are those of the authors and do not necessarily reflect the views of the National Science Foundation. The authors thank the reviewers for their comments that improved the manuscript and the editor for expeditiously handling the manuscript, especially given the current global challenges.</t>
  </si>
  <si>
    <t>AMER CHEMICAL SOC</t>
  </si>
  <si>
    <t>1155 16TH ST, NW, WASHINGTON, DC 20036 USA</t>
  </si>
  <si>
    <t>2472-3452</t>
  </si>
  <si>
    <t>ACS EARTH SPACE CHEM</t>
  </si>
  <si>
    <t>ACS Earth Space Chem.</t>
  </si>
  <si>
    <t>JUL 16</t>
  </si>
  <si>
    <t>10.1021/acsearthspacechem.0c00116</t>
  </si>
  <si>
    <t>Chemistry, Multidisciplinary; Geochemistry &amp; Geophysics</t>
  </si>
  <si>
    <t>Chemistry; Geochemistry &amp; Geophysics</t>
  </si>
  <si>
    <t>MO5DD</t>
  </si>
  <si>
    <t>WOS:000551545600018</t>
  </si>
  <si>
    <t>Lauretta, D; Vidos, C; Martinez, MI; Penchaszadeh, PE</t>
  </si>
  <si>
    <t>Lauretta, Daniel; Vidos, Camila; Martinez, Mariano I.; Penchaszadeh, Pablo E.</t>
  </si>
  <si>
    <t>Brooding in the deep-sea sea anemoneActinostola crassicornis(Hertwig, 1882) (Cnidaria: Anthozoa: Actiniaria) from the southwestern Atlantic Ocean</t>
  </si>
  <si>
    <t>Actinostolidae; Argentina; Reproduction; Sub-Antarctic waters</t>
  </si>
  <si>
    <t>ANEMONES COELENTERATA; ANTARCTIC PENINSULA; REPRODUCTION; VERRILL; POPULATION; TAXONOMY; ECOLOGY; SPAWN</t>
  </si>
  <si>
    <t>Marine invertebrates can display several reproductive strategies, from external reproduction to parental care. Internal brooding is particularly relevant in harsh conditions, like Antarctic/sub-Antarctic waters and deep-sea, since it maximizes the survival of the young.Actinostola crassicornisis an abundant and widely distributed sea anemone from the southwestern Atlantic Ocean. It can be found all along the Argentinean sea down to 1200 m depth, usually in large numbers. It is a unique species in the area, since it is a large white brooding sea anemone. We studied 75 specimens collected by the O/VWalther Herwigand the O/VPuerto Deseadoall along its distribution, from about 60 m to 800 m depth, in different seasons of the year. All the specimens were sexed, and the presence of free oocytes and juveniles inside the coelenteron were assessed. Large oocytes (over 500 mu m) and juveniles were found in samples from most of the sampled months. We found a larger number of female specimens, and most of the brooding specimens were female. No early developmental stages were found smaller than a sea anemone with about 12 tentacles. We conclude thatA. crassicornisreproduces continuously throughout the year and that although most of the juveniles were found in females, male specimens can breed. Brooding has great benefits in terms of protecting the offspring, since predation upon the juveniles is prevented, but dispersal of the offspring is low, shown by the aggregated distribution of the species.</t>
  </si>
  <si>
    <t>[Lauretta, Daniel; Vidos, Camila; Martinez, Mariano I.; Penchaszadeh, Pablo E.] Museo Argentino Ciencias Nat Bernardino Rivadavia, Lab Ecosistemas Costeros Plataforma &amp; Aguas Profu, Ave Angel Gallardo 470,C1405DJR, Buenos Aires, DF, Argentina</t>
  </si>
  <si>
    <t>Museo Argentino de Ciencias Naturales Bernardino Rivadavia (MACN)</t>
  </si>
  <si>
    <t>Vidos, C (corresponding author), Museo Argentino Ciencias Nat Bernardino Rivadavia, Lab Ecosistemas Costeros Plataforma &amp; Aguas Profu, Ave Angel Gallardo 470,C1405DJR, Buenos Aires, DF, Argentina.</t>
  </si>
  <si>
    <t>cami.vidos@hotmail.com</t>
  </si>
  <si>
    <t>Penchaszadeh, Pablo/ABB-8472-2021</t>
  </si>
  <si>
    <t>Penchaszadeh, Pablo/0000-0002-2043-8814</t>
  </si>
  <si>
    <t>Agencia Nacional de Promocion Cientifica y Tecnologica [PICT 2013-2504]; National Scientific and Technical Research Council [PIP 2017-0643]; DAAD (German Academic Exchange Service); PADI foundation</t>
  </si>
  <si>
    <t>Agencia Nacional de Promocion Cientifica y Tecnologica(ANPCyTSpanish Government); National Scientific and Technical Research Council; DAAD (German Academic Exchange Service)(Deutscher Akademischer Austausch Dienst (DAAD)); PADI foundation</t>
  </si>
  <si>
    <t>This work was partially founded by PICT 2013-2504 from the Agencia Nacional de Promocion Cientifica y Tecnologica to Pablo Penchaszadeh, a PIP 2017-0643 from the National Scientific and Technical Research Council to DL and MM, a DAAD (German Academic Exchange Service) to DL and a PADI foundation grant to DL.</t>
  </si>
  <si>
    <t>10.1007/s00300-020-02713-3</t>
  </si>
  <si>
    <t>WOS:000557645900001</t>
  </si>
  <si>
    <t>Jafari, M; Gouttevin, I; Couttet, M; Wever, N; Michel, A; Sharma, V; Rossmann, L; Maass, N; Nicolaus, M; Lehning, M</t>
  </si>
  <si>
    <t>Jafari, Mahdi; Gouttevin, Isabelle; Couttet, Margaux; Wever, Nander; Michel, Adrien; Sharma, Varun; Rossmann, Leonard; Maass, Nina; Nicolaus, Marcel; Lehning, Michael</t>
  </si>
  <si>
    <t>The Impact of Diffusive Water Vapor Transport on Snow Profiles in Deep and Shallow Snow Covers and on Sea Ice</t>
  </si>
  <si>
    <t>FRONTIERS IN EARTH SCIENCE</t>
  </si>
  <si>
    <t>diffusive water vapor flux; phase change; snowpack model; snow on sea ice; snow metamorphism; mass transfer coefficient</t>
  </si>
  <si>
    <t>EFFECTIVE THERMAL-CONDUCTIVITY; STEADY TEMPERATURE-GRADIENT; MASS-TRANSFER; DEPTH-HOAR; NATURAL-CONVECTION; ARCTIC SNOWPACK; SURFACE-AREA; AIR-FLOW; DRY SNOW; MODEL</t>
  </si>
  <si>
    <t>Water vapor transport has been highlighted as a critical process in Arctic snowpacks, shaping the snow cover structure in terms of density, thermal conductivity, and temperature profile among others. Here, we present an attempt to describe the thermally-induced vertical diffusion of water vapor in the snow cover and its effects of the snowpack structure using the SNOWPACK model. Convection, that may also constitute a significant part of vapor transport, is not addressed. Assuming saturated conditions at the upper boundary of the snowpack and as initial condition, the vapor flux between snow layers is expressed by a 1-dimensional transient diffusion equation, which is solved with a finite difference routine. The implications on the snowpack of this vertical diffusive flux, are analyzed using metrics such as the cumulative density change due to diffusive vapor transport, the degree of over- or undersaturation, the instantaneous snow density change rate, and the percentage of snow density change. We present results for four different regions sampling the space of natural snow cover variability: Alpine, Subarctic, Arctic, and Antarctic sea ice. The largest impact of diffusive water vapor transport is observed in snow on sea ice in the Weddell Sea and the shallow Arctic snowpack. The simulations show significant density reductions upon inclusion of diffusive water vapor transport: cumulative density changes from diffusive vapor transport can reach -62 and -66 kg m(-3)for the bottom layer in the shallow Arctic snowpack and snow on sea ice, respectively. For comparison, in deeper snow covers, they rarely exceed -40 kg m(-3). This leads to changes in density for shallow snowpacks at the soil-snow interface in the range of -5 to -21%. Mirroring the density decease at depth is a thicker deposition layer above it with increase in density around 7.5%. Similarly, for the sea ice, the density decreased at the sea ice-snow interface by -20%. We acknowledge that vapor transport by diffusion may in some snow covers-such as in thin tundra snow-be small compared to convective transport, which will have to be addressed in future work.</t>
  </si>
  <si>
    <t>[Jafari, Mahdi; Couttet, Margaux; Wever, Nander; Michel, Adrien; Sharma, Varun; Lehning, Michael] Ecole Polytech Fed Lausanne, Sch Architecture Civil &amp; Environm Engn, CRYOS, Lausanne, Switzerland; [Gouttevin, Isabelle] Univ Grenoble Alpes, Univ Toulouse, Meteo France, CNRS,CNRM,Ctr Etud Neige, Grenoble, France; [Wever, Nander; Michel, Adrien; Sharma, Varun; Lehning, Michael] WSL Inst Snow &amp; Avalanche Res SLF, Davos, Switzerland; [Wever, Nander; Rossmann, Leonard] Univ Colorado, Dept Atmospher &amp; Ocean Sci, Boulder, CO 80309 USA; [Maass, Nina] Helmholtz Ctr Polar &amp; Marine Res AWI, Alfred Wegener Inst, Bremerhaven, Germany; [Nicolaus, Marcel] Univ Hamburg, Ctr Earth Syst Res &amp; Sustainabil, Inst Oceanog, Hamburg, Germany</t>
  </si>
  <si>
    <t>Swiss Federal Institutes of Technology Domain; Ecole Polytechnique Federale de Lausanne; Communaute Universite Grenoble Alpes; Universite Grenoble Alpes (UGA); Meteo France; Centre National de la Recherche Scientifique (CNRS); Swiss Federal Institutes of Technology Domain; Swiss Federal Institute for Forest, Snow &amp; Landscape Research; University of Colorado System; University of Colorado Boulder; Helmholtz Association; Alfred Wegener Institute, Helmholtz Centre for Polar &amp; Marine Research; University of Hamburg</t>
  </si>
  <si>
    <t>Jafari, M (corresponding author), Ecole Polytech Fed Lausanne, Sch Architecture Civil &amp; Environm Engn, CRYOS, Lausanne, Switzerland.</t>
  </si>
  <si>
    <t>mahdi.jafari@epfl.ch</t>
  </si>
  <si>
    <t>Nicolaus, Marcel/A-3658-2013; Lehning, Michael/AFS-9462-2022</t>
  </si>
  <si>
    <t>Nicolaus, Marcel/0000-0003-0903-1746; rossmann, leonard/0000-0002-9048-957X; Lehning, Michael/0000-0002-8442-0875; Jafari, Mahdi/0000-0003-4794-4431</t>
  </si>
  <si>
    <t>Swiss National Science Foundation-SNF [200021E-154248]; Deutsche Forschungsgemeinschaft (DFG) [NI 1096/5-1, KA 2694/7-1]</t>
  </si>
  <si>
    <t>Swiss National Science Foundation-SNF(Swiss National Science Foundation (SNSF)); Deutsche Forschungsgemeinschaft (DFG)(German Research Foundation (DFG))</t>
  </si>
  <si>
    <t>This project was co-supported by the Swiss National Science Foundation-SNF, grant number 200021E-154248 and the Deutsche Forschungsgemeinschaft (DFG) in the framework of the priority program Antarctic Research with comparative investigations in Arctic ice areas by grant numbers NI 1096/5-1 and KA 2694/7-1. Snow Buoy 2016S31 from 05.02.14 to 02.10.15 origin from https://www.meereisportal.de (Forderung: REKLIM-2013-04).</t>
  </si>
  <si>
    <t>2296-6463</t>
  </si>
  <si>
    <t>FRONT EARTH SC-SWITZ</t>
  </si>
  <si>
    <t>Front. Earth Sci.</t>
  </si>
  <si>
    <t>10.3389/feart.2020.00249</t>
  </si>
  <si>
    <t>MW1EJ</t>
  </si>
  <si>
    <t>WOS:000556789000001</t>
  </si>
  <si>
    <t>Obryk, MK; Doran, PT; Fountain, AG; Myers, M; McKay, CP</t>
  </si>
  <si>
    <t>Obryk, M. K.; Doran, P. T.; Fountain, A. G.; Myers, M.; McKay, C. P.</t>
  </si>
  <si>
    <t>Climate From the McMurdo Dry Valleys, Antarctica, 1986-2017: Surface Air Temperature Trends and Redefined Summer Season</t>
  </si>
  <si>
    <t>McMurdo Dry Valleys; weather observations; summer season</t>
  </si>
  <si>
    <t>TAYLOR VALLEY; FOEHN WINDS; ICE; IMPACT; WATER; PERMAFROST; RADIATION; DYNAMICS; MARINE; STREAM</t>
  </si>
  <si>
    <t>The weather of the McMurdo Dry Valleys, Antarctica, the largest ice-free region of the Antarctica, has been continuously monitored since 1985 with currently 14 operational meteorological stations distributed throughout the valleys. Because climate is based on a 30-year record of weather, this is the first study to truly define the contemporary climate of the McMurdo Dry Valleys. Mean air temperature and solar radiation based on all stations were -20 degrees C and 102 W m(-2), respectively. Depending on the site location, the mean annual air temperatures on the valleys floors ranged between -15 degrees C and -30 degrees C, and mean annual solar radiation varied between 72 and 122 W m(-2). Surface air temperature decreased by 0.7 degrees C per decade from 1986 to 2006 at Lake Hoare station (longest continuous record), after which the record is highly variable with no trend. All stations with sufficiently long records showed similar trend shifts in 2005 +/- 1 year. Summer is defined as November through February, using a physically based process: up-valley warming from the coast associated with a change in atmospheric stability.</t>
  </si>
  <si>
    <t>[Obryk, M. K.] US Geol Survey, Cascades Volcano Observ, Vancouver, WA 98683 USA; [Doran, P. T.; Myers, M.] Louisiana State Univ, Dept Geol &amp; Geophys, Baton Rouge, LA 70803 USA; [Fountain, A. G.] Portland State Univ, Dept Geol, Portland, OR 97207 USA; [McKay, C. P.] NASA, Ames Res Ctr, Div Space Sci, Moffett Field, CA 94035 USA</t>
  </si>
  <si>
    <t>United States Department of the Interior; United States Geological Survey; Louisiana State University System; Louisiana State University; Portland State University; National Aeronautics &amp; Space Administration (NASA); NASA Ames Research Center</t>
  </si>
  <si>
    <t>Obryk, MK (corresponding author), US Geol Survey, Cascades Volcano Observ, Vancouver, WA 98683 USA.</t>
  </si>
  <si>
    <t>mobryk@usgs.gov</t>
  </si>
  <si>
    <t>McKay, Christopher/0000-0002-6243-1362; Myers, Madeline/0000-0002-2431-5520; Obryk, Maciej/0000-0002-8182-8656</t>
  </si>
  <si>
    <t>Office of Polar Programs (NSF) [1637708]; NSF; Directorate For Geosciences; Office of Polar Programs (OPP) [1637708] Funding Source: National Science Foundation</t>
  </si>
  <si>
    <t>Office of Polar Programs (NSF); NSF(National Science Foundation (NSF)); Directorate For Geosciences; Office of Polar Programs (OPP)(National Science Foundation (NSF)NSF - Directorate for Geosciences (GEO))</t>
  </si>
  <si>
    <t>This research was supported by the Office of Polar Programs (NSF Grant 1637708). Logistical support was provided by the U.S. Antarctic Program through funding from NSF. We thank the McMurdo Dry Valleys, Antarctica Long Term Ecological Research project personnel, particularly Thomas Nylen, Hassan Basagic, Meda Medved, Krista Myers, Hilary Dugan, and Luke Winslow for collecting and processing meteorological data. Any use of trade, firm, or product names is for descriptive purposes only and does not imply endorsement by the U.S. Government.</t>
  </si>
  <si>
    <t>e2019JD032180</t>
  </si>
  <si>
    <t>10.1029/2019JD032180</t>
  </si>
  <si>
    <t>MO4FV</t>
  </si>
  <si>
    <t>WOS:000551484700033</t>
  </si>
  <si>
    <t>Luz, LG; Santos, TP; Eglinton, TI; Montluçon, D; Ausin, B; Haghipour, N; Sousa, SM; Nagai, RH; Carreira, RS</t>
  </si>
  <si>
    <t>Luz, Leticia G.; Santos, Thiago P.; Eglinton, Timothy, I; Montlucon, Daniel; Ausin, Blanca; Haghipour, Negar; Sousa, Silvia M.; Nagai, Renata H.; Carreira, Renato S.</t>
  </si>
  <si>
    <t>Contrasting late-glacial paleoceanographic evolution between the upper and lower continental slope of the western South Atlantic</t>
  </si>
  <si>
    <t>CLIMATE OF THE PAST</t>
  </si>
  <si>
    <t>SUBTROPICAL SHELF FRONT; AIR-SEA INTERACTION; TROPICAL ATLANTIC; ANTARCTIC ICE; PLANKTONIC-FORAMINIFERA; NORTHEASTERN BRAZIL; CHRONOLOGY AICC2012; SALINITY VARIATIONS; UPWELLING SYSTEM; CLIMATE-CHANGE</t>
  </si>
  <si>
    <t>The number of sedimentary records collected along the Brazilian continental margin has increased significantly in recent years, but relatively few are located in shallow waters and register paleoceanographic processes in the outer shelf-middle slope prior to 10-15 ka. For instance, the northward flow up to 23-24 degrees S of cold and fresh shelf waters sourced from the Subantarctic region is an important feature of current hydrodynamics in the subtropical western South Atlantic Ocean, and yet limited information is available for the long-term changes of this system. Herein, we considered a suite of organic and inorganic proxies - alkenones-derived sea surface temperature (SST), delta D-alkenones, delta O-18 of planktonic foraminifera, and ice-volume free seawater delta O-18(IVF-SW) - in sediment from two cores (RJ-1501 and RJ-1502) collected off the Rio de Janeiro Shelf (SE Brazilian continental shelf) to shed light on SST patterns and relative salinity variations since the end of the last glacial cycle in the region and the implications of these processes over a broader spatial scale. The data indicate that, despite the proximity (similar to 40 km apart) of both cores, apparently contradictory climatic evolution occurred at the two sites, with the shallower (deeper) core RJ-1501 (RJ-1502) showing consistently cold (warm) and fresh (salt) conditions toward the Last Glacial Maximum (LGM) and last deglaciation. This can be reconciled by considering that the RJ-1501 core registered a signal from mid-to high latitudes on the upper slope off Rio de Janeiro represented by the influence of the cold and fresh waters composed of Subantarctic Shelf Water and La Plata Plume Water transported northward by the Brazilian Coastal Current (BCC). The data from core RJ-1502 and previous information for deep-cores from the same region support this interpretation. In addition, alkenone-derived SST and delta O-18(IVF-SW) suggest a steep thermal and density gradient formed between the BCC and Brazil Current (BC) during the last climate transition which, in turn, may have generated perturbations in the air-sea heat flux with consequences for the regional climate of SE South America. In a scenario of future weakening of the Atlantic Meridional Overturning Circulation, the reconstructed gradient may become a prominent feature of the region.</t>
  </si>
  <si>
    <t>[Luz, Leticia G.; Carreira, Renato S.] Pontificia Univ Catolica Rio de Janeiro PUC Rio, Dept Quim, LabMAM, Rio De Janeiro, Brazil; [Santos, Thiago P.] Univ Fed Fluminense, Programa Geociencias Geoquim, Niteroi, RJ, Brazil; [Eglinton, Timothy, I; Montlucon, Daniel; Ausin, Blanca; Haghipour, Negar] Swiss Fed Inst Technol, Dept Earth Sci, Geol Inst, Zurich, Switzerland; [Ausin, Blanca] Univ Salamanca, Dept Geol, Salamanca, Spain; [Sousa, Silvia M.] Univ Sao Paulo, Inst Oceanog, Sao Paulo, Brazil; [Nagai, Renata H.] Univ Fed Parana UFPR, Ctr Estudos Mar, Curitiba, Parana, Brazil</t>
  </si>
  <si>
    <t>Universidade Federal Fluminense; Swiss Federal Institutes of Technology Domain; ETH Zurich; University of Salamanca; Universidade de Sao Paulo; Universidade Federal do Parana</t>
  </si>
  <si>
    <t>Luz, LG (corresponding author), Pontificia Univ Catolica Rio de Janeiro PUC Rio, Dept Quim, LabMAM, Rio De Janeiro, Brazil.</t>
  </si>
  <si>
    <t>leticiagluz@gmail.com</t>
  </si>
  <si>
    <t>Santos, Thiago P./AAN-6506-2021; de Mello e Sousa, Silvia Helena/ABH-5834-2020; Nagai, Renata Hanae/N-6643-2019; Carreira, Renato/I-5559-2012; Haghipour, Negar/K-9683-2017</t>
  </si>
  <si>
    <t>Nagai, Renata Hanae/0000-0002-1358-5074; Carreira, Renato/0000-0002-1308-6611; Santos, Thiago/0000-0002-9273-3329; Ausin, Blanca/0000-0001-9492-2812</t>
  </si>
  <si>
    <t>Coordenacao de Aperfeicoamento de Pessoal de Nivel Superior - Brasil (CAPES) [001]; FAPERJ [E-26/203.066/2017]; CAPES [88881.151666/2017-00]; PDSE [88881.134411/2016-01]; CNPq [309347/2017-3]</t>
  </si>
  <si>
    <t>Coordenacao de Aperfeicoamento de Pessoal de Nivel Superior - Brasil (CAPES)(Coordenacao de Aperfeicoamento de Pessoal de Nivel Superior (CAPES)); FAPERJ(Fundacao Carlos Chagas Filho de Amparo a Pesquisa do Estado do Rio De Janeiro (FAPERJ)); CAPES(Coordenacao de Aperfeicoamento de Pessoal de Nivel Superior (CAPES)); PDSE; CNPq(Conselho Nacional de Desenvolvimento Cientifico e Tecnologico (CNPQ))</t>
  </si>
  <si>
    <t>This research has been supported in part by the Coordenacao de Aperfeicoamento de Pessoal de Nivel Superior - Brasil (CAPES) (finance code 001) and by FAPERJ (process no. E-26/203.066/2017). Leticia Luz has been supported by the CAPES for a doctorate (proc. no. 88881.151666/2017-00) and a PDSE (proc. no. 88881.134411/2016-01) scholarship. Renato S. Carreira has been supported by a research fellowship from CNPq (grant no. 309347/2017-3).</t>
  </si>
  <si>
    <t>1814-9324</t>
  </si>
  <si>
    <t>1814-9332</t>
  </si>
  <si>
    <t>CLIM PAST</t>
  </si>
  <si>
    <t>Clim. Past.</t>
  </si>
  <si>
    <t>10.5194/cp-16-1245-2020</t>
  </si>
  <si>
    <t>MO4NV</t>
  </si>
  <si>
    <t>WOS:000551505700001</t>
  </si>
  <si>
    <t>Qu, TD; Gao, S; Fine, RA</t>
  </si>
  <si>
    <t>Qu, Tangdong; Gao, Shan; Fine, Rana A.</t>
  </si>
  <si>
    <t>Variability of the Sub-Antarctic Mode Water Subduction Rate During the Argo Period</t>
  </si>
  <si>
    <t>WIND-DRIVEN CIRCULATION; NORTH-PACIFIC; MIXED-LAYER; OCEAN VENTILATION; DECADAL CHANGES; TRENDS; HEAT; SPIN; SF6</t>
  </si>
  <si>
    <t>Both a quasi-biennial variability and an overall linearly increasing trend are identified in the Sub-Antarctic Mode Water (SAMW) subduction rate across the Southern Hemisphere ocean, using the Argo data during 2005-2019. The quasi-biennial variability is mainly due to variability of the mixed layer depth. Variability of wind stress curl in the SAMW formation regions associated with the Southern Annular Mode plays a critical role in generating the quasi-biennial variability of the mixed layer depth and consequently the SAMW subduction rates. The SAMW subduction rate across the Southern Hemisphere ocean, long-term mean totaling 56 Sv, has increased at 0.73 +/- 0.65 Sv year(-1) over the past 15 years. The increase has directly contributed to the observed increase in the total SAMW volume. Much of this increasing trend can be explained by the deepening mixed layers, which in turn are primarily forced by the strengthening westerly winds under an increasing Southern Annular Mode. Plain Language Summary The upper ocean heat content has increased globally during the past decades. Recent studies have shown that this warming trend has concentrated in the extratropical Southern Hemisphere ocean and can be largely explained by the Sub-Antarctic Mode Water (SAMW) variability. Analysis of the Argo data reveals an increasing trend of the SAMW subduction rate during the period 2005-2019. Superimposed with this increasing trend is a quasi-biennial variability resulting from changes of the mixed layer depth. The increasing trend of the SAMW subduction rate directly contributes to the decade-long increase of the total SAMW volume. A large portion of this increasing trend is due to deepening of the mixed layer. Enhanced downward Ekman pumping in the SAMW subduction regions associated with an increasing Southern Annular Mode is primarily responsible for the increasing trends of the mixed layer depth and consequently the SAMW subduction rate.</t>
  </si>
  <si>
    <t>[Qu, Tangdong] Univ Calif Los Angeles, Joint Inst Reg Earth Syst Sci &amp; Engn, Los Angeles, CA 90095 USA; [Gao, Shan] Chinese Acad Sci, Inst Oceanol, Qingdao, Peoples R China; [Gao, Shan] Chinese Acad Sci, Ctr Ocean Megasci, Qingdao, Peoples R China; [Gao, Shan] Pilot Natl Lab Marine Sci &amp; Technol, Lab Ocean Dynam &amp; Climate, Qingdao, Peoples R China; [Fine, Rana A.] Univ Miami, Rosenstiel Sch Marine &amp; Atmospher Sci, 4600 Rickenbacker Causeway, Miami, FL 33149 USA</t>
  </si>
  <si>
    <t>University of California System; University of California Los Angeles; Chinese Academy of Sciences; Institute of Oceanology, CAS; Chinese Academy of Sciences; Laoshan Laboratory; University of Miami</t>
  </si>
  <si>
    <t>Qu, TD (corresponding author), Univ Calif Los Angeles, Joint Inst Reg Earth Syst Sci &amp; Engn, Los Angeles, CA 90095 USA.</t>
  </si>
  <si>
    <t>tangdong@ucla.edu</t>
  </si>
  <si>
    <t>gao, shan/H-7959-2013</t>
  </si>
  <si>
    <t>gao, shan/0000-0003-4510-5028</t>
  </si>
  <si>
    <t>NSF [1829809, 1829824]; National Natural Science Foundation of China [41676009]; Division Of Ocean Sciences; Directorate For Geosciences [1829824] Funding Source: National Science Foundation; Division Of Ocean Sciences; Directorate For Geosciences [1829809] Funding Source: National Science Foundation</t>
  </si>
  <si>
    <t>NSF(National Science Foundation (NSF)); National Natural Science Foundation of China(National Natural Science Foundation of China (NSFC)); Division Of Ocean Sciences; Directorate For Geosciences(National Science Foundation (NSF)NSF - Directorate for Geosciences (GEO)); Division Of Ocean Sciences; Directorate For Geosciences(National Science Foundation (NSF)NSF - Directorate for Geosciences (GEO))</t>
  </si>
  <si>
    <t>This study was supported by NSF through Grants 1829809 and 1829824. S. Gao was supported by the National Natural Science Foundation of China through Grant 41676009. The authors are grateful to L. Talley for useful discussion on the topic.</t>
  </si>
  <si>
    <t>e2020GL088248</t>
  </si>
  <si>
    <t>10.1029/2020GL088248</t>
  </si>
  <si>
    <t>MO3YK</t>
  </si>
  <si>
    <t>WOS:000551465400007</t>
  </si>
  <si>
    <t>Rodríguez-Ros, P; Gali, M; Cortes, P; Robinson, CM; Antoine, D; Wohl, C; Yang, MX; Simó, R</t>
  </si>
  <si>
    <t>Rodriguez-Ros, Pablo; Gali, Marti; Cortes, Pau; Robinson, Charlotte Mary; Antoine, David; Wohl, Charel; Yang, MingXi; Simo, Rafel</t>
  </si>
  <si>
    <t>Remote Sensing Retrieval of Isoprene Concentrations in the Southern Ocean</t>
  </si>
  <si>
    <t>isoprene; remote sensing; MODIS; Southern Ocean; chlorophyll a; algorithm</t>
  </si>
  <si>
    <t>DIMETHYL SULFIDE; SURFACE SEAWATER; MARINE ISOPRENE; MIXED-LAYER; PHYTOPLANKTON; EMISSIONS; HYDROCARBONS; AEROSOLS; EXCHANGE; CLIMATE</t>
  </si>
  <si>
    <t>Isoprene produced by marine phytoplankton acts as a precursor of secondary organic aerosol and thereby affects cloud formation and brightness over the remote oceans. Yet the marine isoprene emission is poorly constrained, with discrepancies among estimates that reach 2 orders of magnitude. Here we present ISOREMS, the first satellite-only based algorithm for the retrieval of isoprene concentration in the Southern Ocean. Sea surface concentrations from six cruises were matched with remotely sensed variables from MODIS Aqua, and isoprene was best predicted by multiple linear regression with chlorophyll a and sea surface temperature. Climatological (2002-2018) isoprene distributions computed with ISOREMS revealed high concentrations in coastal and near-island waters, and within the 40-50 degrees S latitudinal band. Isoprene seasonality paralleled phytoplankton productivity, with annual maxima in summer. The annual Southern Ocean emission of isoprene was estimated at 63 Gg C yr(-1). The algorithm can provide spatially and temporally realistic inputs to atmospheric and climate models.</t>
  </si>
  <si>
    <t>[Rodriguez-Ros, Pablo; Cortes, Pau; Simo, Rafel] ICM CSIC, Inst Ciencies Mar, Passeig Maritim Barceloneta, Barcelona, Catalonia, Spain; [Gali, Marti] Barcelona Supercomp Ctr BSC CNS, Earth Sci Dept, Barcelona, Catalonia, Spain; [Robinson, Charlotte Mary; Antoine, David] Curtin Univ, Sch Earth &amp; Planetary Sci, Remote Sensing &amp; Satellite Res Grp, Perth, WA, Australia; [Antoine, David] Sorbonne Univ, Lab OcOanog Villefranche, LOV, CNRS, Villefranche Sur Mer, France; [Wohl, Charel; Yang, MingXi] Plymouth Marine Lab, Plymouth, Devon, England</t>
  </si>
  <si>
    <t>Consejo Superior de Investigaciones Cientificas (CSIC); CSIC - Centro Mediterraneo de Investigaciones Marinas y Ambientales (CMIMA); CSIC - Instituto de Ciencias del Mar (ICM); Universitat Politecnica de Catalunya; Barcelona Supercomputer Center (BSC-CNS); Curtin University; Centre National de la Recherche Scientifique (CNRS); Sorbonne Universite; Plymouth Marine Laboratory</t>
  </si>
  <si>
    <t>Simó, R (corresponding author), ICM CSIC, Inst Ciencies Mar, Passeig Maritim Barceloneta, Barcelona, Catalonia, Spain.</t>
  </si>
  <si>
    <t>rsimo@icm.csic.es</t>
  </si>
  <si>
    <t>Galí, Martí/L-1541-2013; Yang, Mingxi/ABC-7118-2020; Robinson, Charlotte Mary/O-2953-2017; Antoine, David/C-3817-2013</t>
  </si>
  <si>
    <t>Galí, Martí/0000-0002-5587-1271; Yang, Mingxi/0000-0002-8321-5984; Antoine, David/0000-0002-9082-2395; Simo, Rafel/0000-0003-3276-7663; Robinson, Charlotte Mary/0000-0001-8519-5641; Wohl, Charel/0000-0002-6592-6037</t>
  </si>
  <si>
    <t>Spanish Ministry of Economy and Competitiveness [CTM2012-37615, CTM2016-81008-R]; Australian Government through the Australian Research Council [DP160103387]; Swiss Polar Institute; Ferring Pharmaceuticals; la Caixa Foundation [20152019]</t>
  </si>
  <si>
    <t>Spanish Ministry of Economy and Competitiveness(Spanish Government); Australian Government through the Australian Research Council(Australian Research Council); Swiss Polar Institute; Ferring Pharmaceuticals(Ferring Pharmaceuticals); la Caixa Foundation(La Caixa Foundation)</t>
  </si>
  <si>
    <t>This research was funded by the Spanish Ministry of Economy and Competitiveness through projects PEGASO (CTM2012-37615) and BIOGAPS (CTM2016-81008-R) to R. S., and partially by the Australian Government through the Australian Research Council's Discovery Projects funding scheme (project DP160103387). The Antarctic Circumnavigation Expedition was made possible by funding from the Swiss Polar Institute and Ferring Pharmaceuticals. P. R. R. was supported by a la Caixa Foundation PhD Fellowship (20152019). Members of the ACE#1 research team are greatly acknowledged for providing data and technical support. We are grateful to NASA's Ocean Biology Processing Group (OBPG) for MODIS Aqua data and to the British Oceanographic Data Centre (BODC). We thank R. Wanninkhof (NOAA/AOML) and J. Trianes (Universidade de Santiago de Compostela) for providing the CCMP2 monthly climatology. P. R. R. would like to thank M. Babin, M. Levasseur, and M. Lizotte for hosting and training him at Takuvik Joint International Laboratory (Universite Laval (Canada) CNRS (France)) during 2016. We also want to thank the Captain, officers, and crew of RV Hesperides and RV Akademik Tryoshnikov, engineers of the Marine Technology Unit (CSIC), and research colleagues for their support and help during the cruises.</t>
  </si>
  <si>
    <t>e2020GL087888</t>
  </si>
  <si>
    <t>10.1029/2020GL087888</t>
  </si>
  <si>
    <t>WOS:000551465400050</t>
  </si>
  <si>
    <t>Ryan, S; Hellmer, HH; Janout, M; Darelius, E; Vignes, L; Schröder, M</t>
  </si>
  <si>
    <t>Ryan, Svenja; Hellmer, Hartmut H.; Janout, Markus; Darelius, Elin; Vignes, Lucie; Schroeder, Michael</t>
  </si>
  <si>
    <t>Exceptionally Warm and Prolonged Flow of Warm Deep Water Toward the Filchner-Ronne Ice Shelf in 2017</t>
  </si>
  <si>
    <t>ocean-ice shelf interaction; Weddell Sea; warm inflow; Antarctic Slope Front; Filchner-Ronne Ice Shelf</t>
  </si>
  <si>
    <t>SOUTHERN WEDDELL SEA; CONTINENTAL-SHELF; CIRCULATION; TRANSPORT; WIND; EDDY; HYDROGRAPHY; DYNAMICS; INFLOW; MASSES</t>
  </si>
  <si>
    <t>The Filchner-Ronne Ice Shelf, fringing the southern Weddell Sea, is Antarctica's second largest ice shelf. At present, basal melt rates are low due to active dense water formation; however, model projections suggest a drastic increase in the future due to enhanced inflow of open-ocean warm water. Mooring observations from 2014 to 2016 along the eastern flank of the Filchner Trough (76 degrees S) revealed a distinct seasonal cycle with inflow if Warm Deep Water during summer and autumn. Here we present extended time series showing an exceptionally warm and long inflow in 2017, with maximum temperatures exceeding 0.5 degrees C. Warm temperatures persisted throughout winter, associated with a fresh anomaly, which lead to a change in stratification over the shelf, favoring an earlier inflow in the following summer. We suggest that the fresh anomaly developed upstream after anomalous summer sea ice melting and contributed to a shoaling of the shelf break thermocline.</t>
  </si>
  <si>
    <t>[Ryan, Svenja; Hellmer, Hartmut H.; Janout, Markus; Schroeder, Michael] Alfred Wegener Inst, Helmholtz Ctr Polar &amp; Marine Res, Bremerhaven, Germany; [Ryan, Svenja] Woods Hole Oceanog Inst, Woods Hole, MA 02543 USA; [Darelius, Elin] Univ Bergen, Geophys Inst, Bergen, Norway; [Vignes, Lucie] Sorbonne Univ, Lab Oceanog &amp; Climat, CNRS, Paris, France</t>
  </si>
  <si>
    <t>Helmholtz Association; Alfred Wegener Institute, Helmholtz Centre for Polar &amp; Marine Research; Woods Hole Oceanographic Institution; University of Bergen; Sorbonne Universite; Centre National de la Recherche Scientifique (CNRS)</t>
  </si>
  <si>
    <t>Ryan, S (corresponding author), Alfred Wegener Inst, Helmholtz Ctr Polar &amp; Marine Res, Bremerhaven, Germany.;Ryan, S (corresponding author), Woods Hole Oceanog Inst, Woods Hole, MA 02543 USA.</t>
  </si>
  <si>
    <t>sryan@whoi.edu</t>
  </si>
  <si>
    <t>Darelius, Elin/O-4096-2015</t>
  </si>
  <si>
    <t>Darelius, Elin/0000-0003-3060-0317; Janout, Markus/0000-0003-4908-2855; Hellmer, Hartmut/0000-0002-9357-9853; Ryan, Svenja/0000-0001-9427-2127</t>
  </si>
  <si>
    <t>RV Polarstern [AWI_PS82_02, AWI_PS96_01, AWI_PS111_01]; project TOBACO, POLARPROG, Norges Forskningsrd [267660]</t>
  </si>
  <si>
    <t>RV Polarstern; project TOBACO, POLARPROG, Norges Forskningsrd</t>
  </si>
  <si>
    <t>The authors would like to express their gratitude to the officers and crews of RV Polarstern (cruises PS92 [Grant AWI_PS82_02], PS96 [Grant AWI_PS96_01], and PS111 [Grant AWI_PS111_01]), RRS Ernest Shackleton (Cruise ES060), and RSS James Clark Ross (Cruise JR16004) for their efficient assistance. Special thanks to Andreas Wisotzki and Gerd Rohardt for the outstanding care with the data sampling and processing. Furthermore, thank you to two anonymous reviewers for their constructive comments that improved the manuscript. E. D. received funding from the project TOBACO (267660), POLARPROG, Norges Forskningsrd. The authors thank the University of Trier, Germany, and Stephan Paul for providing capacities to process the additional daily sea ice production rates for the years 2015 to 2017 following the approach by Paul et al. (2015b).</t>
  </si>
  <si>
    <t>e2020GL088119</t>
  </si>
  <si>
    <t>10.1029/2020GL088119</t>
  </si>
  <si>
    <t>WOS:000551465400014</t>
  </si>
  <si>
    <t>Sutter, J; Eisen, O; Werner, M; Grosfeld, K; Kleiner, T; Fischer, H</t>
  </si>
  <si>
    <t>Sutter, J.; Eisen, O.; Werner, M.; Grosfeld, K.; Kleiner, T.; Fischer, H.</t>
  </si>
  <si>
    <t>Limited Retreat of the Wilkes Basin Ice Sheet During the Last Interglacial</t>
  </si>
  <si>
    <t>Sea Level; Warmer Worlds; Antarctica; Last Interglacial; Paleoclimate; Ice core</t>
  </si>
  <si>
    <t>SEA-LEVEL; GROUNDING LINE; MODEL; SCALE; SHELF; SENSITIVITY; ANTARCTICA; BED</t>
  </si>
  <si>
    <t>The response of the East Antarctic Ice Sheet to global warming represents a major source of uncertainty in sea-level projections. Thinning of the East Antarctic George V and Sabrina Coast ice cover is currently taking place, and regional ice-sheet instability episodes might have been triggered in past warm climates. However, the magnitude of ice retreat in the past cannot yet be quantitatively derived from paleo-proxy records alone. We propose that a runaway retreat of the George V coast grounding line and subsequent instability of the Wilkes Basin ice sheet would either leave a clear imprint on the water isotope composition in the Talos Dome region or prohibit a Talos Dome ice-core record from the Last Interglacial altogether. Testing this hypothesis, our ice-sheet model simulations suggest that Wilkes Basin ice-sheet retreat remained relatively limited during the Last Interglacial and provide a constraint on Last Interglacial East Antarctic grounding line stability.</t>
  </si>
  <si>
    <t>[Sutter, J.; Kleiner, T.; Fischer, H.] Univ Bern, Phys Inst, Climate &amp; Environm Phys, Bern, Switzerland; [Sutter, J.; Kleiner, T.; Fischer, H.] Univ Bern, Oeschger Ctr Climate Change Res, Bern, Switzerland; [Sutter, J.; Eisen, O.; Werner, M.; Grosfeld, K.] Helmholtz Ctr Polar &amp; Marine Res, Alfred Wegener Inst, Bremerhaven, Germany; [Eisen, O.] Univ Bremen, Dept Geosci, Bremen, Germany</t>
  </si>
  <si>
    <t>University of Bern; University of Bern; Helmholtz Association; Alfred Wegener Institute, Helmholtz Centre for Polar &amp; Marine Research; University of Bremen</t>
  </si>
  <si>
    <t>Sutter, J (corresponding author), Univ Bern, Phys Inst, Climate &amp; Environm Phys, Bern, Switzerland.;Sutter, J (corresponding author), Univ Bern, Oeschger Ctr Climate Change Res, Bern, Switzerland.</t>
  </si>
  <si>
    <t>johannes.sutter@climate.unibe.ch</t>
  </si>
  <si>
    <t>Werner, Martin/C-8067-2014; Kleiner, Thomas/F-6821-2015; Eisen, Olaf/K-3846-2012; Fischer, Hubertus/A-1211-2014</t>
  </si>
  <si>
    <t>Werner, Martin/0000-0002-6473-0243; Kleiner, Thomas/0000-0001-7825-5765; Eisen, Olaf/0000-0002-6380-962X; Sutter, Johannes/0000-0002-3357-2633; Fischer, Hubertus/0000-0002-2787-4221</t>
  </si>
  <si>
    <t>Helmholtz Climate Initiative REKLIM; European Union's Horizon 2020 research and innovation program [730258, 820970]; Swiss National Science Foundation (SNSF); H2020 Societal Challenges Programme [730258] Funding Source: H2020 Societal Challenges Programme</t>
  </si>
  <si>
    <t>Helmholtz Climate Initiative REKLIM; European Union's Horizon 2020 research and innovation program; Swiss National Science Foundation (SNSF)(Swiss National Science Foundation (SNSF)); H2020 Societal Challenges Programme(Horizon 2020European Union (EU)H2020 Societal Challenges Programme)</t>
  </si>
  <si>
    <t>We are grateful to the Helmholtz Climate Initiative REKLIM for funding. JS was also supported by the European Union's Horizon 2020 research and innovation program (grant no. 730258 BE-OI CSA and 820970 - TiPES). HF gratefully acknowledges the long-term support by the Swiss National Science Foundation (SNSF). We thank the Paleoclimate Dynamics group lead by Prof. Gerrit Lohmann for providing climate model output for the Last Interglacial. Computing time was provided by the Alfred-WegenerInstitute.</t>
  </si>
  <si>
    <t>e2020GL088131</t>
  </si>
  <si>
    <t>10.1029/2020GL088131</t>
  </si>
  <si>
    <t>WOS:000551465400019</t>
  </si>
  <si>
    <t>Uchida, HA; Kataoka, R; Kadokura, A; Murase, K; Yukimatu, AS; Miyoshi, Y; Shiokawa, K; Ebihara, Y; Hosokawa, K; Matsuoka, A; Kurita, S; Fujita, S; Shinohara, I</t>
  </si>
  <si>
    <t>Uchida, H. A.; Kataoka, R.; Kadokura, A.; Murase, K.; Yukimatu, A. S.; Miyoshi, Y.; Shiokawa, K.; Ebihara, Y.; Hosokawa, K.; Matsuoka, A.; Kurita, S.; Fujita, S.; Shinohara, I</t>
  </si>
  <si>
    <t>Asymmetric Development of Auroral Surges in the Northern and Southern Hemispheres</t>
  </si>
  <si>
    <t>auroral breakup; traveling surge; interhemispheric asymmetry</t>
  </si>
  <si>
    <t>CONJUGATE; SUBSTORM; DYNAMICS; EXPANSION; ONSET</t>
  </si>
  <si>
    <t>Simultaneous eastward and westward traveling surges were observed at Tjornes, Iceland, and Syowa station, Antarctica, respectively. Several remarkable differences were identified. (1) The position of the initial bright spot was shifted by 1.7 to 2.3 MLT between both hemispheres. (2) The surges differ in traveling speed between the eastward traveling surge (6.5 km s(-1)) and the westward traveling surge (1.3 km s(-1)). (3) The Arase satellite was located on a geomagnetic field line connecting both ground stations and observed a significant excess in westward component of the magnetic field, which is consistent with the large shifts of the initial bright spots in both hemispheres. (4) The background Hall current flows eastward (Northern Hemisphere) and westward (Southern Hemisphere). The observed north-south asymmetry of the traveling surges suggests that the ionosphere can play an essential role in controlling the fundamental spatiotemporal development of auroras in both hemispheres.</t>
  </si>
  <si>
    <t>[Uchida, H. A.; Kataoka, R.; Kadokura, A.; Murase, K.; Yukimatu, A. S.] Grad Univ Adv Studies, Dept Polar Sci, Tachikawa, Tokyo, Japan; [Kataoka, R.; Kadokura, A.; Yukimatu, A. S.; Fujita, S.] Res Org Informat &amp; Syst, Natl Inst Polar Res, Tachikawa, Tokyo, Japan; [Kadokura, A.] Res Org Informat &amp; Syst, Joint Support Ctr Data Sci Res, Polar Environm Data Sci Ctr, Tachikawa, Tokyo, Japan; [Miyoshi, Y.; Shiokawa, K.] Nagoya Univ, Inst Space Earth Environm Res, Nagoya, Aichi, Japan; [Ebihara, Y.; Kurita, S.] Kyoto Univ, Res Inst Sustainable Humanosphere, Uji, Japan; [Hosokawa, K.] Univ Electrocommun, Grad Sch Informat &amp; Engn, Chofu, Tokyo, Japan; [Matsuoka, A.; Shinohara, I] Japan Aerosp Explorat Agcy, Inst Space &amp; Astronaut Sci, Sagamihara, Kanagawa, Japan; [Fujita, S.] Meteorol Coll, Kashiwa, Chiba, Japan</t>
  </si>
  <si>
    <t>Graduate University for Advanced Studies - Japan; Research Organization of Information &amp; Systems (ROIS); National Institute of Polar Research (NIPR) - Japan; Research Organization of Information &amp; Systems (ROIS); Nagoya University; Kyoto University; University of Electro-Communications - Japan; Japan Aerospace Exploration Agency (JAXA); Institute of Space &amp; Astronautical Science (ISAS)</t>
  </si>
  <si>
    <t>Uchida, HA (corresponding author), Grad Univ Adv Studies, Dept Polar Sci, Tachikawa, Tokyo, Japan.</t>
  </si>
  <si>
    <t>herbert.akihito@nipr.ac.jp</t>
  </si>
  <si>
    <t>Miyoshi, Yoshizumi/T-5748-2019; Ebihara, Yusuke/D-1638-2013; Ebihara, Yusuke/ABD-4430-2021; KATAOKA, RYUHO/AAJ-4570-2020</t>
  </si>
  <si>
    <t>Miyoshi, Yoshizumi/0000-0001-7998-1240; Ebihara, Yusuke/0000-0002-2293-1557; Ebihara, Yusuke/0000-0002-2293-1557; Uchida, Herbert Akihito/0000-0002-4228-9178; KADOKURA, AKIRA/0000-0002-6105-9562; Murase, Kiyoka/0000-0001-8871-9199; Kataoka, Ryuho/0000-0001-9400-1765</t>
  </si>
  <si>
    <t>National Science Foundation (NSF) [1417899]; JSPS KAKENHI [16H06286, 15H02628, 15H05815, 15H05747]; Grants-in-Aid for Scientific Research [15H02628] Funding Source: KAKEN; Directorate For Geosciences; Div Atmospheric &amp; Geospace Sciences [1417899] Funding Source: National Science Foundation</t>
  </si>
  <si>
    <t>National Science Foundation (NSF)(National Science Foundation (NSF));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 Directorate For Geosciences; Div Atmospheric &amp; Geospace Sciences(National Science Foundation (NSF)NSF - Directorate for Geosciences (GEO))</t>
  </si>
  <si>
    <t>We thank all of the crew members of the 59th Japanese Antarctic Research Expedition at Syowa Station, Antarctica. We thank the kind support of the observatory at Tjornes, Iceland. We thank Shin-ichi Ohtani for his helpful discussions on SuperMAG data. SuperMAG is an international collaboration with many organizations and institutes funded by National Science Foundation (NSF) Grant 1417899. This work is supported by JSPS KAKENHI 16H06286 (PI: Kazuo Shiokawa), 15H02628 (PI: Akira Kadokura), 15H05815 (PI: Yoshizumi Miyoshi), and 15H05747 (PI: Ryoich Fujii).</t>
  </si>
  <si>
    <t>e2020GL088750</t>
  </si>
  <si>
    <t>10.1029/2020GL088750</t>
  </si>
  <si>
    <t>WOS:000551465400059</t>
  </si>
  <si>
    <t>Bloom, LE</t>
  </si>
  <si>
    <t>Bloom, Lisa E.</t>
  </si>
  <si>
    <t>Planetary precarity and feminist environmental art practices in Antarctica</t>
  </si>
  <si>
    <t>JOURNAL OF POSTCOLONIAL WRITING</t>
  </si>
  <si>
    <t>Antarctica; feminist art; feminist ecological art; postcolonial art; polar art; Antarctic art</t>
  </si>
  <si>
    <t>The article addresses Antarctica exclusively and focuses on three women artists: New Zealander, Anne Noble (Massey University, Wellington), American, Judit Hersko (California State University, San Marcos), and New Zealander Joyce Campbell (University of Auckland/Los Angeles). In the absence of indigenous inhabitants and a human population that excluded all women until the 1960s, these feminist contemporary artists make linkages between the region and issues of climate change to gender, the relation of the human to the non-human, questions of territory, knowledge production, and empire. The intersectional art works of these artists jolt viewers out of routine assumptions about the natural world using the strategies of postmodernism, speculative fiction, the Gothic, and the horror genre. Their provocative aesthetic approaches enable us to understand the powerful webs where cultural and natural aspects are entangled in the context of a modern visual tradition dominated by masculinist imagery of Antarctic wilderness from the Heroic Age of Exploration (1885-1922).</t>
  </si>
  <si>
    <t>[Bloom, Lisa E.] Univ Calif Berkeley, Dept Gender &amp; Womens Studies, Beatrice Bain Ctr, Berkeley, CA 94720 USA</t>
  </si>
  <si>
    <t>University of California System; University of California Berkeley</t>
  </si>
  <si>
    <t>Bloom, LE (corresponding author), 1874 San Juan Ave, Berkeley, CA 94707 USA.</t>
  </si>
  <si>
    <t>lbloom2@mindspring.com</t>
  </si>
  <si>
    <t>ROUTLEDGE JOURNALS, TAYLOR &amp; FRANCIS LTD</t>
  </si>
  <si>
    <t>2-4 PARK SQUARE, MILTON PARK, ABINGDON OX14 4RN, OXON, ENGLAND</t>
  </si>
  <si>
    <t>1744-9855</t>
  </si>
  <si>
    <t>1744-9863</t>
  </si>
  <si>
    <t>J POSTCOLONIAL WRIT</t>
  </si>
  <si>
    <t>J. Postcolonial Writ.</t>
  </si>
  <si>
    <t>JUL 3</t>
  </si>
  <si>
    <t>SI</t>
  </si>
  <si>
    <t>10.1080/17449855.2020.1782576</t>
  </si>
  <si>
    <t>Literature</t>
  </si>
  <si>
    <t>Arts &amp; Humanities Citation Index (A&amp;HCI)</t>
  </si>
  <si>
    <t>MQ4FP</t>
  </si>
  <si>
    <t>WOS:000548968600001</t>
  </si>
  <si>
    <t>Strain, EMA; Cumbo, VR; Morris, RL; Steinberg, PD; Bishop, MJ</t>
  </si>
  <si>
    <t>Strain, Elisabeth Marijke Anne; Cumbo, Vivian Ruth; Morris, Rebecca Louise; Steinberg, Peter David; Bishop, Melanie Jane</t>
  </si>
  <si>
    <t>Interacting effects of habitat structure and seeding with oysters on the intertidal biodiversity of seawalls</t>
  </si>
  <si>
    <t>SYDNEY HARBOR; URBAN INFRASTRUCTURE; SUSPENSION-FEEDERS; ROCKY SHORES; FISH; MARINE; ASSEMBLAGES; COMPLEXITY; PREDATION; COMMUNITY</t>
  </si>
  <si>
    <t>The construction of artificial structures, such as seawalls, is increasing globally, resulting in loss of habitat complexity and native species biodiversity. There is increasing interest in mitigating this biodiversity loss by adding topographic habitat to these structures, and/or seeding them with habitat-forming species. Settlement tile experiments, comparing colonisation of species to more and less complex habitats, have been used to inform eco-engineering interventions prior to their large-scale implementation. Most studies have focused on applying one type of intervention (either adding habitat structure or seeding with native organisms), so it is unclear whether there are greater benefits to biodiversity when multiple interventions are combined. Using a fully orthogonal experiment, we assessed the independent and interactive effects of habitat structure (flat vs. crevice/ridges) and seeding with native oysters (unseeded vs. seeded) on the biodiversity of four different functional groups (sessile and mobile taxa, cryptobenthic and pelagic fishes). Concrete tiles (flat unseeded, flat seeded, complex unseeded and complex seeded) were deployed at two sites in Sydney Harbour and monitored over 12 months, for the survival and colonisation of oysters and the species density and abundances of the four functional groups. The survival of seeded oysters was greater on the complex than flat tiles, at one of the two sites, due to the protective role of crevices. Despite this, after 12 months, the species density of sessile invertebrates and the percentage cover of seeded and colonising oysters did not differ between complex and seeded tiles each of which supported more of these variables than the flat unseeded tiles. In contrast, the species density of mobile invertebrates and cryptobenthic fishes and the MaxN of pelagic fishes, at 1 month, were only positively influenced by seeding with oysters, which provided food as well as habitat. Within the complex seeded and unseeded tiles, there was a greater species density of sessile taxa, survival and percentage cover of oysters in the crevices, which were more humid and darker at month 12, had lower high temperature extremes at months 1 and 12, than on the ridges or flat tiles. Our results suggest that eco-engineering projects which seek to maximise the biodiversity of multiple functional groups on seawalls, should apply a variety of different microhabitats and habitat-forming species, to alter the environmental conditions available to organisms.</t>
  </si>
  <si>
    <t>[Strain, Elisabeth Marijke Anne; Steinberg, Peter David] Sydney Inst Marine Sci, Mosman, NSW, Australia; [Strain, Elisabeth Marijke Anne; Steinberg, Peter David] Univ New South Wales, Sch Biol Earth &amp; Environm Sci, Ctr Marine Sci &amp; Innovat, Sydney, NSW, Australia; [Cumbo, Vivian Ruth; Bishop, Melanie Jane] Macquarie Univ, Dept Biol Sci, Macquarie Pk, NSW, Australia; [Morris, Rebecca Louise] Univ Sydney, Sch Life &amp; Environm Sci, Ctr Res Ecol Impacts Coastal Cities, Sydney, NSW, Australia; [Strain, Elisabeth Marijke Anne] Univ Tasmania, Inst Antarctic &amp; Marine Sci, Hobart, Tas, Australia; [Morris, Rebecca Louise] Univ Melbourne, Sch Biosci, Natl Ctr Coasts &amp; Climate, Melbourne, Vic, Australia</t>
  </si>
  <si>
    <t>Sydney Institute of Marine Science; University of New South Wales Sydney; Macquarie University; University of Sydney; University of Tasmania; University of Melbourne; Melbourne Genomics Health Alliance</t>
  </si>
  <si>
    <t>Strain, EMA (corresponding author), Sydney Inst Marine Sci, Mosman, NSW, Australia.;Strain, EMA (corresponding author), Univ New South Wales, Sch Biol Earth &amp; Environm Sci, Ctr Marine Sci &amp; Innovat, Sydney, NSW, Australia.;Strain, EMA (corresponding author), Univ Tasmania, Inst Antarctic &amp; Marine Sci, Hobart, Tas, Australia.</t>
  </si>
  <si>
    <t>strain.beth@gmail.com</t>
  </si>
  <si>
    <t>Morris, Rebecca/AAB-3364-2020; Bishop, Melanie/AGA-7862-2022; Strain, Elisabeth/U-3520-2017</t>
  </si>
  <si>
    <t>Strain, Elisabeth/0000-0003-2165-9544; Bishop, Melanie/0000-0001-8210-6500; Morris, Rebecca/0000-0003-0455-0811; Cumbo, Vivian/0000-0001-5757-8899; Steinberg, Peter/0000-0002-1781-0726</t>
  </si>
  <si>
    <t>Ian Potter Foundation; Harding Miller Foundation; New South Wales Government Office of Science and Research</t>
  </si>
  <si>
    <t>We thank The Ian Potter Foundation (PS), Harding Miller Foundation (PS, ES, MB) and The New South Wales Government Office of Science and Research (PS, ES, MB) for their financial support. We also thank Reef Design Lab Pty Ltd for designing and producing the tiles used during the study. This study was part of the World Harbour Project. The funders provided support in the form of salaries for authors [ES, VC], but did not have any additional role in the study design, data collection and analysis, decision to publish, or preparation of the manuscript. The specific roles of these authors are articulated in the 'author contributions' section.</t>
  </si>
  <si>
    <t>e0230807</t>
  </si>
  <si>
    <t>10.1371/journal.pone.0230807</t>
  </si>
  <si>
    <t>MS0KU</t>
  </si>
  <si>
    <t>WOS:000553976700027</t>
  </si>
  <si>
    <t>Bedernichek, T; Dykyy, I; Partyka, T; Zaimenko, N</t>
  </si>
  <si>
    <t>Bedernichek, Tymur; Dykyy, Ihor; Partyka, Tetyana; Zaimenko, Natalia</t>
  </si>
  <si>
    <t>Why WRB needs a mammalic qualifier: the case of seal colony soils</t>
  </si>
  <si>
    <t>GEODERMA</t>
  </si>
  <si>
    <t>WRB; Ornithic qualifier; Mammalic qualifier; Seal; Soil classification</t>
  </si>
  <si>
    <t>ANTARCTICA; EMISSIONS; WOOL</t>
  </si>
  <si>
    <t>[Bedernichek, Tymur; Zaimenko, Natalia] MM Gryshko Natl Bot Garden, Kiev, Ukraine; [Dykyy, Ihor] Ivan Franko Natl Univ Lviv, Lvov, Ukraine; [Dykyy, Ihor] State Inst Natl Antarctic Sci Ctr, Kiev, Ukraine; [Partyka, Tetyana] Inst Agr Carpathian Reg NAAS, Lvov, Ukraine</t>
  </si>
  <si>
    <t>National Academy of Sciences Ukraine; MM Gryshko National Botanical Garden, NAS of Ukraine; Ministry of Education &amp; Science of Ukraine; Ivan Franko National University Lviv; Ministry of Education &amp; Science of Ukraine; State Institution National Antarctic Scientific Center; National Academy of Agrarian Sciences of Ukraine; Institute of Agriculture of Carpathian Region of National Academy of Agrarian Sciences of Ukraine</t>
  </si>
  <si>
    <t>Bedernichek, T (corresponding author), Natl Acad Sci Ukraine, MM Gryshko Natl Bot Garden, Dept Allelopathy, 1 Timiryazevska St, UA-01014 Kiev, Ukraine.</t>
  </si>
  <si>
    <t>bedernichek@nas.gov.ua</t>
  </si>
  <si>
    <t>Partyka, Tetiana/AAC-4332-2019; Bedernichek, Tymur/A-1255-2010</t>
  </si>
  <si>
    <t>Partyka, Tetiana/0000-0001-7912-5292; Bedernichek, Tymur/0000-0003-2954-0118; Dykyy, Ihor/0000-0003-3625-8567; Batsmanova, Lyudmila/0000-0002-7995-8187</t>
  </si>
  <si>
    <t>State Institution 'National Antarctic Scientific Center' [0118U100403]</t>
  </si>
  <si>
    <t>State Institution 'National Antarctic Scientific Center'</t>
  </si>
  <si>
    <t>This study was supported by the State Institution 'National Antarctic Scientific Center', the project Impact of seabirds on soil formation and development in Maritime Antarctic (0118U100403). We thank Prof. Pavlo Khoyetskyy and Dr. Pavlo Matsiboruk for the samples of fur. Also, we are highly grateful to Prof. Alberto Agnelli whose comments significantly improved the previous version of the manuscript.</t>
  </si>
  <si>
    <t>0016-7061</t>
  </si>
  <si>
    <t>1872-6259</t>
  </si>
  <si>
    <t>Geoderma</t>
  </si>
  <si>
    <t>JUL 15</t>
  </si>
  <si>
    <t>10.1016/j.geoderma.2020.114369</t>
  </si>
  <si>
    <t>Soil Science</t>
  </si>
  <si>
    <t>Agriculture</t>
  </si>
  <si>
    <t>LO4VN</t>
  </si>
  <si>
    <t>WOS:000533627500004</t>
  </si>
  <si>
    <t>Aldega, L; Brandano, M; Cornacchia, I</t>
  </si>
  <si>
    <t>Aldega, Luca; Brandano, Marco; Cornacchia, Irene</t>
  </si>
  <si>
    <t>Trophism, climate and paleoweathering conditions across the Eocene-Oligocene transition in the Massignano section (northern Apennines, Italy)</t>
  </si>
  <si>
    <t>SEDIMENTARY GEOLOGY</t>
  </si>
  <si>
    <t>Carbon and oxygen isotopes; Clay minerals; Climate and paleoweathering conditions; Eocene-Oligocene boundary; Massignano GSSP section; Trophism</t>
  </si>
  <si>
    <t>ANTARCTIC ICE-SHEET; MULTICOMPONENT CARBONATE SYSTEM; CHEMICAL DIAGENESIS; ISOTOPE RECORDS; SOUTH-ATLANTIC; GLACIATION; EVOLUTION; OCEAN; SEDIMENTS; EAST</t>
  </si>
  <si>
    <t>The Eocene-Oligocene transition represents the latest greenhouse-icehouse shift faced by Earth, a major global climate change associated with carbon cycle perturbation. In this paper, we investigate the Massignano stratigraphic section (northern Apennines, Italy), GSSP of the Eocene-Oligocene boundary, by X-ray diffraction analysis of clay minerals and carbon and oxygen stable isotopes to explore the link among climate, paleoweathering and runoff, and carbon cyde in the Neotethys across this major climatic transition. We examine the interplay between global climate forcing and orogen evolution controlling the Massignano hemipelagic sedimentation. The late Eocene clay mineral assemblages indicate that the Neotethys was sensitive to global eustatic changes as well as changes in composition and rates of weathered sediments accumulating into the basin. The carbon isotope record matches with the global signal, showing productivity pulses linked to cooling phases and sea-level drops before 34.8 Ma Subsequently, a constant negative trend is recorded, which is consistent with the global carbon isotope curve, and attests for a decrease of primary productivity linked to decreasing atmospheric CO2. This negative trend ends at the Eocene-Oligocene boundary, when the onset of the global carbon isotope positive excursion is recorded also within the Massignano hemipelagic succession. On the contrary, the clay mineral assemblage is quite constant across the Eocene-Oligocene boundary reflecting the complex interplay among fluvial discharge, sea level changes and orogen dynamics which clouded the global climate shift. In this context, the enhanced fluvial discharge likely contributed to sustain high trophic conditions in the Adriatic waters and, in turn, the Oligocene positive carbon isotope shift. These results highlight how day minerals proved to be a useful proxy to identify the interplay between global and regional controlling factors on hemipelagic sedimentation and, their integration with the carbon isotope record, provides insights into carbon cycle dynamics. (C) 2020 Elsevier B.V. All rights reserved.</t>
  </si>
  <si>
    <t>[Aldega, Luca; Brandano, Marco] Sapienza Univ Roma, Dipartimento Sci Terra, P Aldo Moro 5, I-00185 Rome, Italy; [Cornacchia, Irene] IGG CNR, Ist Geosci &amp; Georisorse, Via Moruzzi 1, I-56124 Pisa, Italy</t>
  </si>
  <si>
    <t>Sapienza University Rome; Consiglio Nazionale delle Ricerche (CNR); Istituto di Geoscienze e Georisorse (IGG-CNR)</t>
  </si>
  <si>
    <t>Aldega, L (corresponding author), Sapienza Univ Roma, Dipartimento Sci Terra, P Aldo Moro 5, I-00185 Rome, Italy.</t>
  </si>
  <si>
    <t>luca.aldega@uniroma1.it</t>
  </si>
  <si>
    <t>CORNACCHIA, Irene/AAZ-3536-2020</t>
  </si>
  <si>
    <t>CORNACCHIA, Irene/0000-0002-5658-2367; Aldega, Luca/0000-0002-4665-1373</t>
  </si>
  <si>
    <t>0037-0738</t>
  </si>
  <si>
    <t>1879-0968</t>
  </si>
  <si>
    <t>SEDIMENT GEOL</t>
  </si>
  <si>
    <t>Sediment. Geol.</t>
  </si>
  <si>
    <t>10.1016/j.sedgeo.2020.105701</t>
  </si>
  <si>
    <t>NB5KS</t>
  </si>
  <si>
    <t>WOS:000560551600007</t>
  </si>
  <si>
    <t>Bhattacharya, J; Dickens, GR</t>
  </si>
  <si>
    <t>Bhattacharya, Joyeeta; Dickens, Gerald R.</t>
  </si>
  <si>
    <t>Eocene carbonate accumulation in the north-central Pacific Ocean: new insights from Ocean Drilling Program Site 1209, Shatsky Rise</t>
  </si>
  <si>
    <t>Eocene climate; Carbonate dissolution; Hyperthermals; Lysodine; Carbon cycle</t>
  </si>
  <si>
    <t>SOUTH ATLANTIC IMPLICATIONS; CALCITE COMPENSATION DEPTH; SEA-SURFACE TEMPERATURES; LATE PALEOCENE; PLANKTONIC-FORAMINIFERA; ANTARCTIC GLACIATION; EQUATORIAL PACIFIC; ISOTOPE EXCURSIONS; ATMOSPHERIC CO2; STABLE-ISOTOPE</t>
  </si>
  <si>
    <t>Major climate transitions and perturbations in global carbon cyde are known to have occurred during the Eocene, between 56 and 34 million years ago (Ma). A series of carbon isotope excursions (CIEs) mark variations in the global carbon cycle and changes in dimate through early Eocene. Paleocene-Eocene Thermal Maximum (PETM) ca. 56 Ma is the most pronounced and well documented of these events expressed as a clay rich layer in many deep-sea sections, resulting from widespread carbonate dissolution on the seafloor, which is in turn related to shoaling of the carbonate compensation depth (CCD) and lysocline. Other CIEs of early Eocene had similar response. However, response of these geologically 'instantaneous' hyperthermals differ from long-term warmth (multi-million-year time scale) of the Early Eocene Climate Optimum (EECO) in terms of sea-floor carbonate accumulation. Following the termination of EECO, earth's climate transitioned into long-term cooling. Pronounced fluctuations in CCD of equatorial Pacific are known to have occurred during middle-late Eocene as well, whose global extent and origin are still unresolved. Most proxy records either span the interval of early Eocene or document particular climatic events in Eocene, which significantly limits visualizing the long-term Eocene climate change and response of open marine carbonate preservation. The present study documents change in carbonate dissolution and carbonate mass accumulation rate through the entire Eocene (56-34 Ma) at ODP Site 1209 on Shatsky Rise, north-central Pacific and ties it to a stable carbon and oxygen isotope record. Our study determines the correlation between deep-sea carbonate dissolution and carbon cycling process during the dynamic climate regime of Eocene. A strong correlation between magnitude of CIEs and intensity of dissolution for early Eocene hyperthermal events appears to significantly weaken for multiple dissolution events in middle-late Eocene, thereby indicating fundamental difference in their causal mechanism. (C) 2020 Elsevier B.V. All rights reserved.</t>
  </si>
  <si>
    <t>[Bhattacharya, Joyeeta; Dickens, Gerald R.] Rice Univ, Dept Earth Environm &amp; Planetary Sci, Houston, TX 77005 USA</t>
  </si>
  <si>
    <t>Rice University</t>
  </si>
  <si>
    <t>Bhattacharya, J (corresponding author), Rice Univ, Dept Earth Environm &amp; Planetary Sci, Houston, TX 77005 USA.</t>
  </si>
  <si>
    <t>jb79@rice.edu</t>
  </si>
  <si>
    <t>Bhattacharya, Joyeeta/0000-0002-7662-4122; Dickens, Gerald/0000-0003-2869-4860</t>
  </si>
  <si>
    <t>NSF [NSF-FESD-OCE-1338842]</t>
  </si>
  <si>
    <t>NSF(National Science Foundation (NSF))</t>
  </si>
  <si>
    <t>We thank scientists and staff at the Gulf Coast Repository at College Station for sample collection, Dyke Andreasen and Colin Carney at the Stable Isotope Laboratory of University of California at Santa Cruz and Tao Sun at the Stable Isotope Laboratory of Rice University for performing isotope analyses on samples, and Benjamin Slotnick (BP) and Lizette Leon-Rodriguez (ExxonMobil) for mentoring on measurement of carbonate content of samples and calculation of dissolution indices, respectively. We thank Margot J. Cramwinckel and Valeria Luciani for very helpful comments and suggestions that improved the original manuscript submission. We thank Dr. Laurence Y. Yeung (Rice University) for helpful insights during manuscript preparation. This work was supported by an NSF grant awarded to Cin-Ty Lee, Gerald R. Dickens and other colleagues (NSF-FESD-OCE-1338842).</t>
  </si>
  <si>
    <t>10.1016/j.sedgeo.2020.105705</t>
  </si>
  <si>
    <t>WOS:000560551600011</t>
  </si>
  <si>
    <t>Puigcorbé, V; Ruiz-González, C; Masqué, P; Gasol, JM</t>
  </si>
  <si>
    <t>Puigcorbe, Viena; Ruiz-Gonzalez, Clara; Masque, Pere; Gasol, Josep M.</t>
  </si>
  <si>
    <t>Sampling Device-Dependence of Prokaryotic Community Structure on Marine Particles: Higher Diversity Recovered byin situPumps Than by Oceanographic Bottles</t>
  </si>
  <si>
    <t>prokaryotic communities; marine particles; size-fractionation; in situpumps; oceanographic bottles; polynyas</t>
  </si>
  <si>
    <t>PARTICULATE ORGANIC-CARBON; NISKIN BOTTLE; ATLANTIC-OCEAN; EXPORT; COLLECTION; CALIFORNIA; PATTERNS; IMPACT; DIFFER; PUMP</t>
  </si>
  <si>
    <t>Microbes associated with sinking marine particles play key roles in carbon sequestration in the ocean. The sampling of particle-attached microorganisms is often done with sediment traps or by filtration of water collected with oceanographic bottles, both involving a certain time lapse between collection and processing of samples that may result in changes in particle-attached microbial communities. Conversely,in situwater filtration through submersible pumps allows a faster storage of sampled particles, but it has rarely been used to study the associated microbial communities and has never been compared to other particle-sampling methods in terms of the recovery of particle microbial diversity. Here we compared the prokaryotic communities attached to small (1-53 mu m) and large (&gt;53 mu m) particles collected from the mesopelagic zone (100-300 m) of two Antarctic polynyas usingin situpumps (ISP) and oceanographic bottles (BTL). Each sampling method retrieved largely different particle-attached communities, suggesting that they capture different kinds of particles. These device-driven differences were greater for large particles than for small particles. Overall, the ISP recovered 1.5- to 3-fold more particle-attached bacterial taxa than the BTL, and different taxonomic groups were preferentially recovered by each method. In particular, typical particle-attached groups such as Planctomycetes and Deltaproteobacteria recovered with ISP were nearly absent from BTL samples. Our results suggest that the method used to sample marine particles has a strong influence in our view of their associated microbial communities.</t>
  </si>
  <si>
    <t>[Puigcorbe, Viena; Gasol, Josep M.] Edith Cowan Univ, Sch Sci, Ctr Marine Ecosyst Res, Joondalup, WA, Australia; [Ruiz-Gonzalez, Clara; Gasol, Josep M.] Inst Ciencies Mar ICM CSIC, Dept Marine Biol &amp; Oceanog, Barcelona, Spain; [Masque, Pere] Inst Ciencia &amp; Tecnol Ambientals ICTA, Bellaterra, Spain; [Masque, Pere] Autonomous Univ Barcelona, Dept Phys, Barcelona, Spain; [Masque, Pere] IAEA, Monaco, Monaco</t>
  </si>
  <si>
    <t>Edith Cowan University; Consejo Superior de Investigaciones Cientificas (CSIC); CSIC - Centro Mediterraneo de Investigaciones Marinas y Ambientales (CMIMA); CSIC - Instituto de Ciencias del Mar (ICM); Autonomous University of Barcelona</t>
  </si>
  <si>
    <t>Puigcorbé, V (corresponding author), Edith Cowan Univ, Sch Sci, Ctr Marine Ecosyst Res, Joondalup, WA, Australia.;Ruiz-González, C (corresponding author), Inst Ciencies Mar ICM CSIC, Dept Marine Biol &amp; Oceanog, Barcelona, Spain.</t>
  </si>
  <si>
    <t>viena.puigcorbe@outlook.com; clararg@icm.csic.es</t>
  </si>
  <si>
    <t>Puigcorbé, Viena/I-9349-2016; Masque, Pere/B-7379-2008; Masque, Pere/AAC-9349-2022; Gasol, Josep M/B-1709-2008</t>
  </si>
  <si>
    <t>Puigcorbé, Viena/0000-0001-5892-2305; Masque, Pere/0000-0002-1789-320X; Masque, Pere/0000-0002-1789-320X; Gasol, Josep M/0000-0001-5238-2387; Ruiz Gonzalez, Clara/0000-0003-3568-4943</t>
  </si>
  <si>
    <t>Edith Cowan University [G1003456]; School of Science at Edith Cowan University [G1003362]; Spanish Ministry of Science, Innovation and Universities [CTM2015-70340-R, RTI2018-101025-B-I00]; Generalitat de Catalunya Consolidated Research Group [2017SGR/1568]; Generalitat de Catalunya [MERS 2017 SGR -1588]</t>
  </si>
  <si>
    <t>Edith Cowan University; School of Science at Edith Cowan University; Spanish Ministry of Science, Innovation and Universities(Spanish Government); Generalitat de Catalunya Consolidated Research Group; Generalitat de Catalunya(Generalitat de Catalunya)</t>
  </si>
  <si>
    <t>VP received funding from Edith Cowan University (G1003456) and from the School of Science at Edith Cowan University (G1003362) to support this work. CR-G and JG were supported by the grants CTM2015-70340-R and RTI2018-101025-B-I00 of the Spanish Ministry of Science, Innovation and Universities and by the Generalitat de Catalunya Consolidated Research Group 2017SGR/1568. PM acknowledges the support of the Generalitat de Catalunya (MERS 2017 SGR -1588).</t>
  </si>
  <si>
    <t>10.3389/fmicb.2020.01645</t>
  </si>
  <si>
    <t>MV6LS</t>
  </si>
  <si>
    <t>WOS:000556467500001</t>
  </si>
  <si>
    <t>González-Santana, D; Planquette, H; Cheize, M; Whitby, H; Gourain, A; Holmes, T; Guyader, V; Cathalot, C; Pelleter, E; Fouquet, Y; Sarthou, G</t>
  </si>
  <si>
    <t>Gonzalez-Santana, David; Planquette, Helene; Cheize, Marie; Whitby, Hannah; Gourain, Arthur; Holmes, Thomas; Guyader, Vivien; Cathalot, Cecile; Pelleter, Ewan; Fouquet, Yves; Sarthou, Geraldine</t>
  </si>
  <si>
    <t>Processes Driving Iron and Manganese Dispersal From the TAG Hydrothermal Plume (Mid-Atlantic Ridge): Results From a GEOTRACES Process Study</t>
  </si>
  <si>
    <t>iron; manganese; hydrothermal; TAG; Mid Atlantic Ridge; GEOTRACES</t>
  </si>
  <si>
    <t>NEUTRALLY BUOYANT PLUME; DISSOLVED IRON; OXIDATION-KINETICS; SOUTH ATLANTIC; OCEAN; FE; MODEL; FE(II); SCALE; VENTS</t>
  </si>
  <si>
    <t>Hydrothermal vents are a recognized source of trace elements to the ocean inventory. Nevertheless, the contribution of slow-spreading ridges remains poorly resolved. To address this, high-resolution dissolved (&lt;0.45 mm) iron (dFe) and manganese (dMn) samples were collected during the GEOTRACES HERMINE GApr07 process study at the Mid Atlantic Ridge. Samples were collected at nine stations, from the TAG vent site to 75 km south-southwest following the neutrally buoyant plume. Concentrations of dMn and dFe ranged from 71 +/- 6 and 51 +/- 2 nmol kg(-1) right above the vent site to 0.43 +/- 0.01 and 1.56 +/- 0.02 nmol kg(-1) at the most distal station, respectively. Using a 5-box model coupled with our data, we show that as the plume traveled away from the vent, aggregation processes controlled dFe concentrations in the first 2 km, with an aggregation rate averaging between 8.0 +/- 0.6 and 0.11 +/- 0.04 nmol L-1 d(-1), respectively in the first and second kilometer. Aggregation, likely of small colloidal particles, led to partitioning of the size fractionated Fe pool, as 6% of the dFe was moved into the particulate size fraction. Further away, disaggregation processes became more prevalent, with rates ranging from 0.27 +/- 0.02 to 0.008 +/- 0.001 nmol L-1 d(-1), enriching the dFe pool by 10%. The computed decrease of hydrothermal Fe within the neutrally buoyant plume was likely caused by flocculation of small Fe oxyhydroxide particles. This process resulted in Fe aggregate formation with radii estimated to range between 14 and 20 mu m in the first km from TAG. Between 2 and 30 km from the vent site, the radii ranged between 2 and 4 mu m.</t>
  </si>
  <si>
    <t>[Gonzalez-Santana, David; Planquette, Helene; Cheize, Marie; Whitby, Hannah; Sarthou, Geraldine] Univ Brest, CNRS, IRD, LEMAR,IFREMER, Plouzane, France; [Cheize, Marie; Guyader, Vivien; Cathalot, Cecile; Pelleter, Ewan; Fouquet, Yves] IFREMER, Geosci Marine, LCG, Plouzane, France; [Whitby, Hannah; Gourain, Arthur] Univ Liverpool, Sch Environm Sci, Dept Ocean Sci, Liverpool, Merseyside, England; [Holmes, Thomas] Univ Tasmania, Inst Marine &amp; Antarctic Studies, Hobart, Tas, Australia; [Holmes, Thomas] Univ Washington, Sch Oceanog, Seattle, WA 98195 USA</t>
  </si>
  <si>
    <t>Centre National de la Recherche Scientifique (CNRS); Ifremer; Institut de Recherche pour le Developpement (IRD); Universite de Bretagne Occidentale; Ifremer; University of Liverpool; University of Tasmania; University of Washington; University of Washington Seattle</t>
  </si>
  <si>
    <t>González-Santana, D (corresponding author), Univ Brest, CNRS, IRD, LEMAR,IFREMER, Plouzane, France.</t>
  </si>
  <si>
    <t>david.gonzalezsantana@univ-brest.fr</t>
  </si>
  <si>
    <t>González-Santana, David/HKW-6399-2023; Whitby, Hannah/ABC-3398-2020; Fouquet, yves/HLH-2791-2023; Holmes, Thomas/J-4950-2015</t>
  </si>
  <si>
    <t>González-Santana, David/0000-0001-8726-7768; Pelleter, Ewan/0000-0002-0723-9757; Holmes, Thomas/0000-0001-8061-4325; Cathalot, Cecile/0000-0002-0868-7201; Whitby, Hannah/0000-0002-0064-3052; Sarthou, Geraldine/0000-0001-6560-6669; Guyader, Vivien/0000-0001-7296-1335</t>
  </si>
  <si>
    <t>French National Research Agency [12-PDOC-0025-01]; LabexMER [ANR-10-LABX-19]; Ifremer; DTINSU; GENAVIR; Graduate School of the Universite de Bretagne Occidentale; IFREMER REMIMA project; Laboratoire d'Excellence LabexMER [ANR-10-LABX-19]; French Government</t>
  </si>
  <si>
    <t>French National Research Agency(Agence Nationale de la Recherche (ANR)); LabexMER; Ifremer; DTINSU; GENAVIR; Graduate School of the Universite de Bretagne Occidentale; IFREMER REMIMA project; Laboratoire d'Excellence LabexMER; French Government</t>
  </si>
  <si>
    <t>This work was supported by the French National Research Agency (12-PDOC-0025-01) to HP and by the LabexMER (ANR-10-LABX-19) to HP (GEOTAG) and CC (TRANSE-METH), and by the Ifremer. For the logistics, it was supported by DTINSU and GENAVIR. This work was funded by the Graduate School of the Universite de Bretagne Occidentale (DGS), and the IFREMER REMIMA project. This work was also supported by the Laboratoire d'Excellence LabexMER (ANR-10-LABX-19) and co-funded by a grant from the French Government under the program Investissements d'Avenir (TRANS-METH project). The data has been submitted to the GEOTRACES International Data Assembly Centre (https://www.bodc.ac.uk/geotraces/data).</t>
  </si>
  <si>
    <t>10.3389/fmars.2020.00568</t>
  </si>
  <si>
    <t>MM6RP</t>
  </si>
  <si>
    <t>WOS:000550282300001</t>
  </si>
  <si>
    <t>Ruiz, MB; Taverna, A; Servetto, N; Sahade, R; Held, C</t>
  </si>
  <si>
    <t>Ruiz, Micaela B.; Taverna, Anabela; Servetto, Natalia; Sahade, Ricardo; Held, Christoph</t>
  </si>
  <si>
    <t>Hidden diversity in Antarctica: Molecular and morphological evidence of two different species within one of the most conspicuous ascidian species</t>
  </si>
  <si>
    <t>ECOLOGY AND EVOLUTION</t>
  </si>
  <si>
    <t>Antarctica; Burdwood Bank; MPA Namuncura; Cnemidocarpa verrucosa; genotypes; morphotypes; species delimitation</t>
  </si>
  <si>
    <t>SOUTH SHETLAND ISLANDS; CRYPTIC SPECIATION; PROMACHOCRINUS-KERGUELENSIS; HAPLOTYPE RECONSTRUCTION; MITOCHONDRIAL GENOME; CIONA-INTESTINALIS; ONGOING SPECIATION; GENETIC-STRUCTURE; POTTER COVE; RNA GENES</t>
  </si>
  <si>
    <t>The Southern Ocean is one of the most isolated marine ecosystems, characterized by high levels of endemism, diversity, and biomass. Ascidians are among the dominant groups in Antarctic benthic assemblages; thus, recording the evolutionary patterns of this group is crucial to improve our current understanding of the assembly of this polar ocean. We studied the genetic variation withinCnemidocarpa verrucosasensu lato, one of the most widely distributed abundant and studied ascidian species in Antarctica. Using a mitochondrial and a nuclear gene (COI and 18S), the phylogeography of fifteen populations distributed along the West Antarctic Peninsula and Burdwood Bank/MPA Namuncura (South American shelf) was characterized, where the distribution of the genetic distance suggested the existence of, at least, two species within nominalC. verrucosa. When reevaluating morphological traits to distinguish between genetically defined species, the presence of a basal disk in one of the genotypes could be a diagnostic morphological trait to differentiate the species. These results are surprising due to the large research that has been carried out with the conspicuousC. verrucosawith no differentiation between species. Furthermore, it provides important tools to distinguish species in the field and laboratory. But also, these results give new insights into patterns of differentiation between closely related species that are distributed in sympatry, where the permeability of species boundaries still needs to be well understood.</t>
  </si>
  <si>
    <t>[Ruiz, Micaela B.; Taverna, Anabela; Servetto, Natalia; Sahade, Ricardo] Consejo Nacl Invest Cient &amp; Tecn, Inst Diversidad &amp; Ecol Anim IDEA, Cordoba, Argentina; [Ruiz, Micaela B.; Taverna, Anabela; Servetto, Natalia; Sahade, Ricardo] Univ Nacl Cordoba, Dept Diversidad Biol &amp; Ecol, Ecol Marina, Fac Ciencias Exactas Fis &amp; Nat, Cordoba, Argentina; [Held, Christoph] Helmholtz Zentrum Polar &amp; Meeresforsch, Sect Funct Ecol, Evolutionary Macroecol, Alfred Wegener Inst, Bremerhaven, Germany</t>
  </si>
  <si>
    <t>Consejo Nacional de Investigaciones Cientificas y Tecnicas (CONICET); National University of Cordoba; Helmholtz Association; Alfred Wegener Institute, Helmholtz Centre for Polar &amp; Marine Research</t>
  </si>
  <si>
    <t>Sahade, R (corresponding author), Univ Nacl Cordoba, Inst Diversidad &amp; Ecol Anim, IDEA CONICET UNC, Fac Ciencias Exactas Fis &amp; Nat, Av Velez Sarsfield 299, RA-5000 Cordoba, Argentina.;Held, C (corresponding author), Alfred Wegener Inst, Polar &amp; Marine Res Sect Funct Ecol, D-27515 Bremerhaven, Germany.</t>
  </si>
  <si>
    <t>micaruiz90@gmail.com; rsahade@unc.edu.ar; Christoph.Held@awi.de</t>
  </si>
  <si>
    <t>Ruiz, Micaela Belen/0000-0003-1278-8248; Servetto, Natalia/0000-0002-3713-9116</t>
  </si>
  <si>
    <t>Consejo Nacional de Investigaciones Cientificas y Tecnicas [4878]; Lerner-Gray Memorial Fund of the American Museum of Natural History; Deutscher Akademischer Austauschdienst [91701637]; IMCONet FP7 IRSES (International Research Staff Exchange Scheme) [319718]; Instituto Antartico Argentino (IAA); Alfred Wegener Institute (AWI)</t>
  </si>
  <si>
    <t>Consejo Nacional de Investigaciones Cientificas y Tecnicas(Consejo Nacional de Investigaciones Cientificas y Tecnicas (CONICET)); Lerner-Gray Memorial Fund of the American Museum of Natural History; Deutscher Akademischer Austauschdienst(Deutscher Akademischer Austausch Dienst (DAAD)); IMCONet FP7 IRSES (International Research Staff Exchange Scheme); Instituto Antartico Argentino (IAA); Alfred Wegener Institute (AWI)</t>
  </si>
  <si>
    <t>Consejo Nacional de Investigaciones Cientificas y Tecnicas, Grant/Award Number: Resolution D No 4878; Lerner-Gray Memorial Fund of the American Museum of Natural History; Deutscher Akademischer Austauschdienst, Grant/Award Number: 91701637; IMCONet FP7 IRSES (International Research Staff Exchange Scheme), Grant/Award Number: 319718; Instituto Antartico Argentino (IAA); Alfred Wegener Institute (AWI)</t>
  </si>
  <si>
    <t>2045-7758</t>
  </si>
  <si>
    <t>ECOL EVOL</t>
  </si>
  <si>
    <t>Ecol. Evol.</t>
  </si>
  <si>
    <t>10.1002/ece3.6504</t>
  </si>
  <si>
    <t>Ecology; Evolutionary Biology</t>
  </si>
  <si>
    <t>Environmental Sciences &amp; Ecology; Evolutionary Biology</t>
  </si>
  <si>
    <t>NG4HZ</t>
  </si>
  <si>
    <t>WOS:000548440100001</t>
  </si>
  <si>
    <t>Hayashida, H; Matear, RJ; Strutton, PG</t>
  </si>
  <si>
    <t>Hayashida, Hakase; Matear, Richard J.; Strutton, Peter G.</t>
  </si>
  <si>
    <t>Background nutrient concentration determines phytoplankton bloom response to marine heatwaves</t>
  </si>
  <si>
    <t>biogeochemistry; climate extreme; marine heatwave; model simulation; oceanography; phytoplankton; satellite</t>
  </si>
  <si>
    <t>BOUNDARY-LAYER; OCEAN; TEMPERATURE; IMPACTS; GROWTH; MODEL</t>
  </si>
  <si>
    <t>Ocean temperature extreme events such as marine heatwaves are expected to intensify in coming decades due to anthropogenic global warming. Reported ecological and economic impacts of marine heatwaves include coral bleaching, local extinction of mangrove and kelp forests and elevated mortalities of invertebrates, fishes, seabirds and marine mammals. In contrast, little is known about the impacts of marine heatwaves on microbes that regulate biogeochemical processes in the ocean. Here we analyse the daily output of a near-global ocean physical-biogeochemical model simulation to characterize the impacts of marine heatwaves on phytoplankton blooms in 23 tropical and temperate oceanographic regions from 1992 to 2014. The results reveal regionally coherent anomalies of shallower surface mixing layers and lower surface nitrate concentrations during marine heatwaves. These anomalies exert counteracting effects on phytoplankton growth through light and nutrient limitation. Consequently, the responses of phytoplankton blooms are mixed, but can be related to the background nutrient conditions of the study regions. The blooms are weaker during marine heatwaves in nutrient-poor waters, whereas in nutrient-rich waters, the heatwave blooms are stronger. The corresponding analyses of sea-surface temperature, chlorophyllaand nitrate based on satellite observations and in situ climatology support this relationship between phytoplankton bloom anomalies and background nitrate concentration. Given that nutrient-poor waters are projected to expand globally in the 21st century, this study suggests increased occurrence of weaker blooms during marine heatwaves in coming decades, with implications for higher trophic levels and biogeochemical cycling of key elements.</t>
  </si>
  <si>
    <t>[Hayashida, Hakase; Strutton, Peter G.] Univ Tasmania, Inst Marine &amp; Antarctic Studies, Hobart, Tas, Australia; [Hayashida, Hakase; Matear, Richard J.; Strutton, Peter G.] Univ Tasmania, Australian Res Council Ctr Excellence Climate Ext, Hobart, Tas, Australia; [Matear, Richard J.] CSIRO Oceans &amp; Atmosphere, Hobart, Tas, Australia</t>
  </si>
  <si>
    <t>University of Tasmania; University of Tasmania; Commonwealth Scientific &amp; Industrial Research Organisation (CSIRO)</t>
  </si>
  <si>
    <t>Hayashida, H (corresponding author), Univ Tasmania, Inst Marine &amp; Antarctic Studies, Hobart, Tas, Australia.</t>
  </si>
  <si>
    <t>hakase.hayashida@utas.edu.au</t>
  </si>
  <si>
    <t>Hayashida, Hakase/AAY-4151-2020; matear, richard/C-5133-2011; Strutton, Peter/C-4466-2011</t>
  </si>
  <si>
    <t>Hayashida, Hakase/0000-0002-6349-4947; matear, richard/0000-0002-3225-0800; Strutton, Peter/0000-0002-2395-9471</t>
  </si>
  <si>
    <t>Australian Research Council [CE170100023]; Australian Research Council [CE170100023] Funding Source: Australian Research Council</t>
  </si>
  <si>
    <t>Australian Research Council(Australian Research Council); Australian Research Council</t>
  </si>
  <si>
    <t>Australian Research Council, Grant/Award Number: CE170100023</t>
  </si>
  <si>
    <t>10.1111/gcb.15255</t>
  </si>
  <si>
    <t>MX8JP</t>
  </si>
  <si>
    <t>WOS:000548272800001</t>
  </si>
  <si>
    <t>Ruddiman, WF; He, F; Vavrus, SJ; Kutzbach, JE</t>
  </si>
  <si>
    <t>Ruddiman, W. F.; He, F.; Vavrus, S. J.; Kutzbach, J. E.</t>
  </si>
  <si>
    <t>The early anthropogenic hypothesis: A review</t>
  </si>
  <si>
    <t>QUATERNARY SCIENCE REVIEWS</t>
  </si>
  <si>
    <t>ATMOSPHERIC CO2; CARBON-CYCLE; PEATLANDS; INCREASE; CHINA; SEA</t>
  </si>
  <si>
    <t>The 'early anthropogenic hypothesis' (EAH), published in 2003, proposed that early agricultural humans transformed planet Earth by adding CO2 to the atmosphere by deforestation after 7000 years ago and by adding CH4 to the atmosphere by wet-rice farming and livestock tending after 5000 years ago. Later work led to the insight that the resulting warming of the atmosphere and the ocean would have contributed additional CO2 feedback by reducing CO2 solubility in the global ocean and by boosting ventilation from the Antarctic Ocean surface due to suppressed Antarctic sea-ice extent. This paper summarizes new findings from multiple scientific disciplines that document how the steadily spreading human influence transformed their environment after 7000 years ago. We blend this new evidence into a revised version of the EAH, and we also evaluate proposed alternatives to the anthropogenic explanation. (C) 2020 Published by Elsevier Ltd.</t>
  </si>
  <si>
    <t>[Ruddiman, W. F.] Univ Virginia, Dept Environm Sci, Charlottesville, VA 22904 USA; [He, F.; Vavrus, S. J.; Kutzbach, J. E.] Univ Wisconsin, Nelson Inst Climat Res, Madison, WI 53706 USA</t>
  </si>
  <si>
    <t>University of Virginia; University of Wisconsin System; University of Wisconsin Madison</t>
  </si>
  <si>
    <t>Ruddiman, WF (corresponding author), Univ Virginia, Dept Environm Sci, Charlottesville, VA 22904 USA.</t>
  </si>
  <si>
    <t>wfr5c@virginia.edu</t>
  </si>
  <si>
    <t>He, Feng/B-3583-2008; he, feng/HOF-1989-2023</t>
  </si>
  <si>
    <t>He, Feng/0000-0002-3355-6406</t>
  </si>
  <si>
    <t>U.S. National Science Foundation [AGS-1203430, AGS-1203965, AGS-1602771, AGS-1602967]</t>
  </si>
  <si>
    <t>U.S. National Science Foundation(National Science Foundation (NSF))</t>
  </si>
  <si>
    <t>This work was supported by U.S. National Science Foundation grants AGS-1203430, AGS-1203965, AGS-1602771, and AGS-1602967.</t>
  </si>
  <si>
    <t>0277-3791</t>
  </si>
  <si>
    <t>1873-457X</t>
  </si>
  <si>
    <t>QUATERNARY SCI REV</t>
  </si>
  <si>
    <t>Quat. Sci. Rev.</t>
  </si>
  <si>
    <t>10.1016/j.quascirev.2020.106386</t>
  </si>
  <si>
    <t>MH7LQ</t>
  </si>
  <si>
    <t>WOS:000546906200014</t>
  </si>
  <si>
    <t>Yan, JP; Zhang, MM; Jung, JY; Lin, Q; Zhao, SH; Xu, SQ; Chen, LQ</t>
  </si>
  <si>
    <t>Yan, Jinpei; Zhang, Miming; Jung, Jinyoung; Lin, Qi; Zhao, Shuhui; Xu, Suqing; Chen, Liqi</t>
  </si>
  <si>
    <t>Influence on the conversion of DMS to MSA and SO42- in the Southern Ocean, Antarctica</t>
  </si>
  <si>
    <t>ATMOSPHERIC ENVIRONMENT</t>
  </si>
  <si>
    <t>Dimethyl sulfide (DMS); Methane sulfonic acid (MSA); nss-SO42-; Aerosol; Antarctica</t>
  </si>
  <si>
    <t>SEA-SALT-SULFATE; BIOGENIC SULFUR EMISSIONS; CLOUD CONDENSATION NUCLEI; METHANE SULFONIC-ACID; MARINE BOUNDARY-LAYER; DIMETHYL SULFIDE; OBSERVATIONAL EVIDENCE; ATMOSPHERIC SULFUR; PALMER STATION; AEROSOL IONS</t>
  </si>
  <si>
    <t>Dimethyl sulfide (DMS), methanesulphonic acid (MSA) and sulfate (SO42-) were measured simultaneously at high-time resolution in the Southern Ocean (SO) during February and March 2018, to characterize the conversion of DMS to MSA and SO42- in the marine atmosphere. DMS concentrations ranged up to similar to 10890.5 ng m(-3) (with an average of 899.8. 957.9 ng m(-3), representing the standard deviation), which were much higher than the MSA concentrations (with an average of 30.6. 16.8 ng m 3) and SO42- concentration (148.1. 32.5 ng m(-3)) in the aerosol phase. The spatial distribution of MSA was different from the distribution of DMS. The ratio of MSA to DMS (RM) ranged up to similar to 0.31, with an average of 0.044. 0.045. RM value decreased dramatically as DMS concentration increased, when DMS concentration was below 1000 ng m(-3). The effects of temperature and relative humidity (RH) on RM were mostly negligible, indicating that neither DMS concentration, nor RH and temperature was the key parameter for the conversion of DMS to MSA in the SO. Ratios of nss-SO42- to DMS (R-S) were used to estimate the conversion of DMS to SOv. The calculated RS with mean Rp (the ratio of MSA to nss-SOv) value correlated well with the observed RS, which provided an useful method to estimate the biogenic SO42- from the oxidation of DMS in the marine atmosphere, as biogenic SO42- levels can be calculated with Rs and DMS concentrations. The estimated biogenic SO42- levels ranged up to 163.8 ng m(-3), with an average of 47.1 +/- 30.2 ng m 3 in the SO during the cruise. The results extend the knowledge of the conversion of DMS to MSA and SO42- in the marine atmosphere.</t>
  </si>
  <si>
    <t>[Yan, Jinpei; Zhang, Miming; Lin, Qi; Zhao, Shuhui; Xu, Suqing; Chen, Liqi] MNR, Key Lab Global Change &amp; Marine Atmospher Chem, Xiamen 361005, Peoples R China; [Yan, Jinpei; Zhang, Miming; Lin, Qi; Zhao, Shuhui; Xu, Suqing; Chen, Liqi] Minist Nat Resources, Inst Oceanog 3, Xiamen 361005, Peoples R China; [Jung, Jinyoung] Korea Polar Res Inst, 26 Songdomirae Ro, Incheon 21990, South Korea</t>
  </si>
  <si>
    <t>Ministry of Natural Resources of the People's Republic of China; Third Institute of Oceanography, Ministry of Natural Resources; Korea Polar Research Institute (KOPRI)</t>
  </si>
  <si>
    <t>Yan, JP (corresponding author), MNR, Inst Oceanog 3, 178 Daxue Rd, Xiamen 361005, Peoples R China.</t>
  </si>
  <si>
    <t>jpyan@tio.org.cn</t>
  </si>
  <si>
    <t>Qingdao National Laboratory for marine science and technology [QNLM2016ORP0109]; Natural Science Foundation of Fujian Province, China [2019J01120]; National Natural Science Foundation of China [41941014]; Southern Ocean to climate change [RFSOCC2020-2025]; Chinese Projects for Investigations and Assessments of the Arctic and Antarctic [CHINARE2017-2020]; Korea Polar Research Institute (KOPRI) [PE20140]; Korea Polar Research Institute of Marine Research Placement (KOPRI) [PE20140] Funding Source: Korea Institute of Science &amp; Technology Information (KISTI), National Science &amp; Technology Information Service (NTIS)</t>
  </si>
  <si>
    <t>Qingdao National Laboratory for marine science and technology; Natural Science Foundation of Fujian Province, China(Natural Science Foundation of Fujian Province); National Natural Science Foundation of China(National Natural Science Foundation of China (NSFC)); Southern Ocean to climate change; Chinese Projects for Investigations and Assessments of the Arctic and Antarctic; Korea Polar Research Institute (KOPRI); Korea Polar Research Institute of Marine Research Placement (KOPRI)(Korea Polar Research Institute of Marine Research Placement (KOPRI))</t>
  </si>
  <si>
    <t>This study is Financially Supported by Qingdao National Laboratory for marine science and technology (No. QNLM2016ORP0109), the Natural Science Foundation of Fujian Province, China (No. 2019J01120), the National Natural Science Foundation of China (No. 41941014), the response and feedback of the Southern Ocean to climate change(RFSOCC2020-2025), the Chinese Projects for Investigations and Assessments of the Arctic and Antarctic (CHINARE2017-2020). Jinyoung Jung was supported by grants from Korea Polar Research Institute (KOPRI) (No. PE20140). The authors gratefully acknowledge Guangzhou Hexin Analytical Instrument Co., Ltd., for the on-board observation technical assistance, and Machine Shop, Fortelice International Co., Ltd., for the IGAC technical assistance and data analysis.</t>
  </si>
  <si>
    <t>1352-2310</t>
  </si>
  <si>
    <t>1873-2844</t>
  </si>
  <si>
    <t>ATMOS ENVIRON</t>
  </si>
  <si>
    <t>Atmos. Environ.</t>
  </si>
  <si>
    <t>10.1016/j.atmosenv.2020.117611</t>
  </si>
  <si>
    <t>LW4YR</t>
  </si>
  <si>
    <t>WOS:000539152300018</t>
  </si>
  <si>
    <t>Vacher, LG; Piani, L; Rigaudier, T; Thomassin, D; Florin, G; Piralla, M; Marrocchi, Y</t>
  </si>
  <si>
    <t>Vacher, Lionel G.; Piani, Laurette; Rigaudier, Thomas; Thomassin, Dorian; Florin, Guillaume; Piralla, Maxime; Marrocchi, Yves</t>
  </si>
  <si>
    <t>Hydrogen in chondrites: Influence of parent body alteration and atmospheric contamination on primordial components</t>
  </si>
  <si>
    <t>Chondrites; Hydrogen isotopes; Water content; Atmospheric contamination; Aqueous alteration; Thermal metamorphism</t>
  </si>
  <si>
    <t>OXYGEN-ISOTOPIC COMPOSITION; SOLAR-SYSTEM; MODAL MINERALOGY; ORGANIC-MATTER; NOBLE-GASES; CARBONACEOUS CHONDRITES; PETROLOGIC TYPE; CV3 CHONDRITES; D/H RATIO; WATER</t>
  </si>
  <si>
    <t>Hydrogen occurs at the near percent level in the most hydrated chondrites (CI and CM) attesting to the presence of water in the asteroid-forming regions. Their H abundances and isotopic signatures are powerful proxies for deciphering the distribution of H in the protoplanetary disk and the origin of Earth's water. Here, we report H contents and isotopic compositions for a set of carbonaceous and ordinary chondrites, including previously analyzed and new samples analyzed after the powdered samples were degassed under vacuum at 120 degrees C for 48 hours to remove adsorbed atmospheric water. By comparing our results to literature data, we reveal that the H budgets of both H-poor and H-rich carbonaceous chondrites are largely affected by atmospheric moisture, and that their precise quantification requires a specific pre-degassing procedure to correct for terrestrial contamination. Our results show that indigenous H contents of CI carbonaceous chondrites usually considered the most hydrated meteorites might be almost a factor of two lower than those previously reported, with uncontaminated D/H ratios differing significantly from that of Earth's oceans. Without pre-degassing, the H concentrations of H-poor samples (e.g., CVs chondrites) are also affected by terrestrial contamination. After correction for contamination, it appears that the amount of water in chondrites is not controlled by the matrix modal abundance, suggesting that the different chondritic parent bodies accreted variable amounts of water-ice grains. Our results also imply that (i) thermal metamorphism play an important role in determining the H content of both CV and ordinary chondrites but without affecting drastically their H isotopic composition since no clear D enrichment is observed with the increase of petrographic type and (ii) the D enrichment of ordinary chondrite organics does not result from the loss of isotopically light H-2 induced by metal oxidation but is rather linked to the persistence of a thermally resistant D-rich component. (C) 2020 Elsevier Ltd. All rights reserved.</t>
  </si>
  <si>
    <t>[Vacher, Lionel G.; Piani, Laurette; Rigaudier, Thomas; Thomassin, Dorian; Florin, Guillaume; Piralla, Maxime; Marrocchi, Yves] Univ Lorraine, CNRS, CRPG, UMR 7358, F-54501 Vandoeuvre Les Nancy, France; [Vacher, Lionel G.] Washington Univ, Dept Phys, St Louis, MO 63130 USA</t>
  </si>
  <si>
    <t>Centre National de la Recherche Scientifique (CNRS); CNRS - National Institute for Earth Sciences &amp; Astronomy (INSU); Universite de Lorraine; Washington University (WUSTL)</t>
  </si>
  <si>
    <t>Vacher, LG (corresponding author), Washington Univ, Dept Phys, St Louis, MO 63130 USA.</t>
  </si>
  <si>
    <t>l.vacher@wustl.edu</t>
  </si>
  <si>
    <t>Florin, Guillaume/AAS-8340-2021; Rigaudier, Thomas/GRF-4581-2022; Piani, Laurette/S-2249-2019; Marrocchi, Yves/D-8297-2019</t>
  </si>
  <si>
    <t>Florin, Guillaume/0000-0002-1480-1162; Rigaudier, Thomas/0000-0003-4947-3784; Piani, Laurette/0000-0003-0854-7468; Vacher, Lionel/0000-0003-4230-6748; Piralla, Maxime/0000-0001-9332-6250; Marrocchi, Yves/0000-0001-7075-3698</t>
  </si>
  <si>
    <t>NSF; NASA; l'Agence Nationale de la Recherche [ANR-14-CE33-0002-01, ANR-19-CE31-0027-01]; European Research Council (PHOTONIS project) [695618]; Agence Nationale de la Recherche (ANR) [ANR-14-CE33-0002, ANR-19-CE31-0027] Funding Source: Agence Nationale de la Recherche (ANR); European Research Council (ERC) [695618] Funding Source: European Research Council (ERC)</t>
  </si>
  <si>
    <t>NSF(National Science Foundation (NSF)); NASA(National Aeronautics &amp; Space Administration (NASA)); l'Agence Nationale de la Recherche(Agence Nationale de la Recherche (ANR)); European Research Council (PHOTONIS project)(European Research Council (ERC)); Agence Nationale de la Recherche (ANR)(Agence Nationale de la Recherche (ANR)); European Research Council (ERC)(European Research Council (ERC)Spanish Government)</t>
  </si>
  <si>
    <t>We thank Mike Zolensky and Bernard Marty for providing samples. We also thank the National Institute of Polar Research (Japan), the Natural History Museum of Denmark (Copenhagen), the Muse ' um national d'Histoire naturelle (Paris, France), the Natural History Museum of Vienna (Austria), and the Antarctic Search for Meteorites (ANSMET) program for loaning samples. US Antarctic meteorite samples were recovered by ANSMET, funded by NSF and NASA, and characterized and curated by the Department of Mineral Sciences of the Smithsonian Institution and Astromaterials Curation Office at NASA Johnson Space Center. This work was funded by l'Agence Nationale de la Recherche through grant ANR-14-CE33-0002-01 SAPINS (PI Yves Marrocchi) and ANR-19-CE31-0027-01 HYDRaTE (PI Laurette Piani) and by the European Research Council (PHOTONIS project, grant agreement No. 695618 to Bernard Marty). This is a CRPG contribution #2728.</t>
  </si>
  <si>
    <t>10.1016/j.gca.2020.05.007</t>
  </si>
  <si>
    <t>LW6GX</t>
  </si>
  <si>
    <t>WOS:000539243800004</t>
  </si>
  <si>
    <t>Foster, LC; Pearson, EJ; Juggins, S; Hodgson, DA; Saunders, KM; Verleyen, E; Roberts, SJ</t>
  </si>
  <si>
    <t>Foster, Louise C.; Pearson, Emma J.; Juggins, Steve; Hodgson, Dominic A.; Saunders, Krystyna M.; Verleyen, Elie; Roberts, Stephen J.</t>
  </si>
  <si>
    <t>Development of a regional glycerol dialkyl glycerol tetraether (GDGT) temperature calibration for Antarctic and sub-Antarctic lakes (vol 433, 370, 2016)</t>
  </si>
  <si>
    <t>Correction</t>
  </si>
  <si>
    <t>[Foster, Louise C.; Hodgson, Dominic A.; Roberts, Stephen J.] British Antarctic Survey, Nat Environm Res Council, Madingley Rd, Cambridge CB3 0ET, England; [Foster, Louise C.; Pearson, Emma J.; Juggins, Steve] Newcastle Univ, Sch Geog Polit &amp; Sociol, Newcastle Upon Tyne NE1 7RU, Tyne &amp; Wear, England; [Saunders, Krystyna M.] Univ Bern, Inst Geog, CH-3012 Bern, Switzerland; [Saunders, Krystyna M.] Univ Bern, Oeschger Ctr Climate Change Res, CH-3012 Bern, Switzerland; [Verleyen, Elie] Univ Ghent, Protistol &amp; Aquat Ecol, Krijgslaan 281 S8, B-9000 Ghent, Belgium</t>
  </si>
  <si>
    <t>UK Research &amp; Innovation (UKRI); Natural Environment Research Council (NERC); NERC British Antarctic Survey; Newcastle University - UK; University of Bern; University of Bern; Ghent University</t>
  </si>
  <si>
    <t>Foster, LC (corresponding author), British Antarctic Survey, Nat Environm Res Council, Madingley Rd, Cambridge CB3 0ET, England.</t>
  </si>
  <si>
    <t>l.c.foster@gmx.co.uk</t>
  </si>
  <si>
    <t>Foster, Louise C/O-7543-2015</t>
  </si>
  <si>
    <t>10.1016/j.epsl.2020.116342</t>
  </si>
  <si>
    <t>LU2XX</t>
  </si>
  <si>
    <t>WOS:000537625600025</t>
  </si>
  <si>
    <t>Miller, MF</t>
  </si>
  <si>
    <t>Miller, Martin F.</t>
  </si>
  <si>
    <t>Precipitation regime influence on oxygen triple-isotope distributions in Antarctic precipitation and ice cores (vol 481, 316, 2018)</t>
  </si>
  <si>
    <t>[Miller, Martin F.] Open Univ, Sch Phys Sci, Planetary &amp; Space Sci, Walton Hall, Milton Keynes MK7 6AA, Bucks, England; [Miller, Martin F.] British Antarctic Survey, Madingley Rd, Cambridge CB3 0ET, England</t>
  </si>
  <si>
    <t>Open University - UK; UK Research &amp; Innovation (UKRI); Natural Environment Research Council (NERC); NERC British Antarctic Survey</t>
  </si>
  <si>
    <t>Miller, MF (corresponding author), Open Univ, Sch Phys Sci, Planetary &amp; Space Sci, Walton Hall, Milton Keynes MK7 6AA, Bucks, England.</t>
  </si>
  <si>
    <t>m.f.miller@open.ac.uk</t>
  </si>
  <si>
    <t>Miller, Martin F./AFL-7337-2022</t>
  </si>
  <si>
    <t>Miller, Martin F./0000-0002-7735-0098</t>
  </si>
  <si>
    <t>10.1016/j.epsl.2020.116309</t>
  </si>
  <si>
    <t>WOS:000537625600010</t>
  </si>
  <si>
    <t>Roshan, S; DeVries, T; Wu, JF; John, S; Weber, T</t>
  </si>
  <si>
    <t>Roshan, Saeed; DeVries, Tim; Wu, Jingfeng; John, Seth; Weber, Thomas</t>
  </si>
  <si>
    <t>Reversible scavenging traps hydrothermal iron in the deep ocean</t>
  </si>
  <si>
    <t>hydrothermal iron; dissolved iron; US GEOTRACES; reversible scavenging; numerical modeling</t>
  </si>
  <si>
    <t>ATLANTIC; PLUME; TRANSPORT; COPPER; VENTS; HE-3</t>
  </si>
  <si>
    <t>Recent studies suggest that seafloor hydrothermal vents could be an important source of iron (Fe) to the surface ocean, stimulating plankton growth and biological carbon export. However, quantifying the supply of hydrothermal Fe to the surface ocean requires accurately modeling its stabilization and removal processes, which are poorly known. Here, we determine the physical speciation of dissolved Fe along an oceanographic transect following a coherent hydrothermal plume that emanates from the East Pacific Rise (EPR) and persists westward over 4,000 km in the Tropical South Pacific. Our observations show that the plume persists horizontally, but descends vertically, and consists primarily of very large Fe colloids. Guided by these observations, we develop a new size-resolved mechanistic model of hydrothermal Fe dispersion in this region, in which the stabilization of hydrothermal Fe is explained by a reversible particulate exchange process. This model accurately captures the lateral dispersion, downward settling and physical speciation of hydrothermal Fe along this transect. An alternate model that uses a hydrothermal source of Fe-binding ligands to facilitate Fe transport within the deep ocean can reproduce the long-range transport of hydrothermal Fe, but does not reproduce the vertical descent of the plume. Our model shows that hydrothermal Fe vented from the EPR is trapped in the deep ocean, and only 1% of this iron ever makes it to the surface where it can stimulate biological productivity. At the global scale, 3-5% of hydrothermal Fe makes it to the surface ocean, the vast majority of which originates from Southern Ocean vents and upwells in the Southern Ocean. Our best estimate of the global supply of hydrothermal Fe to the surface ocean, based on data-constrained estimates of ocean circulation, mantle 3He venting, and the hydrothermal Fe:3He ratio from the EPR, is 0.12 +/- 0.07 Gmol yr(-1). This is about 60-70 times lower than the supply of Fe from aerosol dust deposition, but could be regionally important in the Antarctic zone of the Southern Ocean. (c) 2020 Elsevier B.V. All rights reserved.</t>
  </si>
  <si>
    <t>[Roshan, Saeed; Wu, Jingfeng] Univ Miami, Rosenstiel Sch Marine &amp; Atmospher Sci, Coral Gables, FL 33146 USA; [Roshan, Saeed; DeVries, Tim] Univ Calif Santa Barbara, Earth Res Inst, Santa Barbara, CA 93106 USA; [Roshan, Saeed; DeVries, Tim] Univ Calif Santa Barbara, Dept Geog, Santa Barbara, CA 93106 USA; [John, Seth] Univ Southern Calif, Dept Earth Sci, Los Angeles, CA 90089 USA; [Weber, Thomas] Univ Rochester, Dept Earth &amp; Environm Sci, Rochester, NY 14618 USA</t>
  </si>
  <si>
    <t>University of Miami; University of California System; University of California Santa Barbara; University of California System; University of California Santa Barbara; University of Southern California; University of Rochester</t>
  </si>
  <si>
    <t>Roshan, S (corresponding author), Univ Calif Santa Barbara, Dept Geog, Santa Barbara, CA 93106 USA.</t>
  </si>
  <si>
    <t>saeed.roshan@geog.ucsb.edu</t>
  </si>
  <si>
    <t>John, Sunday/GRS-5348-2022</t>
  </si>
  <si>
    <t>John, Sunday/0000-0003-2296-7653; DeVries, Tim/0000-0002-7771-9430; John, Seth/0000-0002-8257-626X; Roshan, Saeed/0000-0001-9977-7474</t>
  </si>
  <si>
    <t>US National Science Foundation [OCE1658392, OCE-1233155, OCE-1658436, OCE-1658042]</t>
  </si>
  <si>
    <t>We thank the captain and crew of the RV Thompson, and chief scientists and sampling team of GEOTRACES GP16 cruise. We also thank Gedun Chen for help in laboratory analyses. This work was supported by the US National Science Foundation with grants OCE1658392 to T.D., OCE-1233155 to J.W., OCE-1658436 to S.J., and OCE-1658042 to T.W.</t>
  </si>
  <si>
    <t>10.1016/j.epsl.2020.116297</t>
  </si>
  <si>
    <t>WOS:000537625600005</t>
  </si>
  <si>
    <t>Villeneuve, J; Marrocchi, Y; Jacquet, E</t>
  </si>
  <si>
    <t>Villeneuve, Johan; Marrocchi, Yves; Jacquet, Emmanuel</t>
  </si>
  <si>
    <t>Silicon isotopic compositions of chondrule silicates in carbonaceous chondrites and the formation of primordial solids in the accretion disk</t>
  </si>
  <si>
    <t>silicon isotopes; chondrules; ion probe; solar system formation; carbonaceous chondrites</t>
  </si>
  <si>
    <t>OLIVINE GRAINS; II CHONDRULES; THERMAL HISTORIES; RELICT OLIVINE; OXYGEN; ORIGIN; CONSTRAINTS; GAS; FRACTIONATION; PRECURSORS</t>
  </si>
  <si>
    <t>We determined the silicon isotopic compositions of silicates (olivine and low-Ca pyroxene) in type I and type II chondrules of the carbonaceous chondrites Allende, Kaba, NWA (Northwest Africa) 5958, and MIL (Miller Range) 07342. Type I chondrule silicates show large, mass-dependent Si isotopic fractionations, with delta Si-30 values ranging from -7 parts per thousand to +2.6 parts per thousand, whereas the delta Si-30 values of type II chondrule silicates are close to zero and vary by less than 2 parts per thousand. When present, Mg-rich relict olivine grains in type II chondrules show larger Si variations than their FeO-rich counterparts. In type I chondrules, low-Ca pyroxenes yield systematically lighter delta Si-30 values than Mg-rich olivines. Our results show that type I chondrules are complex objects whose Si isotopic compositions derived from their precursors and SiOrich gas-melt interactions. This corroborates that type I chondrules are nebular products that formed under open-system conditions. Our data also suggest that at least some type II chondrules derived from their type I counterparts. Overall, this demonstrates that recycling was common during the evolution of the protoplanetary disk. (c) 2020 Elsevier B.V. All rights reserved.</t>
  </si>
  <si>
    <t>[Villeneuve, Johan; Marrocchi, Yves] Univ Lorraine, UMR 7358, CNRS, CRPG, F-54501 Vandoeuvre Les Nancy, France; [Jacquet, Emmanuel] Sorbonne Univ, Inst Mineral Phys Mat &amp; Cosmochim IMPMC, CP52, Museum Natl Hist Nat,CNRS, 57 Rue Cuvier, F-75005 Paris, France</t>
  </si>
  <si>
    <t>Centre National de la Recherche Scientifique (CNRS); CNRS - National Institute for Earth Sciences &amp; Astronomy (INSU); Universite de Lorraine; Sorbonne Universite; Museum National d'Histoire Naturelle (MNHN); Centre National de la Recherche Scientifique (CNRS)</t>
  </si>
  <si>
    <t>Villeneuve, J (corresponding author), Univ Lorraine, UMR 7358, CNRS, CRPG, F-54501 Vandoeuvre Les Nancy, France.</t>
  </si>
  <si>
    <t>johanv@crpg.cnrs-nancy.fr</t>
  </si>
  <si>
    <t>Marrocchi, Yves/D-8297-2019; Villeneuve, Johan/P-2378-2015</t>
  </si>
  <si>
    <t>Marrocchi, Yves/0000-0001-7075-3698; Villeneuve, Johan/0000-0002-9892-8530</t>
  </si>
  <si>
    <t>NSF; NASA; Programme National de Planetologie of INSU; l'Agence Nationale de la Recherche [ANR-18-CE31-0010-01 CASSYSS]</t>
  </si>
  <si>
    <t>NSF(National Science Foundation (NSF)); NASA(National Aeronautics &amp; Space Administration (NASA)); Programme National de Planetologie of INSU; l'Agence Nationale de la Recherche(Agence Nationale de la Recherche (ANR))</t>
  </si>
  <si>
    <t>The authors are grateful to Nordine Bouden for his assistance with isotopic measurements. We also thank the Museum national d'Histoire naturelle (Paris, France), the Natural History Museum of Vienna (Austria) and the Antarctic Search for Meteorites (ANSMET) program for loaning samples. The MNHN gives access to the collections in the framework of the RECOLNAT national Research Infrastructure. US Antarctic meteorite samples are recovered by ANSMET(funded by NSF and NASA), and are characterized and curated by the Department of Mineral Sciences of the Smithsonian Institution and the Astromaterials Curation Office of NASA. We thank Roger Hewins and Devin Schrader for helpful reviews and William McKinnonfor editorial handling. This work was funded by the Programme National de Planetologie of INSU (PI Johan Villeneuve) and by l'Agence Nationale de la Recherche through grant ANR-18-CE31-0010-01 CASSYSS (PI Johan Villeneuve). This is a CRPG contribution #2729.</t>
  </si>
  <si>
    <t>10.1016/j.epsl.2020.116318</t>
  </si>
  <si>
    <t>WOS:000537625600014</t>
  </si>
  <si>
    <t>Codabaccus, BM; Carter, CG; Fitzgibbon, QP; Trotter, AJ; Smith, GG</t>
  </si>
  <si>
    <t>Codabaccus, Basseer M.; Carter, Chris G.; Fitzgibbon, Quinn P.; Trotter, Andrew J.; Smith, Gregory G.</t>
  </si>
  <si>
    <t>Growth and biochemical composition of hatchery reared Scyllaridae lobster (Thenus australiensis) larval stages, nisto and juvenile first stage</t>
  </si>
  <si>
    <t>AQUACULTURE</t>
  </si>
  <si>
    <t>Growth; Metamorphosis; Moulting; Crude protein; Total lipid; Ash</t>
  </si>
  <si>
    <t>FATTY-ACID PROFILES; SPINY LOBSTER; JASUS-EDWARDSII; SPIDER CRAB; PHYLLOSOMA LARVAE; CONTINENTAL-SHELF; LIPID EXTRACTION; 2007 DECAPODA; ROCK LOBSTER; POST-LARVAE</t>
  </si>
  <si>
    <t>Understanding the nutrition of lobster larvae through the examination of growth and biochemical composition across different life stages is a critical component of aquafeed development of new aquaculture species. Therefore, in the present study, we benchmarked growth and changes in biochemical composition of Thenus australiensis from first larval stage (S1) to the juvenile first stage (J1). The larval cycle was completed in a maximum duration of 31 d and comprised four successive larval stages followed by a post-larvae stage (nisto) and a subsequent moult to J1. Growth during all larval stages, metamorphosis to nisto, and moult to J1 were tracked through the measurement of size (total length, TL and cephalic/carapace width, CW), individual wet (WW) and dry (DW) weights. Bulk samples of all developmental stages were collected and analysed for ash, crude protein, total lipid, nitrogen free extract (NFE) and gross energy of dry matter (DM). Lipid class, fatty acid and mineral composition of S1, S4 and J1 of DM were also measured to provide more detailed analysis of composition. As expected, TL, CW, WW and DW increased with each subsequent stage except for lower TL and CW of the nisto stage when compared to S4 larvae. The DW increases throughout larval development until nisto and was defined by higher ash, crude protein, total lipid and NFE absolute amounts. However, from nisto to J1, total lipid decreased by half. The total lipid of DM increased as larval stages progressed to the nisto phase, declining rapidly when monitored at J1. The accumulation of lipid during the larval phase highlights the importance of building lipid stores to maintain metabolism during the non-feeding nisto stage and moult to J1. Polar lipid was the dominant lipid group in comparison to neutral lipids stores. The energy content of larvae, nisto and J1 reflected the accumulation of lipid over the larval stages and its depletion during the non-feeding nisto stage. The environmental influence on elemental uptake was evident at the moult to J1 with a&gt; 4-fold increase in ash content in individual J1 compared to nisto. This was supported by an increase of major mineral constituents of the exoskeleton, particularly, calcium. The present study is the first describing in detail the growth and biochemical composition of all the larval stages until J1 for T. australiensis. The new knowledge on nutrition will support progress in aquafeed development for this new aquaculture species.</t>
  </si>
  <si>
    <t>[Codabaccus, Basseer M.; Carter, Chris G.; Fitzgibbon, Quinn P.; Trotter, Andrew J.; Smith, Gregory G.] Univ Tasmania, Inst Marine &amp; Antarctic Studies IMAS, Private Bag 49, Hobart, Tas 7001, Australia</t>
  </si>
  <si>
    <t>Codabaccus, BM (corresponding author), Univ Tasmania, Inst Marine &amp; Antarctic Studies IMAS, Private Bag 49, Hobart, Tas 7001, Australia.</t>
  </si>
  <si>
    <t>mohamedc@utas.edu.au</t>
  </si>
  <si>
    <t>Carter, Chris Guy/A-3438-2008; Smith, Gregory/C-9263-2013</t>
  </si>
  <si>
    <t>Carter, Chris Guy/0000-0001-5210-1282; Fitzgibbon, Quinn/0000-0002-1104-3052; codabaccus, mohamed/0000-0001-5108-373X; Smith, Gregory/0000-0002-8677-1230</t>
  </si>
  <si>
    <t>Australian Research Council Industrial Transformation Hub for Commercial Development of Rock Lobster Culture Systems [IH120100032]</t>
  </si>
  <si>
    <t>Australian Research Council Industrial Transformation Hub for Commercial Development of Rock Lobster Culture Systems(Australian Research Council)</t>
  </si>
  <si>
    <t>The authors would like to thank the IMAS lobster hatchery technical staff for rearing and providing the animals utilised in this study. The authors are also grateful to the nutrition technical staff under the supervision of Dr. Bryan Choa for sampling, processing and performing the biochemical analyses of animals. The authors express their gratitude to two anonymous reviewers for their many insightful comments and suggestions. This research was conducted by the Australian Research Council Industrial Transformation Hub for Commercial Development of Rock Lobster Culture Systems (project number IH120100032). The views expressed herein are those of the authors and are not necessarily those of the Australian Government or Australian Research Council.</t>
  </si>
  <si>
    <t>0044-8486</t>
  </si>
  <si>
    <t>1873-5622</t>
  </si>
  <si>
    <t>Aquaculture</t>
  </si>
  <si>
    <t>10.1016/j.aquaculture.2020.735262</t>
  </si>
  <si>
    <t>LR1DV</t>
  </si>
  <si>
    <t>WOS:000535436900010</t>
  </si>
  <si>
    <t>Cajiao, D; Albertos, B; Tejedo, P; Muñoz-Puelles, L; Garilleti, R; Lara, F; Sancho, LG; Tirira, DG; Simón-Baile, D; Reck, GK; Olave, C; Benayas, J</t>
  </si>
  <si>
    <t>Cajiao, Daniela; Albertos, Belen; Tejedo, Pablo; Munoz-Puelles, Laura; Garilleti, Ricardo; Lara, Francisco; Sancho, Leopoldo G.; Tirira, Diego G.; Simon-Baile, Debora; Reck, Gunther K.; Olave, Carlos; Benayas, Javier</t>
  </si>
  <si>
    <t>Assessing the conservation values and tourism threats in Barrientos Island, Antarctic Peninsula</t>
  </si>
  <si>
    <t>Adaptive management; Aitcho Island; Antarctic Treaty System; Human impact; Monitoring; Visitor Site Guidelines</t>
  </si>
  <si>
    <t>MARITIME ANTARCTICA; VEGETATION; POPULATIONS; MANAGEMENT; CRYOSOLS; PENGUIN; SOILS</t>
  </si>
  <si>
    <t>Antarctica has been witnessing continued growth of tourism, both in the overall visitation and in the diversity of itineraries and visitor activities. Expanding tourism presents unique business and educational opportunities, but it is also putting immense pressure on Antarctica's natural, and for the most parts, pristine environment. Understanding the effectiveness of different tourism management strategies and instruments, like the Visitor Site Guidelines adopted by the Antarctic Treaty, is fundamental to the sustainable management of Antarctic tourism. The purpose of this study was to assess the effectiveness of Visitor Site Guidelines and other tourism management actions in reducing impacts to the natural environment and for this, we used Barrientos Island as our case study as this is one of the most popular sites for tourism activities in the Antarctic Peninsula Region. First, we conducted a literature review and biological inventories to enable a thorough description of Barrientos Island's ecological values. The results show that Barrientos Island occupies the third highest biological richness among the top 15 most visited sites in the Antarctic Peninsula Region. We then assessed how tourism use on Barrientos Island affected biodiversity and the environment, and how Visitor Site Guidelines and other management measures helped alleviate these impacts. As intended, these instruments has been positive and valuable by providing operational guidance. However, they may lack significant information for tourism decision-making processes. To this end, we propose an alternative adaptive management approach that can more efficiently conserve biodiversity and environmental values while allowing the development of sustainable tourism activities in Antarctica.</t>
  </si>
  <si>
    <t>[Cajiao, Daniela; Tejedo, Pablo; Benayas, Javier] Univ Autonoma Madrid, Dept Ecol, C Darwin 2, E-28049 Madrid, Spain; [Cajiao, Daniela; Reck, Gunther K.] Univ San Francisco Quito, Inst Ecol Aplicada ECOLAP USFQ, POB 1712841, Diego De Robles Pampit, Cumbaya, Ecuador; [Albertos, Belen; Garilleti, Ricardo] Univ Valencia, Dept Bot &amp; Geol, Avda Vicente Andres Estelles S-N, E-46100 Burjassot, Spain; [Munoz-Puelles, Laura] Univ Castilla La Mancha, Dept Ingn Geol &amp; Minera, Fac Ciencias Ambientales &amp; Bioquim, Campus Real Fabrica Armas Toledo, Toledo 45004, Spain; [Lara, Francisco] Univ Autonoma Madrid, Dept Biol, C Darwin 2, E-28049 Madrid, Spain; [Lara, Francisco; Benayas, Javier] Univ Autonoma Madrid, Ctr Invest Biodiversidad &amp; Cambio Global CIBC UAM, C Darwin 2, Madrid 28049, Spain; [Sancho, Leopoldo G.] Univ Complutense Madrid, Unidad Bot, Fac Farm, Plaza Ramon y Cajal S-N, E-28040 Madrid, Spain; [Tirira, Diego G.] Fdn Mamiferos &amp; Conservac, Urbanizat Hacienda Capelo 165, Capelo, Ruminahui, Ecuador; [Simon-Baile, Debora] Univ Fuerzas Amadas ESPE, Dept Ciencias Tierra &amp; Construcc, POB 171-5-231-B, Sangolqui, Ecuador; [Olave, Carlos] Fdn CEQUA, Ctr Estudios Cuaternario Fuego Patagonia &amp; Antart, Av Espana 184, Punta Arenas, Chile</t>
  </si>
  <si>
    <t>Autonomous University of Madrid; Universidad San Francisco de Quito; University of Valencia; Universidad de Castilla-La Mancha; Autonomous University of Madrid; Autonomous University of Madrid; Complutense University of Madrid</t>
  </si>
  <si>
    <t>Cajiao, D (corresponding author), Univ Autonoma Madrid, Dept Ecol, C Darwin 2, E-28049 Madrid, Spain.</t>
  </si>
  <si>
    <t>danicajiao@gmail.com; belen.albertos@uv.es; pablo.tejedo@uam.es; laura.munozpuelles@uclm.es; ricardo.garilleti@uv.es; francisco.lara@uam.es; sancholg@farm.ucm.es; diego_tirira@yahoo.com; ddsimon@espe.edu.ec; greck@usfq.edu.ec; carlos.olave@cequa.cl; javier.benayas@uam.es</t>
  </si>
  <si>
    <t>Albertos, Belén/JCO-4227-2023; Garilleti, Ricardo/A-2862-2014; Tirira, Diego G./E-3617-2018; SANCHO, LEOPOLDO G/G-9120-2015; Albertos, Belén/ABF-9780-2020; Lara Garcia, Francisco/I-3003-2014; Tejedo, Pablo/A-7163-2010; Benayas Del Alamo, Fco. Javier/E-5663-2017</t>
  </si>
  <si>
    <t>Garilleti, Ricardo/0000-0002-5977-2908; Lara Garcia, Francisco/0000-0002-1665-5277; Simon-Baile, Debora/0000-0002-8398-9883; Tejedo, Pablo/0000-0002-1865-0445; Benayas Del Alamo, Fco. Javier/0000-0002-5906-9569; Cajiao, Daniela/0000-0003-0816-2138; Albertos, Belen/0000-0002-2116-5600; Tirira, Diego/0000-0002-5344-6175</t>
  </si>
  <si>
    <t>Ecuadorian government through the Ecuadorian Antarctic Institute; Spanish Government [CTM 2009-06604-E, CTM 2013-47381-P, CGL201789820-P]</t>
  </si>
  <si>
    <t>Ecuadorian government through the Ecuadorian Antarctic Institute; Spanish Government(Spanish Government)</t>
  </si>
  <si>
    <t>Fieldwork and data analysis for this paper were developed under several projects: Proposal for Tourism Management of Barrientos Island and Surroundings funded by the Ecuadorian government through the Ecuadorian Antarctic Institute and, EVA-ANTARCTICA (CTM 2009-06604-E), ALIENANT (CTM 2013-47381-P) and ANTECO (CGL201789820-P) which were supported by the Spanish Government. Logistical support was provided by the Ecuadorian and the Spanish National Antarctic Programs and the Ecuadorian and Spanish Navies.</t>
  </si>
  <si>
    <t>10.1016/j.jenvman.2020.110593</t>
  </si>
  <si>
    <t>LK8AT</t>
  </si>
  <si>
    <t>WOS:000531083400005</t>
  </si>
  <si>
    <t>Hatton, JE; Hendry, KR; Hirst, C; Opfergelt, S; Henkel, S; Silva-Busso, A; Welch, SA; Wadham, JL; Lyons, WB; Bagshaw, E; Staubwasser, M; McKnight, DM</t>
  </si>
  <si>
    <t>Hatton, Jade E.; Hendry, Katharine R.; Hirst, Catherine; Opfergelt, Sophie; Henkel, Susann; Silva-Busso, Adrian; Welch, Susan A.; Wadham, Jemma L.; Lyons, W. Berry; Bagshaw, Elizabeth; Staubwasser, Michael; McKnight, Diane M.</t>
  </si>
  <si>
    <t>Silicon Isotopic Composition of Dry and Wet-Based Glaciers in Antarctica</t>
  </si>
  <si>
    <t>silicon isotope geochemistry; Antarctica; stream weathering; subglacial weathering; silicon cycle</t>
  </si>
  <si>
    <t>KING-GEORGE ISLAND; GREENLAND ICE-SHEET; TAYLOR VALLEY; MELTWATER STREAMS; HYPORHEIC EXCHANGE; CRYOCONITE HOLES; DISSOLVED-LOAD; CLIMATE-CHANGE; IRON; GEOCHEMISTRY</t>
  </si>
  <si>
    <t>Glaciers and ice sheets export significant amounts of silicon (Si) to downstream ecosystems, impacting local and potentially global biogeochemical cycles. Recent studies have shown Si in Arctic glacial meltwaters to have an isotopically distinct signature when compared to non-glacial rivers. This is likely linked to subglacial weathering processes and mechanochemical reactions. However, there are currently no silicon isotope (delta Si-30) data available from meltwater streams in Antarctica, limiting the current inferences on global glacial silicon isotopic composition and its drivers. To address this gap, we present dissolved silicon (DSi), delta Si-30(DSi), and major ion data from meltwater streams draining a polythermal glacier in the region of the West Antarctic Peninsula (WAP; King George Island) and a cold-based glacier in East Antarctica [Commonwealth Stream, McMurdo Dry Valleys (MDV)]. These data, alongside other global datasets, improve our understanding of how contrasting glacier thermal regime can impact upon Si cycling and therefore the delta(30)Si(DSi)composition. We find a similar delta(30)Si(DSi)composition between the two sites, with the streams on King George Island varying between -0.23 and +1.23 parts per thousand and the Commonwealth stream varying from -0.40 to +1.14 parts per thousand. However, meltwater streams in King George Island have higher DSi concentrations, and the two glacial systems exhibit opposite DSi - delta(30)Si(DSi)trends. These contrasts likely result from differences in weathering processes, specifically the role of subglacial processes (King George Island) and, supraglacial processes followed by in-stream weathering in hyporheic zones (Commonwealth Stream). These findings are important when considering likely changes in nutrient fluxes from Antarctic glaciers under climatic warming scenarios and consequent shifts in glacial thermal regimes.</t>
  </si>
  <si>
    <t>[Hatton, Jade E.; Hendry, Katharine R.] Univ Bristol, Sch Earth Sci, Fac Sci, Bristol, Avon, England; [Hirst, Catherine; Opfergelt, Sophie] Catholic Univ Louvain, Earth &amp; Life Inst, Louvain La Neuve, Belgium; [Henkel, Susann] Helmholtz Ctr Polar &amp; Marine Res, Alfred Wegener Inst, Bremerhaven, Germany; [Silva-Busso, Adrian] Univ Buenos Aires, Fac Cs Exactas &amp; Nat, Buenos Aires, DF, Argentina; [Welch, Susan A.; Lyons, W. Berry] Ohio State Univ, Byrd Polar &amp; Climate Res Ctr, Coll Arts &amp; Sci, Columbus, OH 43210 USA; [Welch, Susan A.; Lyons, W. Berry] Ohio State Univ, Sch Earth Sci, Columbus, OH 43210 USA; [Wadham, Jemma L.] Univ Bristol, Sch Geog Sci, Fac Sci, Bristol, Avon, England; [Bagshaw, Elizabeth] Cardiff Univ, Coll Phys Sci &amp; Engn, Sch Earth &amp; Ocean Sci, Cardiff, Wales; [Staubwasser, Michael] Univ Cologne, Cologne, Germany; [McKnight, Diane M.] Univ Colorado, Inst Arctic &amp; Alpine Res, Boulder, CO 80309 USA</t>
  </si>
  <si>
    <t>University of Bristol; Universite Catholique Louvain; Helmholtz Association; Alfred Wegener Institute, Helmholtz Centre for Polar &amp; Marine Research; University of Buenos Aires; University System of Ohio; Ohio State University; University System of Ohio; Ohio State University; University of Bristol; Cardiff University; University of Cologne; University of Colorado System; University of Colorado Boulder</t>
  </si>
  <si>
    <t>Hatton, JE (corresponding author), Univ Bristol, Sch Earth Sci, Fac Sci, Bristol, Avon, England.</t>
  </si>
  <si>
    <t>j.e.hatton@bristol.ac.uk</t>
  </si>
  <si>
    <t>Henkel, Susann/AAR-3270-2021; Wadham, Jemma L/G-3138-2014; Henkel, Susann/S-4924-2016; Opfergelt, Sophie/L-2107-2015; Hatton, Jade/KFB-6939-2024; Staubwasser, Michael/N-4021-2015; Hendry, Katharine/E-4793-2011</t>
  </si>
  <si>
    <t>Henkel, Susann/0000-0001-7490-0237; Hatton, Jade/0000-0002-9408-7981; Bagshaw, Elizabeth/0000-0001-8392-1750; Staubwasser, Michael/0000-0002-5892-1115; Hendry, Katharine/0000-0002-0790-5895; Welch, Susan/0000-0002-2890-0065</t>
  </si>
  <si>
    <t>European Research Council starting grant ICY-LAB [678371]; Royal Society Enhancement Award [RGF\EA\181036]; German Research Foundation (DFG) [STA 936/51, KA 2769/3-1]; European Research Council starting grant WeThaw [714617]; National Funds for Scientific Research FNRS [26043653, FC69480]; NSF [OPP-ANT 1115249]; European Research Council (ERC) [714617, 678371] Funding Source: European Research Council (ERC)</t>
  </si>
  <si>
    <t>European Research Council starting grant ICY-LAB; Royal Society Enhancement Award(Royal Society); German Research Foundation (DFG)(German Research Foundation (DFG)); European Research Council starting grant WeThaw; National Funds for Scientific Research FNRS(Fonds de la Recherche Scientifique - FNRS); NSF(National Science Foundation (NSF)); European Research Council (ERC)(European Research Council (ERC)Spanish Government)</t>
  </si>
  <si>
    <t>JH and KH were funded by the European Research Council starting grant ICY-LAB (agreement number 678371) and Royal Society Enhancement Award (RGF\EA\181036). Field campaigns to King George Island were funded via the German Research Foundation (DFG grant numbers STA 936/51 and KA 2769/3-1). CH and SO were funded by the European Research Council starting grant WeThaw (agreement number 714617) and National Funds for Scientific Research FNRS (Grant Nos. 26043653 and FC69480). WL and SW were funded by NSF grant to the MCM LTER project, OPP-ANT 1115249.</t>
  </si>
  <si>
    <t>JUL 14</t>
  </si>
  <si>
    <t>10.3389/feart.2020.00286</t>
  </si>
  <si>
    <t>MV7ZX</t>
  </si>
  <si>
    <t>Green Published, gold, Green Accepted</t>
  </si>
  <si>
    <t>WOS:000556572100001</t>
  </si>
  <si>
    <t>Barraqueta, JLM; Samanta, S; Achterberg, EP; Bowie, AR; Croot, P; Cloete, R; De Jongh, T; Gelado-Caballero, MD; Klar, JK; Middag, R; Loock, JC; Remenyi, TA; Wenzel, B; Roychoudhury, AN</t>
  </si>
  <si>
    <t>Barraqueta, Jan-Lukas Menzel; Samanta, Saumik; Achterberg, Eric P.; Bowie, Andrew R.; Croot, Peter; Cloete, Ryan; De Jongh, Tara; Gelado-Caballero, Maria D.; Klar, Jessica K.; Middag, Rob; Loock, Jean C.; Remenyi, Tomas A.; Wenzel, Bernhard; Roychoudhury, Alakendra N.</t>
  </si>
  <si>
    <t>A First Global Oceanic Compilation of Observational Dissolved Aluminum Data With Regional Statistical Data Treatment</t>
  </si>
  <si>
    <t>database; oceans; aluminum; compilation; biogeochemistry; GEOTRACES</t>
  </si>
  <si>
    <t>GENERAL-CIRCULATION MODEL; FLOW-INJECTION ANALYSIS; NORTH-ATLANTIC OCEAN; SURFACE WATERS; DUST DEPOSITION; TRACE-ELEMENTS; IOC STATIONS; SILICIC-ACID; INDIAN-OCEAN; AL</t>
  </si>
  <si>
    <t>[Barraqueta, Jan-Lukas Menzel; Samanta, Saumik; Cloete, Ryan; De Jongh, Tara; Loock, Jean C.; Wenzel, Bernhard; Roychoudhury, Alakendra N.] Stellenbosch Univ, Dept Earth Sci, Stellenbosch, South Africa; [Achterberg, Eric P.; Wenzel, Bernhard] Helmholtz Ctr Ocean Res Kiel, GEOMAR, Kiel, Germany; [Bowie, Andrew R.; Remenyi, Tomas A.] Univ Tasmania, Antarctic Climate &amp; Ecosyst Cooperat Res Ctr, Hobart, Tas, Australia; [Bowie, Andrew R.; Remenyi, Tomas A.] Univ Tasmania, Inst Marine &amp; Antarctic Studies, Hobart, Tas, Australia; [Croot, Peter] Natl Univ Ireland Galway, ICRAG Irish Ctr Res Appl Geosci Earth &amp; Ocean Sci, Sch Nat Sci, Galway, Ireland; [Croot, Peter] Natl Univ Ireland Galway, Ryan Inst, Galway, Ireland; [Gelado-Caballero, Maria D.] Univ Las Palmas Gran Canaria, Chem Dept, Las Palmas Gran Canaria, Spain; [Klar, Jessica K.] Univ Perpignan Via Domitia, CNRS, IRD, CEFREM, Perpignan, France; [Middag, Rob] NIOZ Royal Netherlands Inst Sea Res, Dept Ocean Syst OCS, Texel, Netherlands; [Middag, Rob] Univ Utrecht, Texel, Netherlands</t>
  </si>
  <si>
    <t>Stellenbosch University; Helmholtz Association; GEOMAR Helmholtz Center for Ocean Research Kiel; Antarctic Climate &amp; Ecosystems Cooperative Research Centre (ACE CRC); University of Tasmania; University of Tasmania; Ollscoil na Gaillimhe-University of Galway; Ollscoil na Gaillimhe-University of Galway; Universidad de Las Palmas de Gran Canaria; Centre National de la Recherche Scientifique (CNRS); Universite Perpignan Via Domitia; Institut de Recherche pour le Developpement (IRD); Utrecht University; Royal Netherlands Institute for Sea Research (NIOZ); Utrecht University</t>
  </si>
  <si>
    <t>Barraqueta, JLM (corresponding author), Stellenbosch Univ, Dept Earth Sci, Stellenbosch, South Africa.</t>
  </si>
  <si>
    <t>jmenzel@sun.ac.za</t>
  </si>
  <si>
    <t>Samanta, Saumik/GYQ-8988-2022; Middag, Rob/D-6423-2013; Brophy, Deirdre/JQW-0281-2023; Achterberg, Eric P/C-5820-2009; Klar, Jessica/B-7129-2014; Bowie, Andrew/C-8677-2013</t>
  </si>
  <si>
    <t>Gelado-Caballero, M.D./0000-0003-4001-9673; SAMANTA, SAUMIK/0000-0002-6901-0747; Bowie, Andrew/0000-0002-5144-7799</t>
  </si>
  <si>
    <t>NRF, South Africa [105826 AND 110715]</t>
  </si>
  <si>
    <t>NRF, South Africa(National Research Foundation - South Africa)</t>
  </si>
  <si>
    <t>This study was funded by NRF, South Africa (UID# 105826 AND 110715).</t>
  </si>
  <si>
    <t>10.3389/fmars.2020.00468</t>
  </si>
  <si>
    <t>MK2BI</t>
  </si>
  <si>
    <t>Green Published, Green Accepted, gold</t>
  </si>
  <si>
    <t>WOS:000548590400001</t>
  </si>
  <si>
    <t>Birkmanis, CA; Freer, JJ; Simmons, LW; Partridge, JC; Sequeira, AMM</t>
  </si>
  <si>
    <t>Birkmanis, Charlotte A.; Freer, Jennifer J.; Simmons, Leigh W.; Partridge, Julian C.; Sequeira, Ana M. M.</t>
  </si>
  <si>
    <t>Future Distribution of Suitable Habitat for Pelagic Sharks in Australia Under Climate Change Models</t>
  </si>
  <si>
    <t>sea surface temperature; climate change; marine ecosystems; species distribution models; global warming; Lamnidae; Carcharhinidae</t>
  </si>
  <si>
    <t>ISURUS-OXYRINCHUS; EXTINCTION RISK; MARINE; VULNERABILITY; IMPACTS; SHIFTS; RAYS</t>
  </si>
  <si>
    <t>Global oceans are absorbing over 90% of the heat trapped in our atmosphere due to accumulated anthropogenic greenhouse gases, resulting in increasing ocean temperatures. Such changes may influence marine ectotherms, such as sharks, as their body temperature concurrently increases toward their upper thermal limits. Sharks are high trophic level predators that play a key role in the regulation of ecosystem structure and health. Because many sharks are already threatened, it is especially important to understand the impact of climate change on these species. We used shark occurrence records collected by commercial fisheries within the Australian continental Exclusive Economic Zone (EEZ) to predict changes in future (2050-2099) relative to current (1956-2005) habitat suitability for pelagic sharks based on an ensemble of climate models and emission scenarios. Our predictive models indicate that future sea temperatures are likely to shift the location of suitable shark habitat within the Australian EEZ. On average, suitable habitat is predicted to decrease within the EEZ for requiem and increase for mackerel sharks, however, the direction and severity of change was highly influenced by the choice of climate model. Our results indicate the need to consider climate change scenarios as part of future shark management and suggest that more broad -scale studies are needed for these pelagic species.</t>
  </si>
  <si>
    <t>[Birkmanis, Charlotte A.; Sequeira, Ana M. M.] Univ Western Australia, Sch Biol Sci, Perth, WA, Australia; [Birkmanis, Charlotte A.; Partridge, Julian C.; Sequeira, Ana M. M.] Univ Western Australia, UWA Oceans Inst, Perth, WA, Australia; [Freer, Jennifer J.] British Antarctic Survey, Cambridge, England; [Simmons, Leigh W.] Univ Western Australia, Sch Biol Sci, Ctr Evolutionary Biol, Perth, WA, Australia</t>
  </si>
  <si>
    <t>University of Western Australia; University of Western Australia; UK Research &amp; Innovation (UKRI); Natural Environment Research Council (NERC); NERC British Antarctic Survey; University of Western Australia</t>
  </si>
  <si>
    <t>Birkmanis, CA (corresponding author), Univ Western Australia, Sch Biol Sci, Perth, WA, Australia.;Birkmanis, CA (corresponding author), Univ Western Australia, UWA Oceans Inst, Perth, WA, Australia.</t>
  </si>
  <si>
    <t>charlotte.birkmanis@research.uwa.edu.au</t>
  </si>
  <si>
    <t>Sequeira, Ana M M/AAE-9741-2021; Partridge, Julian/F-2097-2014</t>
  </si>
  <si>
    <t>Sequeira, Ana M M/0000-0001-6906-799X; Birkmanis, Charlotte/0000-0003-0016-8885; Partridge, Julian/0000-0003-3788-2900; Freer, Jennifer/0000-0002-3947-9261</t>
  </si>
  <si>
    <t>Research Training Scheme scholarship; Robson and Robertson Award from the Jock Clough Marine Foundation; ARC [DE170100841]; Australian Institute of Marine Science (AIMS); NERC [bas0100035] Funding Source: UKRI; Australian Research Council [DE170100841] Funding Source: Australian Research Council</t>
  </si>
  <si>
    <t>Research Training Scheme scholarship; Robson and Robertson Award from the Jock Clough Marine Foundation; ARC(Australian Research Council); Australian Institute of Marine Science (AIMS); NERC(UK Research &amp; Innovation (UKRI)Natural Environment Research Council (NERC)); Australian Research Council(Australian Research Council)</t>
  </si>
  <si>
    <t>CB was supported by a Research Training Scheme scholarship and a Robson and Robertson Award from the Jock Clough Marine Foundation. AS was supported by an ARC grant DE170100841 and research funds from Australian Institute of Marine Science (AIMS).</t>
  </si>
  <si>
    <t>10.3389/fmars.2020.00570</t>
  </si>
  <si>
    <t>MK2CF</t>
  </si>
  <si>
    <t>Green Accepted, gold</t>
  </si>
  <si>
    <t>WOS:000548592800001</t>
  </si>
  <si>
    <t>Wu, P; Yang, SH; Zhan, ZC; Zhang, GM</t>
  </si>
  <si>
    <t>Wu, Pan; Yang, Shihui; Zhan, Zhichun; Zhang, Guimin</t>
  </si>
  <si>
    <t>Origins and features of pectate lyases and their applications in industry</t>
  </si>
  <si>
    <t>APPLIED MICROBIOLOGY AND BIOTECHNOLOGY</t>
  </si>
  <si>
    <t>Pectate lyase; Optimal pH; Optimal temperature; Calcium ion; Protein structure; Textile industry</t>
  </si>
  <si>
    <t>BACILLUS-PUMILUS DKS1; PECTIC WASTE-WATER; SP STRAIN P-4-N; BIOCHEMICAL-CHARACTERIZATION; ALKALOPHILIC BACTERIA; PECTINOLYTIC ENZYMES; ERWINIA-CHRYSANTHEMI; MICROBIAL PECTINASES; ANTARCTIC BACTERIUM; ALKALINE PECTINASES</t>
  </si>
  <si>
    <t>Pectate lyase treatment can be an alternative strategy of the chemical processing, which causes severe environmental pollution, and has been broadly studied and applied for diverse industrial applications including textile industry, beverage industry, pulp processing, pectic wastewater pretreatment, and oil extraction. This review gave a brief description of the origins, enzymatic characterizations, structure, and applications of pectate lyases (Pels). Most of the reported pectate lyases are originated from microorganisms with a small number of them from plants and animals. Due to the diverse environments that these microorganisms exist, Pels present diversified features, especially for the range of optimal pH and temperature. The diversified biochemical properties of Pels define their applications in different industries, and the applications of alkaline Pels on cotton bioscouring and ramie degumming in textile industry were focused in this review. This review also discussed the perspectives of the development and applications of Pels.</t>
  </si>
  <si>
    <t>[Wu, Pan; Yang, Shihui; Zhang, Guimin] Hubei Univ, Hubei Collaborat Innovat Ctr Green Transformat Bi, State Key Lab Biocatalysis &amp; Enzyme Engn, Sch Life Sci, Wuhan 430062, Peoples R China; [Wu, Pan; Zhan, Zhichun] Wuhan Sunhy Biol Co Ltd, Wuhan 430206, Peoples R China</t>
  </si>
  <si>
    <t>Hubei University</t>
  </si>
  <si>
    <t>Zhang, GM (corresponding author), Hubei Univ, Hubei Collaborat Innovat Ctr Green Transformat Bi, State Key Lab Biocatalysis &amp; Enzyme Engn, Sch Life Sci, Wuhan 430062, Peoples R China.</t>
  </si>
  <si>
    <t>zhangguimin@hubu.edu.cn</t>
  </si>
  <si>
    <t>Zhang, Guimin/0000-0002-7824-0077; Wu, Pan/0000-0001-8339-4495</t>
  </si>
  <si>
    <t>Natural Science Foundation of Hubei Province [2018CFB319]; Hubei Technological Innovation Special Fund [2017ACA171]</t>
  </si>
  <si>
    <t>Natural Science Foundation of Hubei Province(Natural Science Foundation of Hubei Province); Hubei Technological Innovation Special Fund</t>
  </si>
  <si>
    <t>This work was supported by grants from Natural Science Foundation of Hubei Province (2018CFB319) and Hubei Technological Innovation Special Fund (2017ACA171).</t>
  </si>
  <si>
    <t>0175-7598</t>
  </si>
  <si>
    <t>1432-0614</t>
  </si>
  <si>
    <t>APPL MICROBIOL BIOT</t>
  </si>
  <si>
    <t>Appl. Microbiol. Biotechnol.</t>
  </si>
  <si>
    <t>10.1007/s00253-020-10769-8</t>
  </si>
  <si>
    <t>MW4PS</t>
  </si>
  <si>
    <t>WOS:000548506600002</t>
  </si>
  <si>
    <t>Fogt, RL; Belak, CP; Jones, JM; Slivinski, LC; Compo, GP</t>
  </si>
  <si>
    <t>Fogt, Ryan L.; Belak, Connor P.; Jones, Julie M.; Slivinski, Laura C.; Compo, Gilbert P.</t>
  </si>
  <si>
    <t>An assessment of early 20th century Antarctic pressure reconstructions using historical observations</t>
  </si>
  <si>
    <t>INTERNATIONAL JOURNAL OF CLIMATOLOGY</t>
  </si>
  <si>
    <t>Antarctica; climate; data recovery; pressure</t>
  </si>
  <si>
    <t>SOUTH-POLE RACE; EXCEPTIONAL SUMMER; SURFACE; ICE; REANALYSIS; VARIABILITY; TRENDS</t>
  </si>
  <si>
    <t>While gridded seasonal pressure reconstructions poleward of 60 degrees S extending back to 1905 have been recently completed, their skill has not been assessed prior to 1958. To provide a more thorough evaluation of the skill and performance in the early 20th century, these reconstructions are compared to other gridded datasets, historical data from early Antarctic expeditions, ship records, and temporary bases. Overall, the comparison confirms that the reconstruction uncertainty of 2-4 hPa (evaluated after 1979) over the Southern Ocean is a valid estimate of the reconstruction error in the early 20th century. Over the interior and near the coast of Antarctica, direct comparisons with historical data are challenged by elevation-based reductions to sea level pressure. In a few cases, a simple linear adjustment of the reconstruction to sea level matches the historical data well, but in other cases, the differences remain greater than 10 hPa. Despite these large errors, comparisons with continuous multi-season observations demonstrate that aspects of the interannual variability are often still captured, suggesting that the reconstructions have skill representing variations on this timescale, even if it is difficult to determine how well they capture the mean pressure at these higher elevations. Additional comparisons with various 20th-century reanalysis products demonstrate the value of assimilating the historical observations in these datasets, which acts to substantially reduce the reanalysis ensemble spread, and bring the reanalysis ensemble mean within the reconstruction and observational uncertainty.</t>
  </si>
  <si>
    <t>[Fogt, Ryan L.; Belak, Connor P.] Ohio Univ, Dept Geog, 122 Clippinger Labs, Athens, OH 45701 USA; [Fogt, Ryan L.; Belak, Connor P.] Ohio Univ, Scalia Lab Atmospher Anal, Athens, OH 45701 USA; [Jones, Julie M.] Univ Sheffield, Dept Geog, Sheffield, S Yorkshire, England; [Slivinski, Laura C.; Compo, Gilbert P.] Univ Colorado, Cooperat Inst Res Environm Sci, Boulder, CO 80309 USA; [Slivinski, Laura C.; Compo, Gilbert P.] NOAA, Phys Sci Lab, Boulder, CO USA</t>
  </si>
  <si>
    <t>University System of Ohio; Ohio University; University System of Ohio; Ohio University; University of Sheffield; University of Colorado System; University of Colorado Boulder; National Oceanic Atmospheric Admin (NOAA) - USA</t>
  </si>
  <si>
    <t>Fogt, RL (corresponding author), Ohio Univ, Dept Geog, 122 Clippinger Labs, Athens, OH 45701 USA.</t>
  </si>
  <si>
    <t>fogtr@ohio.edu</t>
  </si>
  <si>
    <t>COMPO, GILBERT P./X-3024-2019; Fogt, Ryan L/B-6989-2008</t>
  </si>
  <si>
    <t>COMPO, GILBERT P./0000-0001-5199-9633; Fogt, Ryan L/0000-0002-5398-3990; Jones, Julie/0000-0003-2892-8647; SLIVINSKI, LAURA/0000-0002-3531-3889</t>
  </si>
  <si>
    <t>Leverhulme Trust [RF-2018-183]; Office of Polar Programs [ANT-1744998, PLR-1341621]</t>
  </si>
  <si>
    <t>Leverhulme Trust(Leverhulme Trust); Office of Polar Programs(National Science Foundation (NSF)NSF - Directorate for Geosciences (GEO))</t>
  </si>
  <si>
    <t>Leverhulme Trust, Grant/Award Number: RF-2018-183; Office of Polar Programs, Grant/Award Numbers: ANT-1744998, PLR-1341621</t>
  </si>
  <si>
    <t>0899-8418</t>
  </si>
  <si>
    <t>1097-0088</t>
  </si>
  <si>
    <t>INT J CLIMATOL</t>
  </si>
  <si>
    <t>Int. J. Climatol.</t>
  </si>
  <si>
    <t>E672</t>
  </si>
  <si>
    <t>E689</t>
  </si>
  <si>
    <t>10.1002/joc.6718</t>
  </si>
  <si>
    <t>PT6DF</t>
  </si>
  <si>
    <t>Bronze, Green Accepted</t>
  </si>
  <si>
    <t>WOS:000548421200001</t>
  </si>
  <si>
    <t>Mahmud, R; Purser, J; Patil, JG</t>
  </si>
  <si>
    <t>Mahmud, Raihan; Purser, John; Patil, Jawahar G.</t>
  </si>
  <si>
    <t>A novel testicular degenerative condition in a wild population of the common carp Cyprinus carpio (L)</t>
  </si>
  <si>
    <t>JOURNAL OF FISH DISEASES</t>
  </si>
  <si>
    <t>apoptosis; carp control; histology; jelly-like gonad condition; testicular degeneration</t>
  </si>
  <si>
    <t>GERM-CELL TUMORS; GONADAL NEOPLASMS; GREAT-LAKES; TESTIS; APOPTOSIS; CRYPTORCHIDISM; CANCER; DEATH; FISH; 4-TERT-PENTYLPHENOL</t>
  </si>
  <si>
    <t>Gonad abnormalities can restrict or completely block reproductive capability of individuals and in some case that of their populations. Here, we describe a novel testicular degenerative condition of non-germ cell origin with a high prevalence (up to 22.1% of the population) in a wild population of carp. Based on gross morphology, and microscopic and cellular examinations, the condition shows progressive severity which could be categorized into low, mild, severe and complete. In early stages of the condition, an abnormally increased proliferation (11-fold) of the Sertoli cell occurred, followed by degenerative cell death of all testicular cells, resulting in fluid-filled vesicles in the later stages. This initial uncontrolled proliferation of Sertoli cells suggests that the condition could be triggered by malignant pathways; however, the observed subsequent apoptosis of all testicular cellsen masse, rendering the animals sterile, appears unique. Observations, to date, indicate that this condition is specific to male carp and not present in other species of fish sharing the habitat. High prevalence of the condition allowed comparative evaluation between affected individuals, an aspect likely to facilitate future studies, including elucidation of the cause, robust testing of therapies and practical applications such as management of feral carp populations.</t>
  </si>
  <si>
    <t>[Mahmud, Raihan; Patil, Jawahar G.] Univ Tasmania, Inst Marine &amp; Antarctic Studies, Fisheries &amp; Aquaculture Ctr, Taroona Hobart, Tas, Australia; [Purser, John] Univ Tasmania, Inst Marine &amp; Antarctic Studies, Fisheries &amp; Aquaculture Ctr, Launceston, Tas, Australia; [Patil, Jawahar G.] Inland Fisheries Serv, New Norfolk, Tas, Australia</t>
  </si>
  <si>
    <t>University of Tasmania; University of Tasmania</t>
  </si>
  <si>
    <t>Patil, JG (corresponding author), Univ Tasmania, Inst Marine &amp; Antarctic Studies, Fisheries &amp; Aquaculture Ctr, Private Bag 49, Hobart, Tas 7001, Australia.</t>
  </si>
  <si>
    <t>jgpatil@utas.edu.au</t>
  </si>
  <si>
    <t>Patil, Jawahar G/0000-0002-2154-4627</t>
  </si>
  <si>
    <t>IFS, Tasmania</t>
  </si>
  <si>
    <t>The support from John Diggle, Chris Wisniewski and Jonah Yick and contributions from members of the IFS carp eradication team are greatly appreciated. Lisette Robertson, IMAS Taroona, provided valuable assistance with histological techniques. The project received funding support from IFS, Tasmania.</t>
  </si>
  <si>
    <t>0140-7775</t>
  </si>
  <si>
    <t>1365-2761</t>
  </si>
  <si>
    <t>J FISH DIS</t>
  </si>
  <si>
    <t>J. Fish Dis.</t>
  </si>
  <si>
    <t>10.1111/jfd.13216</t>
  </si>
  <si>
    <t>Fisheries; Marine &amp; Freshwater Biology; Veterinary Sciences</t>
  </si>
  <si>
    <t>NE9NO</t>
  </si>
  <si>
    <t>WOS:000548106200001</t>
  </si>
  <si>
    <t>Liu, RJ; Han, ZB; Zhao, J; Zhang, HF; Li, D; Ren, JY; Pan, JM; Zhang, HS</t>
  </si>
  <si>
    <t>Liu, Ruijuan; Han, Zhengbing; Zhao, Jun; Zhang, Haifeng; Li, Dong; Ren, Jianye; Pan, Jianming; Zhang, Haisheng</t>
  </si>
  <si>
    <t>Distribution and source of glycerol dialkyl glycerol tetraethers (GDGTs) and the applicability of GDGT-based temperature proxies in surface sediments of Prydz Bay, East Antarctica</t>
  </si>
  <si>
    <t>POLAR RESEARCH</t>
  </si>
  <si>
    <t>Biomarkers; archaea; seawater temperature; palaeotemperature indices; Antarctic marginal seas</t>
  </si>
  <si>
    <t>HYDROXYLATED ISOPRENOID GDGTS; SEA-ICE; PLANKTONIC ARCHAEA; LIPID DISTRIBUTIONS; MEMBRANE-LIPIDS; BRANCHED GDGTS; SOUTHERN-OCEAN; WATER MASSES; MARINE; DIVERSITY</t>
  </si>
  <si>
    <t>Reliable records of Southern Ocean seawater palaeotemperatures are important because this region plays a significant role in regulating global climate change. Biomarkers such as GDGT-based indices have been effectively used to reconstruct seawater temperatures. We analysed the composition and distribution of iGDGTs, OH-GDGTs and brGDGTs and calculated GDGT-based temperature indices in surface sediments from Prydz Bay, East Antarctica. Our results showed that iGDGTs, OH-GDGTs and brGDGTs are all produced in situ, with iGDGTs and OH-GDGTs mostly synthesized by Thaumarchaeota. Concentrations of iGDGTs, OH-GDGTs and brGDGTs showed similar spatial distributions and decreased from the continental shelf towards the deep ocean. The highest concentrations were in the inner bay, which is attributed to a combination of (1) bathymetry that reduces water exchange, (2) the Prydz Bay Gyre stabilizing the upper water column and (3) sea ice that releases archaea and bacteria. Among the temperature indices based on iGDGTs, OH-GDGTs and combinations therein, those based on OH-GDGTs showed the strongest correlation with seawater temperature. Some OH-GDGT-based indices (e.g., OH-0/ OHs, OH-1/OHs, OH-2/OHs and RI-OH') exhibited a stronger correlation with annual subsurface ocean temperature (100-200 m), which may be related to archaeal habitats and production mechanisms. Our study suggests that RI-OH' and OH-0/OHs could be used as indicators of annual subsurface ocean temperature in Antarctic marginal seas.</t>
  </si>
  <si>
    <t>[Liu, Ruijuan; Ren, Jianye] China Univ Geosci, Coll Marine Sci &amp; Technol, Wuhan, Peoples R China; [Liu, Ruijuan; Han, Zhengbing; Zhao, Jun; Zhang, Haifeng; Li, Dong; Pan, Jianming; Zhang, Haisheng] Minist Nat Resources, Key Lab Marine Ecosyst Dynam, Inst Oceanog 2, 36 Baochu North Rd, Hangzhou 310012, Peoples R China; [Liu, Ruijuan] Zhejiang Ocean Monitoring &amp; Forecasting Ctr, Hangzhou, Peoples R China</t>
  </si>
  <si>
    <t>China University of Geosciences; Ministry of Natural Resources of the People's Republic of China</t>
  </si>
  <si>
    <t>Pan, JM (corresponding author), Minist Nat Resources, Key Lab Marine Ecosyst Dynam, Inst Oceanog 2, 36 Baochu North Rd, Hangzhou 310012, Peoples R China.</t>
  </si>
  <si>
    <t>jmpan@sio.org.cn</t>
  </si>
  <si>
    <t>National Natural Science Foundation of China [41976227, 41976228, 41576186, 41376193]; Scientific Research Fund of the Second Institute of Oceanography, Ministry of Natural Resources [JG1404, JG1805]; The Response and Feedback of the Southern Ocean to Climate Change programme [RFSOCC2020-2025]</t>
  </si>
  <si>
    <t>National Natural Science Foundation of China(National Natural Science Foundation of China (NSFC)); Scientific Research Fund of the Second Institute of Oceanography, Ministry of Natural Resources; The Response and Feedback of the Southern Ocean to Climate Change programme</t>
  </si>
  <si>
    <t>This study was funded by the National Natural Science Foundation of China (grant nos. 41976227, 41976228, 41576186 and 41376193) and the Scientific Research Fund of the Second Institute of Oceanography, Ministry of Natural Resources (grant nos. JG1404 and JG1805), The Response and Feedback of the Southern Ocean to Climate Change (RFSOCC2020-2025) programme.</t>
  </si>
  <si>
    <t>OPEN ACADEMIA AB</t>
  </si>
  <si>
    <t>SPANGA</t>
  </si>
  <si>
    <t>STORMBYVAGEN 6, SPANGA, SE-163 55, SWEDEN</t>
  </si>
  <si>
    <t>0800-0395</t>
  </si>
  <si>
    <t>1751-8369</t>
  </si>
  <si>
    <t>POLAR RES-SWEDEN</t>
  </si>
  <si>
    <t>Polar Res.</t>
  </si>
  <si>
    <t>10.33265/polar.v39.3557</t>
  </si>
  <si>
    <t>Ecology; Geosciences, Multidisciplinary; Oceanography</t>
  </si>
  <si>
    <t>Environmental Sciences &amp; Ecology; Geology; Oceanography</t>
  </si>
  <si>
    <t>MJ5DN</t>
  </si>
  <si>
    <t>WOS:000548110800001</t>
  </si>
  <si>
    <t>Tilmes, S; MacMartin, DG; Lenaerts, JTM; van Kampenhout, L; Muntjewerf, L; Xia, LL; Harrison, CS; Krumhardt, KM; Mills, MJ; Kravitz, B; Robock, A</t>
  </si>
  <si>
    <t>Tilmes, Simone; MacMartin, Douglas G.; Lenaerts, Jan T. M.; van Kampenhout, Leo; Muntjewerf, Laura; Xia, Lili; Harrison, Cheryl S.; Krumhardt, Kristen M.; Mills, Michael J.; Kravitz, Ben; Robock, Alan</t>
  </si>
  <si>
    <t>Reaching 1.5 and 2.0 °C global surface temperature targets using stratospheric aerosol geoengineering</t>
  </si>
  <si>
    <t>EARTH SYSTEM DYNAMICS</t>
  </si>
  <si>
    <t>MARINE PRIMARY PRODUCTION; ICE-SHEET; CLIMATE IMPACTS; DESIGN; GREENLAND; VERSION</t>
  </si>
  <si>
    <t>A new set of stratospheric aerosol geoengineering (SAG) model experiments has been performed with Community Earth System Model version 2 (CESM2) with the Whole Atmosphere Community Climate Model (WACCM6) that are based on the Coupled Model Intercomparison Project phase 6 (CMIP6) overshoot scenario (55P5-34-OS) as a baseline scenario to limit global warming to 1.5 or 2.0 degrees C above 1850-1900 conditions. The overshoot scenario allows us to applying a peak-shaving scenario that reduces the needed duration and amount of SAG application compared to a high forcing scenario. In addition, a feedback algorithm identifies the needed amount of sulfur dioxide injections in the stratosphere at four pre-defined latitudes, 30 degrees N, 15 degrees N, 15 degrees S, and 30 degrees S, to reach three surface temperature targets: global mean temperature, and interhemispheric and pole-to-Equator temperature gradients. These targets further help to reduce side effects, including overcooling in the tropics, warming of high latitudes, and large shifts in precipitation patterns. These experiments are therefore relevant for investigating the impacts on society and ecosystems. Comparisons to SAG simulations based on a high emission pathway baseline scenario (SSP5-85) are also performed to investigate the dependency of impacts using different injection amounts to offset surface warming by SAG. We find that changes from present-day conditions around 2020 in some variables depend strongly on the defined temperature target (1.5 degrees C vs. 2.0 degrees C). These include surface air temperature and related impacts, the Atlantic Meridional Overturning Circulation, which impacts ocean net primary productivity, and changes in ice sheet surface mass balance, which impacts sea level rise. Others, including global precipitation changes and the recovery of the Antarctic ozone hole, depend strongly on the amount of SAG application. Furthermore, land net primary productivity as well as ocean acidification depend mostly on the global atmospheric CO2 concentration and therefore the baseline scenario. Multi-model comparisons of experiments that include strong mitigation and carbon dioxide removal with some SAG application are proposed to assess the robustness of impacts on societies and ecosystems.</t>
  </si>
  <si>
    <t>[Tilmes, Simone; Mills, Michael J.] Natl Ctr Atmospher Res, Atmospher Chem Observat &amp; Modeling Lab, POB 3000, Boulder, CO 80307 USA; [MacMartin, Douglas G.] Cornell Univ, Mech &amp; Aerosp Engn, Ithaca, NY USA; [Lenaerts, Jan T. M.] Univ Colorado, Dept Atmospher &amp; Ocean Sci, Boulder, CO 80309 USA; [van Kampenhout, Leo] Univ Utrecht, Inst Marine &amp; Atmospher Res, Utrecht, Netherlands; [Muntjewerf, Laura] Delft Univ Technol, Dept Geosci &amp; Remote Sensing, Delft, Netherlands; [Xia, Lili; Robock, Alan] Rutgers State Univ, Dept Environm Sci, New Brunswick, NJ USA; [Harrison, Cheryl S.] Univ Texas Rio Grande Valley, Sch Earth Environm &amp; Marine Sci, Port Isabel, TX USA; [Krumhardt, Kristen M.] Natl Ctr Atmospher Res, Climate Global Dynam Lab, POB 3000, Boulder, CO 80307 USA; [Kravitz, Ben] Indiana Univ, Dept Earth &amp; Atmospher Sci, Bloomington, IN USA; [Kravitz, Ben] Pacific Northwest Natl Lab, Atmospher Sci &amp; Global Change Div, Richland, WA 99352 USA</t>
  </si>
  <si>
    <t>National Center Atmospheric Research (NCAR) - USA; Cornell University; University of Colorado System; University of Colorado Boulder; Utrecht University; Delft University of Technology; Rutgers University System; Rutgers University New Brunswick; University of Texas System; University of Texas Rio Grande Valley; National Center Atmospheric Research (NCAR) - USA; Indiana University System; Indiana University Bloomington; United States Department of Energy (DOE); Pacific Northwest National Laboratory</t>
  </si>
  <si>
    <t>Tilmes, S (corresponding author), Natl Ctr Atmospher Res, Atmospher Chem Observat &amp; Modeling Lab, POB 3000, Boulder, CO 80307 USA.</t>
  </si>
  <si>
    <t>tilmes@ucar.edu</t>
  </si>
  <si>
    <t>Robock, Alan/B-6385-2016; Harrison, Cheryl Shannon/IWV-0053-2023; Tilmes, Simone/JUV-6618-2023; Lenaerts, Jan/D-9423-2012; MacMartin, Douglas/AAB-5314-2020; Mills, Michael/B-5068-2010; MacMartin, Douglas/A-6333-2016; Kravitz, Ben/P-7925-2014</t>
  </si>
  <si>
    <t>Harrison, Cheryl Shannon/0000-0003-4544-947X; Tilmes, Simone/0000-0002-6557-3569; Lenaerts, Jan/0000-0003-4309-4011; Mills, Michael/0000-0002-8054-1346; MacMartin, Douglas/0000-0003-1987-9417; Muntjewerf, Laura/0000-0002-1969-5899; Krumhardt, Kristen/0000-0002-8980-056X; Kravitz, Ben/0000-0001-6318-1150</t>
  </si>
  <si>
    <t>National Science Foundation [CBET-1931641]; Indiana University Environmental Resilience Institute; Prepared for Environmental Change Grand Challenge initiative; US Department of Energy by Battelle Memorial Institute [DE-AC05-76RL01830]; NSF [AGS-1617844, 1852977]; Computational and Information Systems Laboratory (CISL) at NCAR; Netherlands Earth System Science Centre (NESSC); Ministry of Education, Culture and Science (OCW) [024.002.001]</t>
  </si>
  <si>
    <t>National Science Foundation(National Science Foundation (NSF)); Indiana University Environmental Resilience Institute; Prepared for Environmental Change Grand Challenge initiative; US Department of Energy by Battelle Memorial Institute(United States Department of Energy (DOE)); NSF(National Science Foundation (NSF)); Computational and Information Systems Laboratory (CISL) at NCAR; Netherlands Earth System Science Centre (NESSC); Ministry of Education, Culture and Science (OCW)(Ministry of Education, Culture, Sports, Science and Technology, Japan (MEXT))</t>
  </si>
  <si>
    <t>This research has been supported by the National Science Foundation (grant no. CBET-1931641), the Indiana University Environmental Resilience Institute, the Prepared for Environmental Change Grand Challenge initiative, the US Department of Energy by Battelle Memorial Institute (grant no. DE-AC05-76RL01830), the NSF (grant nos. AGS-1617844 and 1852977), the Computational and Information Systems Laboratory (CISL) at NCAR, the Netherlands Earth System Science Centre (NESSC), and the Ministry of Education, Culture and Science (OCW) (grant no. 024.002.001).</t>
  </si>
  <si>
    <t>2190-4979</t>
  </si>
  <si>
    <t>2190-4987</t>
  </si>
  <si>
    <t>EARTH SYST DYNAM</t>
  </si>
  <si>
    <t>Earth Syst. Dynam.</t>
  </si>
  <si>
    <t>10.5194/esd-11-579-2020</t>
  </si>
  <si>
    <t>MN4QX</t>
  </si>
  <si>
    <t>WOS:000550829300001</t>
  </si>
  <si>
    <t>Androsiuk, P; Jastrzebski, JP; Paukszto, L; Makowczenko, K; Okorski, A; Pszczólkowska, A; Chwedorzewska, KJ; Górecki, R; Gielwanowska, I</t>
  </si>
  <si>
    <t>Androsiuk, Piotr; Jastrzebski, Jan Pawel; Paukszto, Lukasz; Makowczenko, Karol; Okorski, Adam; Pszczolkowska, Agnieszka; Chwedorzewska, Katarzyna Joanna; Gorecki, Ryszard; Gielwanowska, Irena</t>
  </si>
  <si>
    <t>Evolutionary dynamics of the chloroplast genome sequences of six Colobanthus species</t>
  </si>
  <si>
    <t>COMPLETE NUCLEOTIDE-SEQUENCE; QUITENSIS KUNTH BARTL.; KING GEORGE ISLAND; PLASTID GENOMES; POLAR CARYOPHYLLACEAE; ANTARCTIC PEARLWORT; MOLECULAR EVOLUTION; GENE ORGANIZATION; COMPLETE SET; DNA</t>
  </si>
  <si>
    <t>The complete plastome sequences of six species were sequenced to better understand the evolutionary relationships and mutation patterns in the chloroplast genome of the genus Colobanthus. The length of the chloroplast genome sequences of C. acicularis, C. affinis, C. lycopodioides, C. nivicola, C. pulvinatus and C. subulatus ranged from 151,050 to 151,462 bp. The quadripartite circular structure of these genome sequences has the same overall organization and gene content with 73 protein-coding genes, 30 tRNA genes, four rRNA genes and five conserved chloroplast open reading frames. A total of 153 repeat sequences were revealed. Forward repeats were dominant, whereas complementary repeats were found only in C. pulvinatus. The mononucleotide SSRs composed of A/T units were most common, and hexanucleotide SSRs were detected least often. Eleven highly variable regions which could be utilized as potential markers for phylogeny reconstruction, species identification or phylogeography were identified within Colobanthus chloroplast genomes. Seventy-three protein-coding genes were used in phylogenetic analyses. Reconstructed phylogeny was consistent with the systematic position of the studied species, and the representatives of the same genus were grouped in one clade. All studied Colobanthus species formed a single group and C. lycopodioides was least similar to the remaining species.</t>
  </si>
  <si>
    <t>[Androsiuk, Piotr; Jastrzebski, Jan Pawel; Paukszto, Lukasz; Makowczenko, Karol; Gorecki, Ryszard; Gielwanowska, Irena] Univ Warmia &amp; Mazury, Fac Biol &amp; Biotechnol, Dept Plant Physiol Genet &amp; Biotechnol, Ul M Oczapowskiego 1A, PL-10719 Olsztyn, Poland; [Okorski, Adam; Pszczolkowska, Agnieszka] Univ Warmia &amp; Mazury, Fac Environm Management &amp; Agr, Dept Entomol Phytopathol &amp; Mol Diagnost, Ul Prawochenskiego 17, PL-10720 Olsztyn, Poland; [Chwedorzewska, Katarzyna Joanna] Warsaw Univ Life Sci SGGW, Dept Agron, Ul Nowoursynowska 166, PL-02787 Warsaw, Poland</t>
  </si>
  <si>
    <t>University of Warmia &amp; Mazury; University of Warmia &amp; Mazury; Warsaw University of Life Sciences</t>
  </si>
  <si>
    <t>Androsiuk, P (corresponding author), Univ Warmia &amp; Mazury, Fac Biol &amp; Biotechnol, Dept Plant Physiol Genet &amp; Biotechnol, Ul M Oczapowskiego 1A, PL-10719 Olsztyn, Poland.</t>
  </si>
  <si>
    <t>piotr.androsiuk@uwm.edu.pl</t>
  </si>
  <si>
    <t>Chwedorzewska, Katarzyna J/A-9480-2008; Okorski, Adam/U-3911-2019; Androsiuk, Piotr/M-6175-2019; Paukszto, Lukasz/AAV-8585-2021; Pszczółkowska, Agnieszka/N-5312-2018; Chwedorzewska, Katarzyna/M-9721-2019; Jastrzębski, Jan Paweł/J-3626-2019</t>
  </si>
  <si>
    <t>Okorski, Adam/0000-0002-9545-4771; Androsiuk, Piotr/0000-0002-1851-3192; Paukszto, Lukasz/0000-0002-3618-1064; Chwedorzewska, Katarzyna/0000-0001-6860-3666; Jastrzębski, Jan Paweł/0000-0001-8699-7742; Makowczenko, Karol/0000-0003-3758-4452</t>
  </si>
  <si>
    <t>National Science Centre, Poland [2018/02/X/NZ8/02243]</t>
  </si>
  <si>
    <t>National Science Centre, Poland(National Science Centre, Poland)</t>
  </si>
  <si>
    <t>Authors are grateful to Royal Botanic Gardens, Victoria, Australia; Australian National Botanic Gardens, Canberra; Royal Botanic Gardens, Kew, UK and Royal Botanic Garden, Edinburgh, UK for sharing the research material representing genus Colobanthus. This research was supported by National Science Centre, Poland (No. 2018/02/X/NZ8/02243). The funding agency had no role in the design of the experiment, analysis, and interpretation of data and in writing the manuscript.</t>
  </si>
  <si>
    <t>JUL 13</t>
  </si>
  <si>
    <t>10.1038/s41598-020-68563-5</t>
  </si>
  <si>
    <t>MN1BO</t>
  </si>
  <si>
    <t>WOS:000550581500003</t>
  </si>
  <si>
    <t>Barrera, JA; Fernandez, RP; Iglesias-Suarez, F; Cuevas, CA; Lamarque, JF; Saiz-Lopez, A</t>
  </si>
  <si>
    <t>Alejandro Barrera, Javier; Pedro Fernandez, Rafael; Iglesias-Suarez, Fernando; Alberto Cuevas, Carlos; Lamarque, Jean-Francois; Saiz-Lopez, Alfonso</t>
  </si>
  <si>
    <t>Seasonal impact of biogenic very short-lived bromocarbons on lowermost stratospheric ozone between 60° N and 60° S during the 21st century</t>
  </si>
  <si>
    <t>ANTARCTIC OZONE; CIRRUS CLOUDS; CHLORINE ACTIVATION; IODINE CHEMISTRY; RETURN DATES; BROMINE; DEPLETION; CLIMATE; TROPOPAUSE; EMISSIONS</t>
  </si>
  <si>
    <t>Biogenic very short-lived bromocarbons (VSLBr) currently represent similar to 25 % of the total stratospheric bromine loading. Owing to their much shorter lifetime compared to anthropogenic long-lived bromine (e.g. halons) and chlorine (e.g. chlorofluorocarbons), the impact of VSLBr on ozone peaks in the lowermost stratosphere, which is a key climatic and radiative atmospheric region. Here we present a modelling study of the evolution of stratospheric ozone and its chemical loss within the tropics and at mid-latitudes during the 21st century. Two different experiments are explored: considering and neglecting the additional stratospheric injection of 5 ppt biogenic bromine naturally released from the ocean. Our analysis shows that the inclusion of VSLBr results in a realistic stratospheric bromine loading and improves the agreement between the model and satellite observations of the total ozone column (TOC) for the 1980-2015 period at mid-latitudes. We show that the overall ozone response to VSLBr at mid-latitudes follows the stratospheric evolution of long-lived inorganic chlorine and bromine throughout the 21st century. Additional ozone loss due to VSLBr is maximized during the present-day period (1990-2010), with TOC differences of -8 DU (-3 %) and -5.5 DU (-2 %) for the Southern Hemisphere and Northern Hemisphere midlatitudes (SH-MLs and NH-MLs), respectively. Moreover, the projected TOC differences at the end of the 21st century are similar to 50 % lower than the values found for the present-day period. We find that seasonal VSLBr impact on lowermost stratospheric ozone at mid-latitude is influenced by the seasonality of the heterogeneous inorganic-chlorine reactivation processes on ice crystals. Indeed, due to the more efficient reactivation of chlorine reservoirs (mainly ClONO2 and HCl) within the colder SH-ML lowermost stratosphere, the seasonal VSLBr impact shows a small but persistent hemispheric asymmetry through the whole modelled period. Our results indicate that, although the overall VSLBr -driven ozone destruction is greatest during spring, the halogen-mediated (Halog(x-Loss)) ozone loss cycle in the mid-latitude lower-most stratosphere during winter is comparatively more efficient than the HOx cycle with respect to other seasons. Indeed, when VSLBr are considered, Halog(x-Loss) dominates wintertime lowermost stratospheric ozone loss at SH-MLs between 1985 and 2020, with a contribution of inter-halogen ClOx-BrOx cycles to Halog(x-Loss) of similar to 50 %. Within the tropics, a small (&lt; -2.5 DU) and relatively constant (similar to -1 %) ozone depletion mediated by VSLBr is closely related to their fixed emissions throughout the modelled period. By including the VSLBr sources, the seasonal Halog(x-Loss) contribution to lowermost stratospheric ozone loss is practically dominated by the BrOx cycle, reflecting the low sensitivity of very short-lived (VSL) bromine to background halogen abundances to drive tropical stratospheric ozone depletion. We conclude that the link between biogenic bromine sources and seasonal changes in heterogeneous chlorine reactivation is a key feature for future projections of mid-latitude lowermost stratospheric ozone during the 21st century.</t>
  </si>
  <si>
    <t>[Alejandro Barrera, Javier; Pedro Fernandez, Rafael] FCEN UNCuyo, Natl Res Council ICB CONICET, Inst Interdisciplinary Sci, RA-5500 Mendoza, Argentina; [Pedro Fernandez, Rafael; Iglesias-Suarez, Fernando; Alberto Cuevas, Carlos; Saiz-Lopez, Alfonso] CSIC, Dept Atmospher Chem &amp; Climate, Inst Phys Chem Rocasolano, Madrid 28006, Spain; [Pedro Fernandez, Rafael] UTN FRM, Atmospher &amp; Environm Studies Grp GEAA, RA-5500 Mendoza, Argentina; [Lamarque, Jean-Francois] Natl Ctr Atmospher Res, Atmospher Chem Observat &amp; Modelling Lab, Boulder, CO 80301 USA</t>
  </si>
  <si>
    <t>Consejo Superior de Investigaciones Cientificas (CSIC); CSIC - Instituto de Quimica Fisica Rocasolano (IQFR); National Center Atmospheric Research (NCAR) - USA</t>
  </si>
  <si>
    <t>Fernandez, RP (corresponding author), FCEN UNCuyo, Natl Res Council ICB CONICET, Inst Interdisciplinary Sci, RA-5500 Mendoza, Argentina.;Fernandez, RP; Saiz-Lopez, A (corresponding author), CSIC, Dept Atmospher Chem &amp; Climate, Inst Phys Chem Rocasolano, Madrid 28006, Spain.;Fernandez, RP (corresponding author), UTN FRM, Atmospher &amp; Environm Studies Grp GEAA, RA-5500 Mendoza, Argentina.</t>
  </si>
  <si>
    <t>rpfernandez@mendoza-conicet.gob.ar; a.saiz@csic.es</t>
  </si>
  <si>
    <t>Fernandez, Rafael Pedro/ABF-2323-2020; Saiz-Lopez, Alfonso/B-3759-2015; Iglesias-Suarez, Fernando/AAE-1388-2021; Lamarque, Jean-Francois/L-2313-2014</t>
  </si>
  <si>
    <t>Fernandez, Rafael Pedro/0000-0002-4114-5500; Saiz-Lopez, Alfonso/0000-0002-0060-1581; Iglesias-Suarez, Fernando/0000-0003-3403-8245; Barrera, Javier Alejandro/0000-0003-3722-9282; Lamarque, Jean-Francois/0000-0002-4225-5074</t>
  </si>
  <si>
    <t>European Research Council Executive Agency under the European Union's Horizon 2020 Research and Innovation programme [ERC-2016-COG 726349 CLIMAHAL]; Agencia Nacional de Promocion Cientifica y Tecnica [ANPCYT PICT-2016-0714]</t>
  </si>
  <si>
    <t>European Research Council Executive Agency under the European Union's Horizon 2020 Research and Innovation programme; Agencia Nacional de Promocion Cientifica y Tecnica(ANPCyT)</t>
  </si>
  <si>
    <t>This research has been supported by the European Research Council Executive Agency under the European Union's Horizon 2020 Research and Innovation programme (grant no. ERC-2016-COG 726349 CLIMAHAL) and the Agencia Nacional de Promocion Cientifica y Tecnica (grant no. ANPCYT PICT-2016-0714).</t>
  </si>
  <si>
    <t>10.5194/acp-20-8083-2020</t>
  </si>
  <si>
    <t>MN4FY</t>
  </si>
  <si>
    <t>Green Published, Green Submitted, gold</t>
  </si>
  <si>
    <t>WOS:000550800600001</t>
  </si>
  <si>
    <t>Nakayama, Y; Timmermann, R; Hellmer, HH</t>
  </si>
  <si>
    <t>Nakayama, Yoshihiro; Timmermann, Ralph; Hellmer, Hartmut H.</t>
  </si>
  <si>
    <t>Impact of West Antarctic ice shelf melting on Southern Ocean hydrography</t>
  </si>
  <si>
    <t>PINE ISLAND GLACIER; CIRCUMPOLAR DEEP-WATER; AMUNDSEN SEA EMBAYMENT; BOTTOM WATER; SHEET RETREAT; FRESH-WATER; MELTWATER; CIRCULATION; VARIABILITY; SHELF/OCEAN</t>
  </si>
  <si>
    <t>Previous studies show accelerations of West Antarctic glaciers, implying that basal melt rates of these glaciers were previously small and increased in the middle of the 20th century. This enhanced melting is a likely source of the observed Ross Sea (RS) freshening, but its long-term impact on the Southern Ocean hydrography has not been well investigated. Here, we conduct coupled sea ice-ice shelf-ocean simulations with different levels of ice shelf melting from West Antarctic glaciers. Freshening of RS shelf and bottom water is simulated with enhanced West Antarctic ice shelf melting, while no significant changes in shelf water properties are simulated when West Antarctic ice shelf melting is small. We further show that the freshening caused by glacial meltwater from ice shelves in the Amundsen and Bellingshausen seas can propagate further downstream along the East Antarctic coast into the Weddell Sea. The freshening signal propagates onto the RS continental shelf within a year of model simulation, while it takes roughly 5-10 and 10-15 years to propagate into the region off Cape Darnley and into the Weddell Sea, respectively. This advection of freshening modulates the shelf water properties and possibly impacts the production of Antarctic Bottom Water if the enhanced melting of West Antarctic ice shelves continues for a longer period.</t>
  </si>
  <si>
    <t>[Nakayama, Yoshihiro] Hokkaido Univ, Inst Low Temp Sci, Sapporo, Hokkaido, Japan; [Nakayama, Yoshihiro; Timmermann, Ralph; Hellmer, Hartmut H.] Alfred Wegener Inst, Bremerhaven, Germany</t>
  </si>
  <si>
    <t>Hokkaido University; Helmholtz Association; Alfred Wegener Institute, Helmholtz Centre for Polar &amp; Marine Research</t>
  </si>
  <si>
    <t>Nakayama, Y (corresponding author), Hokkaido Univ, Inst Low Temp Sci, Sapporo, Hokkaido, Japan.;Nakayama, Y (corresponding author), Alfred Wegener Inst, Bremerhaven, Germany.</t>
  </si>
  <si>
    <t>Yoshihiro.Nakayama@lowtem.hokudai.ac.jp</t>
  </si>
  <si>
    <t>Nakayama, Yoshihiro/R-4325-2019</t>
  </si>
  <si>
    <t>Nakayama, Yoshihiro/0000-0001-6543-529X</t>
  </si>
  <si>
    <t>Helmholtz Climate Initiative REKLIM (Regional Climate Change), a joint research project of the Helmholtz Association of German Research Centres (HGF); Japanese Ministry of Education, Culture, Sports, Science and Technology [19K23447]; Grants-in-Aid for Scientific Research [19K23447] Funding Source: KAKEN</t>
  </si>
  <si>
    <t>Helmholtz Climate Initiative REKLIM (Regional Climate Change), a joint research project of the Helmholtz Association of German Research Centres (HGF); 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</si>
  <si>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This research has been supported by Helmholtz Climate Initiative REKLIM (Regional Climate Change), a joint research project of the Helmholtz Association of German Research Centres (HGF). This work was also supported by the fund from Grants-in-Aid for Scientific Research (19K23447) of the Japanese Ministry of Education, Culture, Sports, Science and Technology.</t>
  </si>
  <si>
    <t>10.5194/tc-14-2205-2020</t>
  </si>
  <si>
    <t>MN4AU</t>
  </si>
  <si>
    <t>WOS:000550786300001</t>
  </si>
  <si>
    <t>Couvreux, F; Bazile, E; Rodier, Q; Maronga, B; Matheou, G; Chinita, MJ; Edwards, J; van Stratum, BJH; van Heerwaarden, CC; Huang, J; Moene, AF; Cheng, A; Fuka, V; Basu, S; Bou-Zeid, E; Canut, G; Vignon, E</t>
  </si>
  <si>
    <t>Couvreux, Fleur; Bazile, Eric; Rodier, Quentin; Maronga, Bjorn; Matheou, Georgios; Chinita, Maria J.; Edwards, John; van Stratum, Bart J. H.; van Heerwaarden, Chiel C.; Huang, Jing; Moene, Arnold F.; Cheng, Anning; Fuka, Vladimir; Basu, Sukanta; Bou-Zeid, Elie; Canut, Guylaine; Vignon, Etienne</t>
  </si>
  <si>
    <t>Intercomparison of Large-Eddy Simulations of the Antarctic Boundary Layer for Very Stable Stratification</t>
  </si>
  <si>
    <t>Dome C; Antarctica; Large-eddy simulation; Parametrization; Stable boundary layer; Subgrid turbulence parametrization</t>
  </si>
  <si>
    <t>DIRECT NUMERICAL-SIMULATION; ATMOSPHERIC SURFACE-LAYER; DOME C; MODEL FORMULATION; TURBULENCE; WIND; FLUXES; PART; PARAMETERIZATION; PARAMETRIZATION</t>
  </si>
  <si>
    <t>In polar regions, where the boundary layer is often stably stratified, atmospheric models produce large biases depending on the boundary-layer parametrizations and the parametrization of the exchange of energy at the surface. This model intercomparison focuses on the very stable stratification encountered over the Antarctic Plateau in 2009. Here, we analyze results from 10 large-eddy-simulation (LES) codes for different spatial resolutions over 24 consecutive hours, and compare them with observations acquired at the Concordia Research Station during summer. This is a challenging exercise for such simulations since they need to reproduce both the 300-m-deep convective boundary layer and the very thin stable boundary layer characterized by a strong vertical temperature gradient (10 K difference over the lowest 20 m) when the sun is low over the horizon. A large variability in surface fluxes among the different models is highlighted. The LES models correctly reproduce the convective boundary layer in terms of mean profiles and turbulent characteristics but display more spread during stable conditions, which is largely reduced by increasing the horizontal and vertical resolutions in additional simulations focusing only on the stable period. This highlights the fact that very fine resolution is needed to represent such conditions. Complementary sensitivity studies are conducted regarding the roughness length, the subgrid-scale turbulence closure as well as the resolution and domain size. While we find little dependence on the surface-flux parametrization, the results indicate a pronounced sensitivity to both the roughness length and the turbulence closure.</t>
  </si>
  <si>
    <t>[Couvreux, Fleur; Bazile, Eric; Rodier, Quentin; Canut, Guylaine] Univ Toulouse Meteo France CNRS, CNRM, F-31057 Toulouse, France; [Maronga, Bjorn] Leibniz Univ Hannover, Inst Meteorol &amp; Climatol, Hannover, Germany; [Maronga, Bjorn] Univ Bergen, Geophys Inst, Bergen, Norway; [Matheou, Georgios] Univ Connecticut, Dept Mech Engn, Storrs, CT USA; [Chinita, Maria J.] Univ Calif, Joint Inst Reg Earth Syst Sci &amp; Engn, Pasadena, CA USA; [Chinita, Maria J.] CALTECH, Jet Prop Lab, Pasadena, CA USA; [Chinita, Maria J.] Univ Lisbon, Fac Ciencias, Inst Dom Luiz, Lisbon, Portugal; [Edwards, John] Met Off, Exeter, Devon, England; [van Stratum, Bart J. H.; van Heerwaarden, Chiel C.; Moene, Arnold F.] Wageningen Univ &amp; Res, Wageningen, Netherlands; [Huang, Jing] CSIRO, Oceans &amp; Atmosphere, Canberra, ACT, Australia; [Cheng, Anning] IMSG Inc, Natl Ctr Environm Protect, Ctr Weather &amp; Climate Predict, Environm Modeling Ctr, College Pk, MD USA; [Basu, Sukanta] Delft Univ Technol, Delft, Netherlands; [Fuka, Vladimir] Charles Univ Prague, Fac Math &amp; Phys, Dept Atmospher Phys, Prague, Czech Republic; [Bou-Zeid, Elie] Princeton Univ, Dept Civil &amp; Environm Engn, Princeton, NJ 08544 USA; [Vignon, Etienne] Ecole Polytech Fed Lausanne, LTE, Lausanne, Switzerland; [Vignon, Etienne] Univ Grenoble Alpes, Inst Geosci Environm CNRS, Grenoble, France</t>
  </si>
  <si>
    <t>Leibniz University Hannover; University of Bergen; University of Connecticut; California Institute of Technology; National Aeronautics &amp; Space Administration (NASA); NASA Jet Propulsion Laboratory (JPL); Universidade de Lisboa; Met Office - UK; Wageningen University &amp; Research; Commonwealth Scientific &amp; Industrial Research Organisation (CSIRO); National Oceanic Atmospheric Admin (NOAA) - USA; Delft University of Technology; Charles University Prague; Princeton University; Swiss Federal Institutes of Technology Domain; Ecole Polytechnique Federale de Lausanne; Communaute Universite Grenoble Alpes; Universite Grenoble Alpes (UGA)</t>
  </si>
  <si>
    <t>Couvreux, F (corresponding author), Univ Toulouse Meteo France CNRS, CNRM, F-31057 Toulouse, France.</t>
  </si>
  <si>
    <t>fleur.couvreux@meteo.fr</t>
  </si>
  <si>
    <t>Bou-Zeid, Elie/A-9796-2008; Basu, Sukanta/F-9286-2011; van Heerwaarden, Chiel/AAN-3040-2020; Moene, Arnold F./B-3212-2010; Fuka, Vladimir/P-1447-2017</t>
  </si>
  <si>
    <t>Bou-Zeid, Elie/0000-0002-6137-8109; Basu, Sukanta/0000-0002-0507-5349; van Heerwaarden, Chiel/0000-0001-7202-3525; Fuka, Vladimir/0000-0001-8712-2892; Chinita, Maria Joao/0000-0001-9459-031X; Moene, Arnold/0000-0003-3614-8544; Couvreux, Fleur/0000-0002-8440-3362</t>
  </si>
  <si>
    <t>10.1007/s10546-020-00539-4</t>
  </si>
  <si>
    <t>MT1VZ</t>
  </si>
  <si>
    <t>Green Published, Green Submitted</t>
  </si>
  <si>
    <t>WOS:000548124200001</t>
  </si>
  <si>
    <t>Agusti-Ridaura, C; Bakke, MJ; Helgesen, KO; Sundaram, AYM; Bakke, SJ; Kaur, K; Horsberg, TE</t>
  </si>
  <si>
    <t>Agusti-Ridaura, Celia; Bakke, Marit Jorgensen; Helgesen, Kari Olli; Sundaram, Arvind Y. M.; Bakke, Sigrid Jorgensen; Kaur, Kiranpreet; Horsberg, Tor Einar</t>
  </si>
  <si>
    <t>Candidate genes for monitoring hydrogen peroxide resistance in the salmon louse, Lepeophtheirus salmonis</t>
  </si>
  <si>
    <t>PARASITES &amp; VECTORS</t>
  </si>
  <si>
    <t>H2O2 resistance markers; Sea lice; RNAseq; Catalase; Aquaporin</t>
  </si>
  <si>
    <t>SEA-LICE; DRUG-RESISTANCE; ATLANTIC SALMON; AQUAPORINS; MODULATION; LEISHMANIA; CATALASE; KROYER</t>
  </si>
  <si>
    <t>BackgroundHydrogen peroxide (H2O2) is one of the delousing agents used to control sea lice infestations in salmonid aquaculture. However, some Lepeophtheirus salmonis populations have developed resistance towards H2O2. An increased gene expression and activity of catalase, an enzyme that breaks down H2O2, have been detected in resistant lice, being therefore introduced as a resistance marker in the salmon industry. In the present study the aim was to validate the use of catalase expression as a marker and to identify new candidate genes as additional markers to catalase, related to H2O2 resistance in L. salmonis.MethodsA sensitive and an H2O2 resistant laboratory strain (P0 generation, not exposed to H2O2 for several years) were batch crossed to generate a cohort with a wide range of H2O2 sensitivities (F2 generation). F2 adult females were then exposed to H2O2 to separate sensitive and resistant individuals. Those F2 lice, the P0 lice and field-collected resistant lice (exposed to H2O2 in the field) were used in an RNA sequencing study.ResultsCatalase was upregulated in resistant lice exposed to H2O2 compared to sensitive lice. This was, however, not the case for unexposed resistant P0 lice. Several other genes were found differentially expressed between sensitive and resistant lice, but most of them seemed to be related to H2O2 exposure. However, five genes were consistently up- or downregulated in the resistant lice independent of exposure history. The upregulated genes were: one gene in the DNA polymerase family, one gene encoding a Nesprin-like protein and an unannotated gene encoding a small protein. The downregulated genes encoded endoplasmic reticulum resident protein 29 and an aquaporin (Glp1_v2).ConclusionsCatalase expression seems to be induced by H2O2 exposure, since it was not upregulated in unexposed resistant lice. This may pose a challenge for its use as a resistance marker. The five new genes associated with resistance are put forward as complementary candidate genes. The most promising was Glp1_v2, an aquaglyceroporin that may serve as a passing channel for H2O2. Lower channel number can reduce the influx or distribution of H2O2 in the salmon louse, being directly involved in the resistance mechanism.</t>
  </si>
  <si>
    <t>[Agusti-Ridaura, Celia; Bakke, Marit Jorgensen; Helgesen, Kari Olli; Kaur, Kiranpreet; Horsberg, Tor Einar] Norwegian Univ Life Sci, Fac Vet Med, Sea Lice Res Ctr, N-1433 As, Norway; [Helgesen, Kari Olli] Norwegian Vet Inst, Dept Epidemiol, Pb 750 Sentrum, N-0106 Oslo, Norway; [Sundaram, Arvind Y. M.] Oslo Univ Hosp, Dept Med Genet, N-0450 Oslo, Norway; [Bakke, Sigrid Jorgensen] Univ Oslo, Fac Math &amp; Nat Sci, Dept Geosci, N-0371 Oslo, Norway; [Kaur, Kiranpreet] Aker Biomarine Antarctic AS, POB 496, N-1327 Lysaker, Norway</t>
  </si>
  <si>
    <t>Norwegian University of Life Sciences; Norwegian Veterinary Institute; University of Oslo; University of Oslo</t>
  </si>
  <si>
    <t>Agusti-Ridaura, C (corresponding author), Norwegian Univ Life Sci, Fac Vet Med, Sea Lice Res Ctr, N-1433 As, Norway.</t>
  </si>
  <si>
    <t>celia.agusti@nmbu.noagusti.celia@gmail.com</t>
  </si>
  <si>
    <t>Sundaram, Arvind Y.M./0000-0002-3007-7784</t>
  </si>
  <si>
    <t>innovation project Resistance to hydrogen peroxide in salmon lice (Lepeophtheirus salmonis) [NFR 245373/E40]; SFI-Sea Lice Research Centre [NFR 203513/O30]; Research Council of Norway</t>
  </si>
  <si>
    <t>innovation project Resistance to hydrogen peroxide in salmon lice (Lepeophtheirus salmonis); SFI-Sea Lice Research Centre; Research Council of Norway(Research Council of Norway)</t>
  </si>
  <si>
    <t>This study was financed by the innovation project Resistance to hydrogen peroxide in salmon lice (Lepeophtheirus salmonis) (NFR 245373/E40) and the SFI-Sea Lice Research Centre (NFR 203513/O30), which are both financed by The Research Council of Norway.</t>
  </si>
  <si>
    <t>1756-3305</t>
  </si>
  <si>
    <t>PARASITE VECTOR</t>
  </si>
  <si>
    <t>Parasites Vectors</t>
  </si>
  <si>
    <t>JUL 10</t>
  </si>
  <si>
    <t>10.1186/s13071-020-04211-1</t>
  </si>
  <si>
    <t>Parasitology; Tropical Medicine</t>
  </si>
  <si>
    <t>MP2HU</t>
  </si>
  <si>
    <t>Green Submitted, gold, Green Published</t>
  </si>
  <si>
    <t>WOS:000552031100002</t>
  </si>
  <si>
    <t>Alroe, J; Cravigan, LT; Miljevic, B; Johnson, GR; Selleck, P; Humphries, RS; Keywood, MD; Chambers, SD; Williams, AG; Ristovski, ZD</t>
  </si>
  <si>
    <t>Alroe, Joel; Cravigan, Luke T.; Miljevic, Branka; Johnson, Graham R.; Selleck, Paul; Humphries, Ruhi S.; Keywood, Melita D.; Chambers, Scott D.; Williams, Alastair G.; Ristovski, Zoran D.</t>
  </si>
  <si>
    <t>Marine productivity and synoptic meteorology drive summer-time variability in Southern Ocean aerosols</t>
  </si>
  <si>
    <t>CLOUD CONDENSATION NUCLEI; SUBGRID VARIABILITY; PARTICLE FORMATION; DIMETHYL SULFIDE; BOUNDARY-LAYER; SEA-SALT; SIZE; MICROPHYSICS; CHEMISTRY; PACIFIC</t>
  </si>
  <si>
    <t>Cloud-radiation interactions over the Southern Ocean are not well constrained in climate models, in part due to uncertainties in the sources, concentrations, and cloud-forming potential of aerosol in this region. To date, most studies in this region have reported measurements from fixed terrestrial stations or a limited set of instrumentation and often present findings as broad seasonal or latitudinal trends. Here, we present an extensive set of aerosol and meteorological observations obtained during an austral summer cruise across the full width of the Southern Ocean south of Australia. Three episodes of continental-influenced air masses were identified, including an apparent transition between the Ferrel atmospheric cell and the polar cell at approximately 64 degrees S, and accompanied by the highest median cloud condensation nuclei (CCN) concentrations, at 252 cm(-3). During the other two episodes, synoptic-scale weather patterns diverted air masses across distances greater than 1000 km from the Australian and Antarctic coastlines, respectively, indicating that a large proportion of the Southern Ocean may be periodically influenced by continental air masses. In all three cases, a highly cloud-active accumulation mode dominated the size distribution, with up to 93 % of the total number concentration activating as CCN. Frequent cyclonic weather conditions were observed at high latitudes and the associated strong wind speeds led to predictions of high concentrations of sea spray aerosol. However, these modelled concentrations were not achieved due to increased aerosol scavenging rates from precipitation and convective transport into the free troposphere, which decoupled the air mass from the sea spray flux at the ocean surface. CCN concentrations were more strongly impacted by high concentrations of large-diameter Aitken mode aerosol in air masses which passed over regions of elevated marine biological productivity, potentially contributing up to 56 % of the cloud condensation nuclei concentration. Weather systems were vital for aerosol growth in biologically influenced air masses and in their absence ultrafine aerosol diameters were less than 30 nm. These results demonstrate that air mass meteorological history must be considered when modelling sea spray concentrations and highlight the potential importance of sub-grid-scale variability when modelling atmospheric conditions in the remote Southern Ocean.</t>
  </si>
  <si>
    <t>[Alroe, Joel; Cravigan, Luke T.; Miljevic, Branka; Johnson, Graham R.; Ristovski, Zoran D.] Queensland Univ Technol, Sch Earth &amp; Atmospher Sci, Brisbane, Qld, Australia; [Selleck, Paul; Humphries, Ruhi S.; Keywood, Melita D.] CSIRO Oceans &amp; Atmosphere, Climate Sci Ctr, Aspendale, Vic, Australia; [Chambers, Scott D.; Williams, Alastair G.] ANSTO, Environm Res, Lucas Heights, Australia</t>
  </si>
  <si>
    <t>Queensland University of Technology (QUT); Commonwealth Scientific &amp; Industrial Research Organisation (CSIRO); Australian Nuclear Science &amp; Technology Organisation</t>
  </si>
  <si>
    <t>Ristovski, ZD (corresponding author), Queensland Univ Technol, Sch Earth &amp; Atmospher Sci, Brisbane, Qld, Australia.</t>
  </si>
  <si>
    <t>z.ristovski@qut.edu.au</t>
  </si>
  <si>
    <t>Johnson, Graham R/B-4128-2011; Humphries, Ruhi S/M-4074-2018; Williams, Alastair/P-6946-2014; keywood, melita/C-5139-2011; Ristovski, Zoran/D-3308-2009</t>
  </si>
  <si>
    <t>Humphries, Ruhi S/0000-0002-4864-5321; Chambers, Scott/0000-0002-2521-959X; Alroe, Joel/0000-0003-2618-7320; Williams, Alastair/0000-0002-0568-8487; keywood, melita/0000-0001-9953-6806; Ristovski, Zoran/0000-0001-6066-6638; Miljevic, Branka/0000-0003-4408-2047; Cravigan, Luke/0000-0003-2636-928X</t>
  </si>
  <si>
    <t>Australian Government Research Training Program Scholarship; Australian Research Council [DP150101649]</t>
  </si>
  <si>
    <t>Australian Government Research Training Program Scholarship(Australian GovernmentDepartment of Industry, Innovation and Science); Australian Research Council(Australian Research Council)</t>
  </si>
  <si>
    <t>This research has been supported by an Australian Government Research Training Program Scholarship and an Australian Research Council Discovery grant (grant no. DP150101649).</t>
  </si>
  <si>
    <t>10.5194/acp-20-8047-2020</t>
  </si>
  <si>
    <t>MN2QI</t>
  </si>
  <si>
    <t>WOS:000550690200004</t>
  </si>
  <si>
    <t>Danielson, SL; Hennon, TD; Hedstrom, KS; Pnyushkov, AV; Polyakov, IV; Carmack, E; Filchuk, K; Janout, M; Makhotin, M; Williams, WJ; Padman, L</t>
  </si>
  <si>
    <t>Danielson, Seth L.; Hennon, Tyler D.; Hedstrom, Katherine S.; Pnyushkov, Andrey V.; Polyakov, Igor V.; Carmack, Eddy; Filchuk, Kirill; Janout, Markus; Makhotin, Mikhail; Williams, William J.; Padman, Laurie</t>
  </si>
  <si>
    <t>Oceanic Routing of Wind-Sourced Energy Along the Arctic Continental Shelves</t>
  </si>
  <si>
    <t>continental shelf wave; Arctic; storm surge; sea level; coastal trapped wave; tide gauge</t>
  </si>
  <si>
    <t>SEA-LEVEL VARIABILITY; COASTAL-TRAPPED WAVES; BARROW CANYON; ICE DYNAMICS; CIRCULATION; MODEL; PROPAGATION; SURFACE; PARAMETERIZATION; FLUCTUATIONS</t>
  </si>
  <si>
    <t>Data from coastal tide gauges, oceanographic moorings, and a numerical model show that Arctic storm surges force continental shelf waves (CSWs) that dynamically link the circumpolar Arctic continental shelf system. These trains of barotropic disturbances result from coastal convergences driven by cross-shelf Ekman transport. Observed propagation speeds of 600-3000 km day(-1), periods of 2-6 days, wavelengths of 2000-7000 km, and elevation maxima near the coast but velocity maxima near the upper slope are all consistent with theoretical CSW characteristics. Other, more isolated events are tied to local responses to propagating storm systems. Energy and phase propagation is from west to east: ocean elevation anomalies in the Laptev Sea follow Kara Sea anomalies by one day and precede Chukchi and Beaufort Sea anomalies by 4-6 days. Some leakage and dissipation occurs. About half of the eastward-propagating energy in the Kara Sea passes Severnaya Zemlya into the Laptev Sea. About half of the eastward-propagating energy from the East Siberian Sea passes southward through Bering Strait, while one quarter is dissipated locally in the Chukchi Sea and another quarter passes eastward into the Beaufort Sea. Likewise, CSW generation in the Bering Sea can trigger elevation and current speed anomalies downstream in the Northeast Chukchi Sea of 25 cm and 20 cm s(-1), respectively. Although each event is ephemeral, the large number of CSWs generated annually suggest that they represent a non-negligible source of time-averaged energy transport and bottom stress-induced dissipative mixing, particularly near the outer shelf and upper slope. Coastal water level and landfast ice breakout event forecasts should include CSW effects and associated lag times from distant upstream winds.</t>
  </si>
  <si>
    <t>[Danielson, Seth L.; Hennon, Tyler D.; Hedstrom, Katherine S.] Univ Alaska Fairbanks, Coll Fisheries &amp; Ocean Sci, Fairbanks, AK 99775 USA; [Pnyushkov, Andrey V.; Polyakov, Igor V.] Univ Alaska Fairbanks, Int Arctic Res Ctr, Fairbanks, AK USA; [Polyakov, Igor V.] Univ Alaska Fairbanks, Coll Nat Sci &amp; Math, Fairbanks, AK USA; [Polyakov, Igor V.] Finnish Meteorol Inst, Helsinki, Finland; [Carmack, Eddy; Williams, William J.] Fisheries &amp; Oceans Canada, Inst Ocean Sci, Sidney, BC, Canada; [Filchuk, Kirill; Makhotin, Mikhail] Arctic &amp; Antarctic Res Inst, St Petersburg, Russia; [Janout, Markus] Alfred Wegener Inst Polar &amp; Marine Res, Bremerhaven, Germany; [Padman, Laurie] Earth &amp; Space Res, Corvallis, OR USA</t>
  </si>
  <si>
    <t>University of Alaska System; University of Alaska Fairbanks; University of Alaska System; University of Alaska Fairbanks; University of Alaska System; University of Alaska Fairbanks; Finnish Meteorological Institute; Fisheries &amp; Oceans Canada; Arctic &amp; Antarctic Research Institute; Helmholtz Association; Alfred Wegener Institute, Helmholtz Centre for Polar &amp; Marine Research</t>
  </si>
  <si>
    <t>Danielson, SL (corresponding author), Univ Alaska Fairbanks, Coll Fisheries &amp; Ocean Sci, Fairbanks, AK 99775 USA.</t>
  </si>
  <si>
    <t>sldanielson@alaska.edu</t>
  </si>
  <si>
    <t>Makhotin, Mikhail/K-8861-2016; Pnyushkov, Andrey/M-3156-2019; Padman, Laurence/AAH-3808-2021; Danielson, Seth/AAY-4384-2020</t>
  </si>
  <si>
    <t>Pnyushkov, Andrey/0000-0001-9112-6458; Hennon, Tyler/0000-0002-0164-943X</t>
  </si>
  <si>
    <t>Ministry of Science and Higher Education of the Russian Federation [RFMEFI61619X0108]; United States NSF - Research Council of Norway [AON-1203473, AON-1724523, AON-1947162]; Norwegian Nansen Legacy program - Research Council of Norway [276730]; Carbon Bridge program - Research Council of Norway [226415]; United States NSF [OPP-1708424, OPP-1708427]; NPRB [A91-99a, A91-00a]; North Pacific Research Board (NPRB) project [1302]; National Science Foundation [OPP-1603116]; Bureau of Ocean Energy Management [M15AC 00011]; German Federal Ministry of Education and Research (BMBF) [03F0776, 03G0833]</t>
  </si>
  <si>
    <t>Ministry of Science and Higher Education of the Russian Federation; United States NSF - Research Council of Norway; Norwegian Nansen Legacy program - Research Council of Norway; Carbon Bridge program - Research Council of Norway; United States NSF; NPRB; North Pacific Research Board (NPRB) project; National Science Foundation(National Science Foundation (NSF)); Bureau of Ocean Energy Management; German Federal Ministry of Education and Research (BMBF)(Federal Ministry of Education &amp; Research (BMBF))</t>
  </si>
  <si>
    <t>KF and MM were supported by the Ministry of Science and Higher Education of the Russian Federation (Project RFMEFI61619X0108). IP acknowledges support from the United States NSF grants (AON-1203473, AON-1724523, and AON-1947162), and the Norwegian Nansen Legacy program (project #276730) and Carbon Bridge program (project #226415) both funded by the Research Council of Norway. LP acknowledges support for the United States NSF grant OPP-1708424. SD, IP, and AP were supported by the United States NSF grant OPP-1708427. SD was also supported by the NPRB grants A91-99a and A91-00a. SD and KH acknowledge support from the North Pacific Research Board (NPRB) project 1302, National Science Foundation grant OPP-1603116, and Bureau of Ocean Energy Management grant M15AC 00011. MJ was supported by the German Federal Ministry of Education and Research (BMBF grants 03F0776 and 03G0833).</t>
  </si>
  <si>
    <t>10.3389/fmars.2020.00509</t>
  </si>
  <si>
    <t>MK1ZD</t>
  </si>
  <si>
    <t>WOS:000548584600001</t>
  </si>
  <si>
    <t>Eger, AM; Marzinelli, E; Gribben, P; Johnson, CR; Layton, C; Steinberg, PD; Wood, G; Silliman, BR; Vergés, A</t>
  </si>
  <si>
    <t>Eger, Aaron M.; Marzinelli, Ezequiel; Gribben, Paul; Johnson, Craig R.; Layton, Cayne; Steinberg, Peter D.; Wood, Georgina; Silliman, Brian R.; Verges, Adriana</t>
  </si>
  <si>
    <t>Playing to the Positives: Using Synergies to Enhance Kelp Forest Restoration</t>
  </si>
  <si>
    <t>kelp; restoration; positive species interactions; facilitation; synergy</t>
  </si>
  <si>
    <t>CRAB PARALITHODES-CAMTSCHATICUS; GUT MICROBIOTA COMPOSITION; SOUTHERN ROCK LOBSTER; JASUS-EDWARDSII; ECOLOGICAL CONSEQUENCES; SPECIES INTERACTIONS; COMMUNITY STRUCTURE; BLEACHING DISEASE; TRIAL CULTIVATION; STOCK ENHANCEMENT</t>
  </si>
  <si>
    <t>Kelp forests are highly productive foundation species along much of the world's coastline. As a result, kelp are crucial to the ecological, social, and economic well- being of coastal communities. Yet, due to a combination of acute and chronic stressors, kelp forests are under threat and have declined in many locations worldwide. Active restoration of kelp ecosystems is an emerging field that aims to reverse these declines by mitigating negative stressors and then, if needed, introducing biotic material into the environment. To date, few restoration efforts have incorporated positive species interactions. This gap presents a potential shortcoming for the field as evidence from other marine ecosystems illustrates that the inclusion of positive species interactions can enhance restoration success. Additionally, as the climate continues to warm, this approach will be particularly pertinent as positive interactions can also expand the range of physical conditions under which species can persist. Here, we highlight how practitioners can use positive density dependence within and amongst kelp species to increase the chances of restoration success. At higher trophic levels, we emphasize how co -restoring predators can prime ecosystems for restoration. We also investigate how emerging technologies in genetic and microbial selection and manipulation can increase the tolerance of target species to warming and other stressors. Finally, we provide examples of how we can use existing anthropogenic activities to facilitate restoration while performing alternative purposes. As kelp forests continue to decline and the field of kelp restoration continues to develop, it is also important that we monitor these potential advancements and ensure they do not have unintended ecosystem effects, particularly with untested techniques such as genetic and microbial manipulations. Nevertheless, incorporating positive species interactions into future restoration practice stands to promote a more holistic form of restoration that also increases the likelihood of success in a shifting seascape.</t>
  </si>
  <si>
    <t>[Eger, Aaron M.; Gribben, Paul; Steinberg, Peter D.; Wood, Georgina; Verges, Adriana] Univ New South Wales, Ctr Marine Sci &amp; Innovat, Sch Biol Earth &amp; Environm Sci, Sydney, NSW, Australia; [Eger, Aaron M.; Gribben, Paul; Steinberg, Peter D.; Wood, Georgina; Verges, Adriana] Univ New South Wales, Evolut &amp; Ecol Res Ctr, Sch Biol Earth &amp; Environm Sci, Sydney, NSW, Australia; [Marzinelli, Ezequiel] Univ Sydney, Sch Life &amp; Environm Sci, Coastal &amp; Marine Ecosyst, Sydney, NSW, Australia; [Marzinelli, Ezequiel; Steinberg, Peter D.] Nanyang Technol Univ, Singapore Ctr Environm Life Sci Engn, Singapore, Singapore; [Marzinelli, Ezequiel; Gribben, Paul; Steinberg, Peter D.; Verges, Adriana] Sydney Inst Marine Sci, Mosman, NSW, Australia; [Johnson, Craig R.; Layton, Cayne] Univ Tasmania, Inst Marine &amp; Antarctic Studies, Coll Sci &amp; Engn, Hobart, Tas, Australia; [Silliman, Brian R.] Duke Univ, Nicholas Sch Environm, Beaufort, NC USA</t>
  </si>
  <si>
    <t>University of New South Wales Sydney; University of New South Wales Sydney; University of Sydney; Nanyang Technological University; Sydney Institute of Marine Science; University of Tasmania; Duke University</t>
  </si>
  <si>
    <t>Eger, AM (corresponding author), Univ New South Wales, Ctr Marine Sci &amp; Innovat, Sch Biol Earth &amp; Environm Sci, Sydney, NSW, Australia.;Eger, AM (corresponding author), Univ New South Wales, Evolut &amp; Ecol Res Ctr, Sch Biol Earth &amp; Environm Sci, Sydney, NSW, Australia.</t>
  </si>
  <si>
    <t>aaron.eger@unsw.edu.au</t>
  </si>
  <si>
    <t>Marzinelli, Ezequiel/AAH-2906-2019; Wood, Georgina/AAW-1880-2020; Verges, Adriana/B-8288-2013; Layton, Cayne/J-8443-2013</t>
  </si>
  <si>
    <t>Marzinelli, Ezequiel/0000-0002-3762-3389; Wood, Georgina/0000-0003-3855-0932; Verges, Adriana/0000-0002-3507-1234; Layton, Cayne/0000-0002-3390-6437; Steinberg, Peter/0000-0002-1781-0726</t>
  </si>
  <si>
    <t>University of New South Wales; Lenfest Ocean Program; Australian Research Council [DP180104041, LP160100836]; Australian Research Council [LP160100836] Funding Source: Australian Research Council</t>
  </si>
  <si>
    <t>University of New South Wales; Lenfest Ocean Program; Australian Research Council(Australian Research Council); Australian Research Council(Australian Research Council)</t>
  </si>
  <si>
    <t>Support was provided to AE by the University of New South Wales in the form of a Scientia Ph.D. Fellowship. BS received travel support from the Australian Distinguished Fulbright Chair in Science and Technology CSIRO and from a grant from the Lenfest Ocean Program. Further support was provided by the Australian Research Council through various grants: DP180104041 (PS and EM) and LP160100836 (PS, EM, and AV).</t>
  </si>
  <si>
    <t>10.3389/fmars.2020.00544</t>
  </si>
  <si>
    <t>MK1ZS</t>
  </si>
  <si>
    <t>WOS:000548586100001</t>
  </si>
  <si>
    <t>Massaro, M; Ainley, DG; Santora, JA; Quillfeldt, P; Lescroël, A; Whitehead, A; Varsani, A; Ballard, G; Lyver, PO</t>
  </si>
  <si>
    <t>Massaro, Melanie; Ainley, David G.; Santora, Jarrod A.; Quillfeldt, Petra; Lescroel, Amelie; Whitehead, Amy; Varsani, Arvind; Ballard, Grant; Lyver, Phil O'B</t>
  </si>
  <si>
    <t>Diet segregation in Adelie penguins: some individuals attempt to overcome colony-induced and annual foraging challenges</t>
  </si>
  <si>
    <t>Adelie penguin; Crystal krill; Diet segregation; Intraspecific competition; Ross Sea; Silverfish</t>
  </si>
  <si>
    <t>STABLE-ISOTOPE ANALYSIS; ROSS SEA; ENVIRONMENTAL VARIABILITY; PLEURAGRAMMA-ANTARCTICUM; REPRODUCTIVE SUCCESS; AGE; FOOD; PATTERNS; SURVIVAL; BIRDS</t>
  </si>
  <si>
    <t>Intraspecific competition for food can be especially high in colonial breeding seabirds. To minimize colony-induced or annual foraging challenges, diet may vary among individuals, but few studies have simultaneously investigated the effects of both extrinsic conditions (e.g. colony or year effects) and parameters of an individual (e.g. sex, age or individual quality) on diet in seabirds. Using stable isotope analyses, we studied the diet of 214 Adelie penguins Pygoscelis adeliae of known sex, age and breeding quality, nesting in 2 colonies on Ross Island, Antarctica, over 3 breeding seasons. During the study, delta N-15 and delta C-13 isotope values were lower in penguins breeding at Cape Crozier compared to those at Cape Bird, revealing a difference in prey proportions. Cape Bird penguins were estimated to consistently consume more energy-rich silverfish Pleuragramma antarctica, while birds at Cape Crozier ate more crystal krill Euphausia crystallorophias. We also found inter-annual differences in diet, with a higher dietary fish proportion in both colonies during 2011. Males had significantly higher delta N-15 values, indicating a higher fish consumption than females. This sexual segregation in diet was particularly pronounced at Cape Bird, where the overall isotopic niche was wider than at Cape Crozier. Differences in diet among adults of varying ages only existed at Cape Bird, where middle-aged penguins consumed more fish than old and young penguins. This study provides evidence that Adelie penguin diet is largely driven by annual, seasonal and local abundances of prey, with only some individuals selectively foraging for more nutritional prey if prey choices are present.</t>
  </si>
  <si>
    <t>[Massaro, Melanie] Charles Sturt Univ, Sch Environm Sci, Inst Land Water &amp; Soc, Albury, NSW 2640, Australia; [Ainley, David G.; Santora, Jarrod A.] HT Harvey &amp; Associates, Los Gatos, CA 95032 USA; [Santora, Jarrod A.] Univ Calif Santa Cruz, Dept Appl Math, Santa Cruz, CA 95060 USA; [Santora, Jarrod A.] NOAA, Fisheries Ecol Div, Southwest Fisheries Sci Ctr, Natl Marine Fisheries Serv, 110 McAllister Way, Santa Cruz, CA 95060 USA; [Quillfeldt, Petra] Justus Liebig Univ Giessen, Dept Anim Ecol &amp; Systemat, D-35392 Giessen, Germany; [Lescroel, Amelie; Ballard, Grant] Point Blue Conservat Sci, Petaluma, CA 94954 USA; [Whitehead, Amy] Natl Inst Water &amp; Atmospher Res, POB 8602, Christchurch 8440, New Zealand; [Varsani, Arvind] Arizona State Univ, Biodesign Ctr Fundamental &amp; Appl Microbi, Ctr Evolut &amp; Med, Sch Life Sci, Tempe, AZ 85287 USA; [Lyver, Phil O'B] Manaaki Whenua Landcare Res, POB 69040, Lincoln 7640, New Zealand</t>
  </si>
  <si>
    <t>Charles Sturt University; University of California System; University of California Santa Cruz; National Oceanic Atmospheric Admin (NOAA) - USA; Justus Liebig University Giessen; National Institute of Water &amp; Atmospheric Research (NIWA) - New Zealand; Arizona State University; Arizona State University-Tempe; Landcare Research - New Zealand</t>
  </si>
  <si>
    <t>Massaro, M (corresponding author), Charles Sturt Univ, Sch Environm Sci, Inst Land Water &amp; Soc, Albury, NSW 2640, Australia.</t>
  </si>
  <si>
    <t>mmassaro@csu.edu.au</t>
  </si>
  <si>
    <t>Whitehead, Amy/E-6505-2010; Varsani, Arvind/JOZ-5299-2023; Massaro, Melanie/P-4791-2017</t>
  </si>
  <si>
    <t>Whitehead, Amy/0000-0002-4164-9047; Varsani, Arvind/0000-0003-4111-2415; Massaro, Melanie/0000-0001-9039-1268</t>
  </si>
  <si>
    <t>National Science Foundation Office of Polar Programs [2006-010, 2011-002, 2017-005]; National Science Foundation [OPP 9526865, 9814882, 0125608, 0440643, 0944411, 154398]; New Zealand Ministry of Business, Innovation, and Employment [C09527, C09X0510, C01X1001]; NZ's Ministry for Primary Industries [MPI17238-S01-LC]; New Zealand Ministry of Business, Innovation &amp; Employment (MBIE) [C01X1001] Funding Source: New Zealand Ministry of Business, Innovation &amp; Employment (MBIE)</t>
  </si>
  <si>
    <t>National Science Foundation Office of Polar Programs(National Science Foundation (NSF)NSF - Directorate for Geosciences (GEO)); National Science Foundation(National Science Foundation (NSF)); New Zealand Ministry of Business, Innovation, and Employment(New Zealand Ministry of Business, Innovation and Employment (MBIE)); NZ's Ministry for Primary Industries; New Zealand Ministry of Business, Innovation &amp; Employment (MBIE)(New Zealand Ministry of Business, Innovation and Employment (MBIE))</t>
  </si>
  <si>
    <t>Fieldwork was conducted with logistic support provided by the US Antarctic Program and Antarctica New Zealand, and with the assistance of S. Jennings, A. Matthews, A. Pollard, E. Porzig and A. Schmidt. We thank V. Ruoppolo for teaching us how to blood sample penguins, E. Porzig for helping with blood sampling, S. Jennings for comments on an earlier draft of this manuscript and Deanna Duffy for help with creating a Ross Island map. Permits were provided under the Antarctic Conservation Act, National Science Foundation Office of Polar Programs (2006-010, 2011-002, 2017-005) and Landcare Research Animal Ethics Committee Permit (0509/01). Data collection protocols were approved by Oregon State University's Institutional Animal Care and Use Committee. Funding was provided by National Science Foundation grants OPP 9526865, 9814882, 0125608, 0440643, 0944411, and 154398 and New Zealand Ministry of Business, Innovation, and Employment grants (C09527, C09X0510, C01X1001) and NZ's Ministry for Primary Industries (MPI17238-S01-LC). This is Point Blue Conservation Science contribution no. 2315.</t>
  </si>
  <si>
    <t>JUL 9</t>
  </si>
  <si>
    <t>10.3354/meps13370</t>
  </si>
  <si>
    <t>QL6QC</t>
  </si>
  <si>
    <t>WOS:000621208100014</t>
  </si>
  <si>
    <t>Lopes-Andrade, C; De Araujo, LS; Sandoval-Gómez, VE</t>
  </si>
  <si>
    <t>Lopes-Andrade, Cristiano; De Araujo, Lucimar Soares; Sandoval-Gomez, Vivian E.</t>
  </si>
  <si>
    <t>Redescription of Orthocis platensis Brethes, 1922 (Coleoptera: Ciidae) and the first records of the species from Brazil</t>
  </si>
  <si>
    <t>ZOOTAXA</t>
  </si>
  <si>
    <t>Minute tree-fungus beetles; Neotropical fauna; taxonomy</t>
  </si>
  <si>
    <t>The genus Orthocis Casey is represented by 46 species occurring in insular and continental areas of the World, except for the Antarctic. Three Orthocis species are currently known from South America: the Andean O. elguetai Lopes-Andrade. from Chile; the Neotropical O. apicipennis (Pic) from a single locality in South Brazil; and O. platensis Brethes from Buenos Aires, Argentina. Orthocis platensis is here redescribed and recorded for the first time from South and Southeast Brazil.</t>
  </si>
  <si>
    <t>[Lopes-Andrade, Cristiano; De Araujo, Lucimar Soares] Univ Fed Vicosa, Dept Biol Anim, Lab Sistemat &amp; Biol Coleoptera, BR-36570900 Vicosa, MG, Brazil; [Sandoval-Gomez, Vivian E.] Queensland Museum, Biodivers Program, Terr Environm Entomol, POB 3300, South Brisbane, Qld 4101, Australia</t>
  </si>
  <si>
    <t>Universidade Federal de Vicosa; Queensland Museum</t>
  </si>
  <si>
    <t>Lopes-Andrade, C (corresponding author), Univ Fed Vicosa, Dept Biol Anim, Lab Sistemat &amp; Biol Coleoptera, BR-36570900 Vicosa, MG, Brazil.</t>
  </si>
  <si>
    <t>ciidae@gmail.com</t>
  </si>
  <si>
    <t>Araujo, Lucimar S/P-1962-2015; Lopes-Andrade, Cristiano/A-5525-2013</t>
  </si>
  <si>
    <t>Lopes-Andrade, Cristiano/0000-0001-9652-1369; Sandoval, Vivian/0000-0002-9115-8254</t>
  </si>
  <si>
    <t>Fundacao de Amparo a Pesquisa do Estado de Minas Gerais (FAPEMIG) [APQ-02675-16, XII-PPM-00314-18]; Conselho Nacional de Desenvolvimento Cientifico e Tecnologico (CNPq) [308432/2018-5]; Coordenacao de Aperfeicoamento de Pessoal de Nivel Superior-Brasil (CAPES) [001]</t>
  </si>
  <si>
    <t>Fundacao de Amparo a Pesquisa do Estado de Minas Gerais (FAPEMIG)(Fundacao de Amparo a Pesquisa do Estado de Minas Gerais (FAPEMIG)); Conselho Nacional de Desenvolvimento Cientifico e Tecnologico (CNPq)(Conselho Nacional de Desenvolvimento Cientifico e Tecnologico (CNPQ)); Coordenacao de Aperfeicoamento de Pessoal de Nivel Superior-Brasil (CAPES)(Coordenacao de Aperfeicoamento de Pessoal de Nivel Superior (CAPES))</t>
  </si>
  <si>
    <t>We would like to thank the curator and staff of the MACN for allowing examination of historical material of O. platensis, of the MNHN for the loan of type material of O. apicipennis, and of the DZUP for the loan of O. platensis from South Brazil. We would like to especially thank John F. Lawrence, who provided specimens and notes on type material of Orthocis. We are also grateful to Andres Sanchez, who helped us in contacting the staff of the MACN and in arranging the visit of Vivian to that museum, and Igor Souza-Goncalves for valuable corrections and suggestions. Field collections in Brazil were registered and licensed by Instituto Chico Mendes de Conservacao da Biodiversidade (ICMBio, Ministerio do Meio Ambiente). Electron microscopy facilities were provided by Nucleo de Apoio a Pesquisa em Microscopia Eletronica Aplicada a Agricultura, of the Escola Superior de Agricultura Luiz de Queiroz (NAP/MEPA, ESALQ/USP). Financial support was provided by Fundacao de Amparo a Pesquisa do Estado de Minas Gerais (FAPEMIG: Edital 01/2016-Demanda Universal-APQ-02675-16; Edital 02/2018-Programa Pesquisador Mineiro XII-PPM-00314-18), Conselho Nacional de Desenvolvimento Cientifico e Tecnologico (CNPq: research grant to CLA no 308432/2018-5; PROTAX-Edital no 001/2015) and Coordenacao de Aperfeicoamento de Pessoal de Nivel Superior-Brasil (CAPES; Finance Code 001).</t>
  </si>
  <si>
    <t>MAGNOLIA PRESS</t>
  </si>
  <si>
    <t>AUCKLAND</t>
  </si>
  <si>
    <t>PO BOX 41383, AUCKLAND, ST LUKES 1030, NEW ZEALAND</t>
  </si>
  <si>
    <t>1175-5326</t>
  </si>
  <si>
    <t>1175-5334</t>
  </si>
  <si>
    <t>Zootaxa</t>
  </si>
  <si>
    <t>10.11646/zootaxa.4810.1.9</t>
  </si>
  <si>
    <t>NW7KG</t>
  </si>
  <si>
    <t>WOS:000575197500003</t>
  </si>
  <si>
    <t>Jakobsson, M; Mayer, LA; Bringensparr, C; Castro, CF; Mohammad, R; Johnson, P; Ketter, T; Accettella, D; Amblas, D; An, L; Arndt, JE; Canals, M; Casamor, JL; Chauché, N; Coakley, B; Danielson, S; Demarte, M; Dickson, ML; Dorschel, B; Dowdeswell, JA; Dreutter, S; Fremand, AC; Gallant, D; Hall, JK; Hehemann, L; Hodnesdal, H; Hong, J; Ivaldi, R; Kane, E; Klaucke, I; Krawczyk, DW; Kristoffersen, Y; Kuipers, BR; Millan, R; Masetti, G; Morlighem, M; Noormets, R; Prescott, MM; Rebesco, M; Rignot, E; Semiletov, I; Tate, AJ; Travaglini, P; Velicogna, I; Weatherall, P; Weinrebe, W; Willis, JK; Wood, M; Zarayskaya, Y; Zhang, T; Zimmermann, M; Zinglersen, KB</t>
  </si>
  <si>
    <t>Jakobsson, Martin; Mayer, Larry A.; Bringensparr, Caroline; Castro, Carlos F.; Mohammad, Rezwan; Johnson, Paul; Ketter, Tomer; Accettella, Daniela; Amblas, David; An, Lu; Arndt, Jan Erik; Canals, Miquel; Casamor, Jose Luis; Chauche, Nolwenn; Coakley, Bernard; Danielson, Seth; Demarte, Maurizio; Dickson, Mary-Lynn; Dorschel, Boris; Dowdeswell, Julian A.; Dreutter, Simon; Fremand, Alice C.; Gallant, Dana; Hall, John K.; Hehemann, Laura; Hodnesdal, Hanne; Hong, Jongkuk; Ivaldi, Roberta; Kane, Emily; Klaucke, Ingo; Krawczyk, Diana W.; Kristoffersen, Yngve; Kuipers, Boele R.; Millan, Romain; Masetti, Giuseppe; Morlighem, Mathieu; Noormets, Riko; Prescott, Megan M.; Rebesco, Michele; Rignot, Eric; Semiletov, Igor; Tate, Alex J.; Travaglini, Paola; Velicogna, Isabella; Weatherall, Pauline; Weinrebe, Wilhelm; Willis, Joshua K.; Wood, Michael; Zarayskaya, Yulia; Zhang, Tao; Zimmermann, Mark; Zinglersen, Karl B.</t>
  </si>
  <si>
    <t>The International Bathymetric Chart of the Arctic Ocean Version 4.0</t>
  </si>
  <si>
    <t>SCIENTIFIC DATA</t>
  </si>
  <si>
    <t>RESOLUTION AIRBORNE GRAVITY; ICE-SHEET FLOW; WEST GREENLAND; SUBMARINE LANDFORMS; MELTING GREENLAND; LOMONOSOV RIDGE; SEA-ICE; GLACIERS; TROUGH; SHELF</t>
  </si>
  <si>
    <t>Bathymetry (seafloor depth), is a critical parameter providing the geospatial context for a multitude of marine scientific studies. Since 1997, the International Bathymetric Chart of the Arctic Ocean (IBCAO) has been the authoritative source of bathymetry for the Arctic Ocean. IBCAO has merged its efforts with the Nippon Foundation-GEBCO-Seabed 2030 Project, with the goal of mapping all of the oceans by 2030. Here we present the latest version (IBCAO Ver. 4.0), with more than twice the resolution (200 x 200m versus 500 x 500m) and with individual depth soundings constraining three times more area of the Arctic Ocean (similar to 19.8% versus 6.7%), than the previous IBCAO Ver. 3.0 released in 2012. Modern multibeam bathymetry comprises similar to 14.3% in Ver. 4.0 compared to similar to 5.4% in Ver. 3.0. Thus, the new IBCAO Ver. 4.0 has substantially more seafloor morphological information that offers new insights into a range of submarine features and processes; for example, the improved portrayal of Greenland fjords better serves predictive modelling of the fate of the Greenland Ice Sheet. Machine-accessible metadata file describing the reported data: 10.6084/m9.figshare.12369314</t>
  </si>
  <si>
    <t>[Jakobsson, Martin; Bringensparr, Caroline; Castro, Carlos F.; Mohammad, Rezwan] Stockholm Univ, Dept Geol Sci, Stockholm, Sweden; [Jakobsson, Martin; Bringensparr, Caroline; Castro, Carlos F.; Mohammad, Rezwan; Tate, Alex J.] Stockholm Univ, Bolin Ctr Climate Res, S-10691 Stockholm, Sweden; [Mayer, Larry A.; Johnson, Paul; Ketter, Tomer] Univ New Hampshire, Ctr Coastal &amp; Ocean Mapping, Durham, NH 03824 USA; [Accettella, Daniela; Rebesco, Michele] Natl Inst Oceanog &amp; Appl Geophys, Sgonico, Italy; [Amblas, David; Canals, Miquel; Casamor, Jose Luis] Univ Barcelona, Dept Earth &amp; Ocean Dynam, CRG Marine Geosci, Barcelona, Spain; [An, Lu; Kane, Emily; Morlighem, Mathieu; Rignot, Eric; Velicogna, Isabella; Wood, Michael] Univ Calif Irvine, Dept Earth Syst Sci, Irvine, CA USA; [Arndt, Jan Erik; Dorschel, Boris; Dreutter, Simon; Hehemann, Laura] Helmholtz Ctr Polar &amp; Marine Res, Alfred Wegener Inst, Bremerhaven, Germany; [Chauche, Nolwenn] Access Arctic, Le Vieux Marigny, France; [Coakley, Bernard] Univ Alaska, Inst Geophys, Fairbanks, AK USA; [Danielson, Seth] Univ Alaska, Coll Fisheries &amp; Ocean Sci, Fairbanks, AK 99701 USA; [Demarte, Maurizio; Ivaldi, Roberta] Italian Hydrog Serv, Genoa, Italy; [Dickson, Mary-Lynn; Fremand, Alice C.] Geol Survey Canada, Dartmouth, NS, Canada; [Dowdeswell, Julian A.] Univ Cambridge, Scott Polar Res Inst, Cambridge, England; [Tate, Alex J.] British Antarctic Survey, UK Polar Data Ctr, Cambridge, England; [Gallant, Dana] Canadian Hydrog Serv, Burlington, ON, Canada; [Hall, John K.] Geol Survey Israel, Jerusalem, Israel; [Hodnesdal, Hanne; Kuipers, Boele R.] Norwegian Mapping Author, Hydrog Serv, Stavanger, Norway; [Hong, Jongkuk] Korea Polar Res Inst, Incheon, South Korea; [Klaucke, Ingo; Weinrebe, Wilhelm] GEOMAR Helmholtz Ctr Ocean Res Kiel, Kiel, Germany; [Krawczyk, Diana W.; Zinglersen, Karl B.] Greenland Inst Nat Resources, Nuuk, Greenland; [Krawczyk, Diana W.] Geol Survey Denmark &amp; Greenland, Copenhagen, Denmark; [Kristoffersen, Yngve] Univ Bergen, Dept Earth Sci, Bergen, Norway; [Millan, Romain] Univ Grenoble Alpes, CNRS, Inst Geosci Environm, Grenoble, France; [Masetti, Giuseppe] Danish Hydrog Off, Danish Geodata Agcy, Aalborg, Denmark; [Noormets, Riko] Univ Ctr Svalbard, Svalbard, Norway; [Prescott, Megan M.] Lynker Technol, Seattle, WA USA; [Rignot, Eric; Velicogna, Isabella; Willis, Joshua K.] CALTECH, Jet Prop Lab, Pasadena, CA USA; [Semiletov, Igor] Tomsk Polytech Univ, Tomsk, Russia; [Semiletov, Igor] Russian Acad Sci, Far Eastern Branch, VI Ilichov Pacific Oceanol Inst, Lab Arctic Studies, Vladivostok, Russia; [Travaglini, Paola] Canadian Hydrog Serv, Dartmouth, NS, Canada; [Weatherall, Pauline] British Oceanog Data Ctr, Liverpool, Merseyside, England; [Zarayskaya, Yulia] Russian Acad Sci, Inst Geol, Moscow, Russia; [Zhang, Tao] Minist Nat Resources, Inst Oceanog 2, Beijing, Peoples R China; [Zimmermann, Mark] NOAA, Natl Marine Fisheries Serv, Alaska Fisheries Sci Ctr, Seattle, WA 98115 USA</t>
  </si>
  <si>
    <t>Stockholm University; Stockholm University; University System Of New Hampshire; University of New Hampshire; Istituto Nazionale di Oceanografia e di Geofisica Sperimentale; University of Barcelona; University of California System; University of California Irvine; Helmholtz Association; Alfred Wegener Institute, Helmholtz Centre for Polar &amp; Marine Research; University of Alaska System; University of Alaska Fairbanks; University of Alaska System; University of Alaska Fairbanks; Natural Resources Canada; Lands &amp; Minerals Sector - Natural Resources Canada; Geological Survey of Canada; University of Cambridge; UK Research &amp; Innovation (UKRI); Natural Environment Research Council (NERC); NERC British Antarctic Survey; Fisheries &amp; Oceans Canada; Geological Survey Israel; Korea Polar Research Institute (KOPRI); Helmholtz Association; GEOMAR Helmholtz Center for Ocean Research Kiel; Greenland Institute of Natural Resources; Geological Survey Of Denmark &amp; Greenland; University of Bergen; Centre National de la Recherche Scientifique (CNRS); Communaute Universite Grenoble Alpes; Universite Grenoble Alpes (UGA); University Centre Svalbard (UNIS); California Institute of Technology; National Aeronautics &amp; Space Administration (NASA); NASA Jet Propulsion Laboratory (JPL); Tomsk Polytechnic University; Ilichev Pacific Oceanological Institute; Russian Academy of Sciences; Fisheries &amp; Oceans Canada; NERC National Oceanography Centre; Geological Institute, Russian Academy of Sciences; Russian Academy of Sciences; Ministry of Natural Resources of the People's Republic of China; National Oceanic Atmospheric Admin (NOAA) - USA</t>
  </si>
  <si>
    <t>Jakobsson, M (corresponding author), Stockholm Univ, Dept Geol Sci, Stockholm, Sweden.;Jakobsson, M (corresponding author), Stockholm Univ, Bolin Ctr Climate Res, S-10691 Stockholm, Sweden.;Mayer, LA (corresponding author), Univ New Hampshire, Ctr Coastal &amp; Ocean Mapping, Durham, NH 03824 USA.</t>
  </si>
  <si>
    <t>martin.jakobsson@geo.su.se; larry.mayer@ccom.unh.edu</t>
  </si>
  <si>
    <t>Morlighem, Mathieu/O-9942-2014; Willis, Josh/AGY-7817-2022; Danielson, Seth/AAY-4384-2020; Klaucke, Ingo/A-2441-2010; Zarayskaya, Yulia/AAM-9028-2021; An, Lu/V-1548-2018; Semiletov, Igor/CAJ-4412-2022; Velicogna, Isabella/R-5561-2018; Rignot, Eric/A-4560-2014; Canals, Miquel/F-4922-2013; Rebesco, Michele/B-7462-2014; Casamor, Jose Luis/J-5719-2017; Amblas, David/A-5482-2015</t>
  </si>
  <si>
    <t>Morlighem, Mathieu/0000-0001-5219-1310; Klaucke, Ingo/0000-0002-2631-6615; Zarayskaya, Yulia/0000-0002-9385-2135; Rignot, Eric/0000-0002-3366-0481; Rebesco, Michele/0000-0002-9492-4081; ACCETTELLA, Daniela/0000-0001-8886-6607; Casamor, Jose Luis/0000-0001-9445-6997; Amblas, David/0000-0002-6248-5512; Semiletov, Igor/0000-0003-1741-6734; Fremand, Alice/0000-0001-8272-0981; Zinglersen, Karl Brix/0000-0003-1466-9680; Castro, Carlos F./0000-0001-7523-1477; Krawczyk, Diana/0000-0001-7400-5830; Wood, Mike/0000-0003-3074-7845; Jakobsson, Martin/0000-0002-9033-3559; Mayer, Larry/0000-0003-1846-5140; Noormets, Riko/0000-0002-2832-386X; Arndt, Jan Erik/0000-0002-9413-1612; Zimmermann, Mark/0000-0002-5786-3814; Hehemann, Laura/0000-0003-0967-8945</t>
  </si>
  <si>
    <t>Nippon Foundation of Japan; Stockholm University; NERC [NE/K000187/1, bas010011] Funding Source: UKRI</t>
  </si>
  <si>
    <t>Nippon Foundation of Japan; Stockholm University; NERC(UK Research &amp; Innovation (UKRI)Natural Environment Research Council (NERC))</t>
  </si>
  <si>
    <t>The compilation of the IBCAO DBM is a part of the Nippon-Foundation-GEBCO-Seabed 2030 project receiving funding from the Nippon Foundation of Japan. The authors are deeply indebted to a broad range of agencies and institutions that have funded the collection of bathymetric data in the Arctic (see Online-only Table 2) and have agreed to contribute it to this compilation. Open access funding provided by Stockholm University.</t>
  </si>
  <si>
    <t>2052-4463</t>
  </si>
  <si>
    <t>SCI DATA</t>
  </si>
  <si>
    <t>Sci. Data</t>
  </si>
  <si>
    <t>10.1038/s41597-020-0520-9</t>
  </si>
  <si>
    <t>MP2KC</t>
  </si>
  <si>
    <t>WOS:000552037100001</t>
  </si>
  <si>
    <t>Cravigan, LT; Mallet, MD; Vaattovaara, P; Harvey, MJ; Law, CS; Modini, RL; Russell, LM; Stelcer, E; Cohen, DD; Olsen, G; Safi, K; Burrell, TJ; Ristovski, Z</t>
  </si>
  <si>
    <t>Cravigan, Luke T.; Mallet, Marc D.; Vaattovaara, Petri; Harvey, Mike J.; Law, Cliff S.; Modini, Robin L.; Russell, Lynn M.; Stelcer, Ed; Cohen, David D.; Olsen, Greg; Safi, Karl; Burrell, Timothy J.; Ristovski, Zoran</t>
  </si>
  <si>
    <t>Sea spray aerosol organic enrichment, water uptake and surface tension effects</t>
  </si>
  <si>
    <t>PRIMARY MARINE AEROSOL; CLOUD CONDENSATION NUCLEI; DIFFERENTIAL MOBILITY ANALYZER; HYGROSCOPIC GROWTH; CHEMICAL-COMPOSITION; DROPLET ACTIVATION; MATTER ENRICHMENT; DPPC MONOLAYERS; SOUTHERN-OCEAN; CHLOROPHYLL-A</t>
  </si>
  <si>
    <t>The aerosol-driven radiative effects on marine low-level cloud represent a large uncertainty in climate simulations, in particular over the Southern Ocean, which is also an important region for sea spray aerosol production. Observations of sea spray aerosol organic enrichment and the resulting impact on water uptake over the remote Southern Hemisphere are scarce, and therefore the region is under-represented in existing parameterisations. The Surface Ocean Aerosol Production (SOAP) voyage was a 23 d voyage which sampled three phytoplankton blooms in the highly productive water of the Chatham Rise, east of New Zealand. In this study we examined the enrichment of organics to nascent sea spray aerosol and the modifications to sea spray aerosol water uptake using in situ chamber measurements of seawater samples taken during the SOAP voyage. Primary marine organics contributed up to 23 % of the sea spray mass for particles with diameter less than approximately 1 pm and up to 79 % of the particle volume for 50 nm diameter sea spray. The composition of the submicron organic fraction was consistent throughout the voyage and was largely composed of a polysaccharide-like component, characterised by very low alkane-to-hydroxyl-concentration ratios of approximately 0.1-0.2. The enrichment of organics was compared to the output from the chlorophyll-a-based sea spray aerosol parameterisation suggested by Gantt et al. (2011) and the OCEANFILMS (Organic Compounds from Ecosystems to Aerosols: Natural Films and Interfaces via Langmuir Molecular Surfactants) models. OCEANFILMS improved on the representation of the organic fraction predicted using chlorophyll a, in particular when the co-adsorption of polysaccharides was included; however, the model still under-predicted the proportion of polysaccharides by an average of 33 %. Nascent 50 nm diameter sea spray aerosol hygroscopic growth factors measured at 90 % relative humidity averaged 1.93 +/- 0.08 and did not decrease with increasing sea spray aerosol organic fractions. The observed hygroscopicity was greater than expected from the assumption of full solubility, particularly during the most productive phytoplankton bloom (B1), during which organic fractions were greater than approximately 0.4. The water uptake behaviour observed in this study is consistent with that observed for other measurements of phytoplankton blooms and can be partially attributed to the presence of sea salt hydrates, which lowers the sea spray aerosol hygroscopicity when the organic enrichment is low. The inclusion of surface tension effects only marginally improved the modelled hygroscopicity, and a significant discrepancy between the observed and modelled hygroscopicity at high organic volume fractions remained. The findings from the SOAP voyage highlight the influence of biologically sourced organics on sea spray aerosol composition; these data improve the capacity to parameterise sea spray aerosol organic enrichment and water uptake.</t>
  </si>
  <si>
    <t>[Cravigan, Luke T.; Mallet, Marc D.; Ristovski, Zoran] Queensland Univ Technol, Sch Earth &amp; Atmospher Sci, Brisbane, Qld, Australia; [Vaattovaara, Petri] Univ Eastern Finland, Dept Environm Sci, Kuopio, Finland; [Harvey, Mike J.; Law, Cliff S.; Burrell, Timothy J.] Natl Inst Water &amp; Atmospher Res, Wellington, New Zealand; [Law, Cliff S.] Univ Otago, Dept Marine Sci, Dunedin, New Zealand; [Modini, Robin L.; Russell, Lynn M.] Univ Calif San Diego, Scripps Inst Oceanog, La Jolla, CA 92093 USA; [Stelcer, Ed; Cohen, David D.] Australian Nucl Sci &amp; Technol Org, Ctr Accelerator Sci, NSTLI, Menai, NSW, Australia; [Olsen, Greg; Safi, Karl] Natl Inst Water &amp; Atmospher Res, Hamilton, New Zealand; [Mallet, Marc D.] Univ Tasmania, Inst Marine &amp; Antarctic Sci, Australian Antarctic Program Partnership, Hobart, Tas, Australia; [Modini, Robin L.] Paul Scherrer Inst, Lab Atmospher Chem, CH-5232 Villigen, Switzerland</t>
  </si>
  <si>
    <t>Queensland University of Technology (QUT); University of Eastern Finland; National Institute of Water &amp; Atmospheric Research (NIWA) - New Zealand; University of Otago; University of California System; University of California San Diego; Scripps Institution of Oceanography; Australian Nuclear Science &amp; Technology Organisation; National Institute of Water &amp; Atmospheric Research (NIWA) - New Zealand; University of Tasmania; Swiss Federal Institutes of Technology Domain; Paul Scherrer Institute</t>
  </si>
  <si>
    <t>Ristovski, Z (corresponding author), Queensland Univ Technol, Sch Earth &amp; Atmospher Sci, Brisbane, Qld, Australia.</t>
  </si>
  <si>
    <t>Harvey, Mike/A-5354-2010; Doussin, Jean-Francois/C-5246-2012; Modini, Rob/AAF-6036-2019; Ristovski, Zoran/D-3308-2009</t>
  </si>
  <si>
    <t>Harvey, Mike/0000-0002-0979-0227; Modini, Rob/0000-0002-2982-1369; Russell, Lynn/0000-0002-6108-2375; Safi, Karl/0000-0002-7785-1909; Law, Cliff/0000-0002-7669-2475; Cravigan, Luke/0000-0003-2636-928X; Mallet, Marc/0000-0003-2749-8833; Ristovski, Zoran/0000-0001-6066-6638</t>
  </si>
  <si>
    <t>Australian Institute of Nuclear Science and Engineering [ALNGRA13048]; Australian Research Council [DP150101649]; National Institute of Water and Atmospheric Research (Climate and Atmosphere Research Programme 3 - Role of the oceans) [2015/16 SCI]; National Science Foundation [AGS-1013423]; Academy of Finland [136841]; European Cooperation in Science and Technology (Action 735); Academy of Finland (AKA) [136841] Funding Source: Academy of Finland (AKA)</t>
  </si>
  <si>
    <t>Australian Institute of Nuclear Science and Engineering; Australian Research Council(Australian Research Council); National Institute of Water and Atmospheric Research (Climate and Atmosphere Research Programme 3 - Role of the oceans); National Science Foundation(National Science Foundation (NSF)); Academy of Finland(Research Council of Finland); European Cooperation in Science and Technology (Action 735); Academy of Finland (AKA)(Research Council of Finland)</t>
  </si>
  <si>
    <t>This research has been supported by the Australian Institute of Nuclear Science and Engineering (grant no. ALNGRA13048), the Australian Research Council (grant no. DP150101649), the National Institute of Water and Atmospheric Research (Climate and Atmosphere Research Programme 3 - Role of the oceans, grant no. 2015/16 SCI), the National Science Foundation (grant no. AGS-1013423), the Academy of Finland (grant no. 136841), and the European Cooperation in Science and Technology (Action 735).</t>
  </si>
  <si>
    <t>10.5194/acp-20-7955-2020</t>
  </si>
  <si>
    <t>MN1GD</t>
  </si>
  <si>
    <t>Green Submitted, gold, Green Accepted</t>
  </si>
  <si>
    <t>WOS:000550594300001</t>
  </si>
  <si>
    <t>Gossart, A; Palm, SP; Souverijns, N; Lenaerts, JTM; Gorodetskaya, IV; Lhermitte, S; van Lipzig, NPM</t>
  </si>
  <si>
    <t>Gossart, Alexandra; Palm, Stephen P.; Souverijns, Niels; Lenaerts, Jan T. M.; Gorodetskaya, Irina, V; Lhermitte, Stef; van Lipzig, Nicole P. M.</t>
  </si>
  <si>
    <t>Importance of Blowing Snow During Cloudy Conditions in East Antarctica: Comparison of Ground-Based and Space-Borne Retrievals Over Ice-Shelf and Mountain Regions</t>
  </si>
  <si>
    <t>Antarctica; blowing snow; satellite; remote sensing; ceilometer</t>
  </si>
  <si>
    <t>SURFACE MASS-BALANCE; DRONNING MAUD LAND; SNOWDRIFT SUBLIMATION; PRECIPITATION; ACCUMULATION; STATION; RADAR</t>
  </si>
  <si>
    <t>Continuous measurements of blowing snow are scarce, both in time and space. Satellites now provide the opportunity to derive blowing snow occurrences, transport and sublimation rates over Antarctica. These products are extremely valuable and offer a continental-wide assessment of blowing snow, which is an important but unknown component of the surface mass balance of the Antarctic ice sheet. However, little ground truth is available to validate these retrievals. The recent application of ceilometers for detection of blowing snow frequencies provides an opportunity to validate the satellite retrievals of blowing snow. A routine to detect blowing snow occurrence from ground-based remote sensing ceilometers has been developed at two coastal locations in East Antarctica for the 2011-2016 time period. Thanks to their ground-based location, ceilometers are able to detect blowing snow events in the presence of clouds and precipitation, which can be missed by the satellite, since optically thick clouds impede the penetration of the signal. In coastal areas, more than 90% of blowing snow occurs under cloudy conditions and represent 30 to 56% of all cloudy conditions at Princess Elisabeth and Neumayer III (Neumayer hereafter) stations, respectively. For cloud-free conditions, 8% of the measurements at Princess Elisabeth (and none at Neumayer) are identified as blowing snow by the satellite but not by the ceilometer, likely due to differences in sensors, limitation of the surface identification by the satellite, or the spatial inhomogeneity of the blowing snow event. While the satellite blowing snow retrieval is a useful product, further investigation is needed to reduce the uncertainties on blowing snow frequencies associated with clouds.</t>
  </si>
  <si>
    <t>[Gossart, Alexandra; Souverijns, Niels; van Lipzig, Nicole P. M.] Katholieke Univ Leuven, Dept Earth &amp; Environm Sci, Leuven, Belgium; [Palm, Stephen P.] Sci Syst &amp; Applicat, Greenbelt, MD USA; [Palm, Stephen P.] NASA, Goddard Space Flight Ctr, Greenbelt, MD USA; [Lenaerts, Jan T. M.] Univ Colorado, Dept Atmospher &amp; Ocean Sci, Boulder, CO 80309 USA; [Gorodetskaya, Irina, V] Univ Aveiro, Ctr Environm &amp; Marine Studies, Dept Phys, Aveiro, Portugal; [Lhermitte, Stef] Delft Univ Technol, Dept Geosci &amp; Remote Sensing, Delft, Netherlands</t>
  </si>
  <si>
    <t>KU Leuven; National Aeronautics &amp; Space Administration (NASA); NASA Goddard Space Flight Center; University of Colorado System; University of Colorado Boulder; Universidade de Aveiro; Delft University of Technology</t>
  </si>
  <si>
    <t>Gossart, A (corresponding author), Katholieke Univ Leuven, Dept Earth &amp; Environm Sci, Leuven, Belgium.</t>
  </si>
  <si>
    <t>alexandra.gossart@kuleuven.be</t>
  </si>
  <si>
    <t>van Lipzig, Nicole/ABF-2964-2021; Lenaerts, Jan/D-9423-2012; Lhermitte, Stef (Stefaan)/A-3385-2013; Gorodetskaya, Irina/K-1987-2015</t>
  </si>
  <si>
    <t>van Lipzig, Nicole/0000-0003-2899-4046; Lenaerts, Jan/0000-0003-4309-4011; Lhermitte, Stef (Stefaan)/0000-0002-1622-0177; Souverijns, Niels/0000-0003-4695-9754; Gorodetskaya, Irina/0000-0002-2294-7823</t>
  </si>
  <si>
    <t>Belgian Science Policy Office (BELSPO) [BR/143/A2/AEROCLOUD]; Research Foundation Flanders (FWO) [G0C2215N]; NASA [NNH14CK40C, NNH14CK39C]; FCT/MCTES [UID/AMB/50017/2019]</t>
  </si>
  <si>
    <t>Belgian Science Policy Office (BELSPO)(Belgian Federal Science Policy Office); Research Foundation Flanders (FWO)(FWO); NASA(National Aeronautics &amp; Space Administration (NASA)); FCT/MCTES(Fundacao para a Ciencia e a Tecnologia (FCT))</t>
  </si>
  <si>
    <t>This work was supported by the Belgian Science Policy Office (BELSPO; grant number BR/143/A2/AEROCLOUD) and the Research Foundation Flanders (FWO; grant number G0C2215N). The CALIPSO blowing snow algorithm and data analysis was performed under NASA contracts NNH14CK40C and NNH14CK39C. IG thanks FCT/MCTES for the financial support to CESAM (UID/AMB/50017/2019), through national funds.</t>
  </si>
  <si>
    <t>JUL 8</t>
  </si>
  <si>
    <t>10.3389/feart.2020.00240</t>
  </si>
  <si>
    <t>MS7ZV</t>
  </si>
  <si>
    <t>WOS:000554494800001</t>
  </si>
  <si>
    <t>Hoffman, JI; Nagel, R; Litzke, V; Wells, DA; Amos, W</t>
  </si>
  <si>
    <t>Hoffman, J., I; Nagel, R.; Litzke, V; Wells, D. A.; Amos, W.</t>
  </si>
  <si>
    <t>Genetic analysis of Boletus edulis suggests that intra-specific competition may reduce local genetic diversity as a woodland ages</t>
  </si>
  <si>
    <t>ROYAL SOCIETY OPEN SCIENCE</t>
  </si>
  <si>
    <t>Cepe de Bordeaux; Boletus edulis; sporocarp; genetic diversity; relatedness; population structure</t>
  </si>
  <si>
    <t>SPATIAL AUTOCORRELATION ANALYSIS; ECTOMYCORRHIZAL BASIDIOMYCETE; LACCARIA-AMETHYSTINA; POPULATION-STRUCTURE; DYNAMICS; FLOW; PERSISTENCE; DISPERSAL; SOFTWARE; ECOLOGY</t>
  </si>
  <si>
    <t>Ectomycorrhizal fungi are key players in terrestrial ecosystems yet their mating systems and population dynamics remain poorly understood. We investigated the fine-scale relatedness structure and genetic diversity of Boletus edulis, one of the world's most commercially important wild mushrooms. Microsatellite genotyping of fruiting bodies from 14 different sites around Bielefeld in Germany revealed little in the way of population structure over a geographic scale of several kilometres. However, on a more local scale we found evidence for elevated relatedness as well as inbreeding. We also observed a significant negative association between the genetic diversity of fruit and the age of the trees under which they were sampled. Taken together, our results suggest that as genets mature, they compete and potentially create conditions under which further spores struggle to become established. By implication, even though this species is widely picked, propagules remain common enough to create strong competition when new habitats become available.</t>
  </si>
  <si>
    <t>[Hoffman, J., I; Nagel, R.; Litzke, V; Wells, D. A.] Bielefeld Univ, Dept Anim Behav, D-33501 Bielefeld, Germany; [Hoffman, J., I] British Antarctic Survey, Madingley Rd, Cambridge CB3 0ET, England; [Wells, D. A.; Amos, W.] Univ Cambridge, Dept Zool, Downing St, Cambridge CB2 3EJ, England; [Wells, D. A.] Liverpool John Moores Univ, Sch Nat Sci &amp; Psychol, Liverpool, Merseyside, England</t>
  </si>
  <si>
    <t>University of Bielefeld; UK Research &amp; Innovation (UKRI); Natural Environment Research Council (NERC); NERC British Antarctic Survey; University of Cambridge; Liverpool John Moores University</t>
  </si>
  <si>
    <t>Hoffman, JI (corresponding author), Bielefeld Univ, Dept Anim Behav, D-33501 Bielefeld, Germany.;Hoffman, JI (corresponding author), British Antarctic Survey, Madingley Rd, Cambridge CB3 0ET, England.</t>
  </si>
  <si>
    <t>joseph.hoffman@uni-bielefeld.de</t>
  </si>
  <si>
    <t>Wells, David/AFO-3604-2022; Wells, David/ABD-7694-2021; Hoffman, Joseph/K-7725-2012</t>
  </si>
  <si>
    <t>Wells, David/0000-0002-4531-5968; Wells, David/0000-0002-4531-5968; Hoffman, Joseph/0000-0001-5895-8949; Amos, William/0000-0002-0971-9914; Litzke, Vivienne/0000-0002-3170-6060; Nagel, Rebecca/0000-0002-2925-1028</t>
  </si>
  <si>
    <t>Deutsche Forschungsgemeinschaft (DFG, German Research Foundation) [316099922, 396774617-TRR 212]; DFG standard grant [HO 5122/5-1]; DFG; Open Access Publication Fund of Bielefeld University; NERC [bas0100035] Funding Source: UKRI</t>
  </si>
  <si>
    <t>Deutsche Forschungsgemeinschaft (DFG, German Research Foundation)(German Research Foundation (DFG)); DFG standard grant(German Research Foundation (DFG)); DFG(German Research Foundation (DFG)); Open Access Publication Fund of Bielefeld University; NERC(UK Research &amp; Innovation (UKRI)Natural Environment Research Council (NERC))</t>
  </si>
  <si>
    <t>R.N. was funded by the Deutsche Forschungsgemeinschaft (DFG, German Research Foundation) in the framework of a Sonderforschungsbereich (project nos. 316099922 and 396774617-TRR 212). D.A.W. was funded by DFG standard grant (HO 5122/5-1). The article processing charge was funded by the DFG and the Open Access Publication Fund of Bielefeld University.</t>
  </si>
  <si>
    <t>2054-5703</t>
  </si>
  <si>
    <t>ROY SOC OPEN SCI</t>
  </si>
  <si>
    <t>R. Soc. Open Sci.</t>
  </si>
  <si>
    <t>10.1098/rsos.200419</t>
  </si>
  <si>
    <t>MM0BB</t>
  </si>
  <si>
    <t>WOS:000549824200001</t>
  </si>
  <si>
    <t>Kypke, KL; Langford, WF; Willms, AR</t>
  </si>
  <si>
    <t>Kypke, Kolja Leon; Langford, William Finlay; Willms, Allan Richard</t>
  </si>
  <si>
    <t>Anthropocene climate bifurcation</t>
  </si>
  <si>
    <t>NONLINEAR PROCESSES IN GEOPHYSICS</t>
  </si>
  <si>
    <t>SURFACE ALBEDO; EARLY EOCENE; HEAT-FLUX; MODEL; TEMPERATURE; SENSITIVITY; VEGETATION</t>
  </si>
  <si>
    <t>This article presents the results of a bifurcation analysis of a simple energy balance model (EBM) for the future climate of the Earth. The main focus is on the following question: can the nonlinear processes intrinsic to atmospheric physics, including natural positive feedback mechanisms, cause a mathematical bifurcation of the climate state, as a consequence of continued anthropogenic forcing by rising greenhouse gas emissions? Our analysis shows that such a bifurcation could cause an abrupt change to a drastically different climate state in the EBM, which is warmer and more equable than any climate existing on Earth since the Pliocene epoch. In previous papers, with this EBM adapted to paleoclimate conditions, it was shown to exhibit saddle-node and cusp bifurcations, as well as hysteresis. The EBM was validated by the agreement of its predicted bifurcations with the abrupt climate changes that are known to have occurred in the paleoclimate record, in the Antarctic at the Eocene-Oligocene transition (EOT) and in the Arctic at the Pliocene-Paleocene transition (PPT). In this paper, the EBM is adapted to fit Anthropocene climate conditions, with emphasis on the Arctic and Antarctic climates. The four Representative Concentration Pathways (RCP) considered by the IPCC (Intergovernmental Panel on Climate Change) are used to model future CO2 concentrations, corresponding to different scenarios of anthropogenic activity. In addition, the EBM investigates four naturally occurring nonlinear feedback processes which magnify the warming that would be caused by anthropogenic CO2 emissions alone. These four feedback mechanisms are ice-albedo feedback, water vapour feedback, ocean heat transport feedback, and atmospheric heat transport feedback. The EBM predicts that a bifurcation resulting in a catastrophic climate change, to a pre-Pliocene-like climate state, will occur in coming centuries for an RCP with unabated anthropogenic forcing, amplified by these positive feedbacks. However, the EBM also predicts that appropriate reductions in carbon emissions may limit climate change to a more tolerable continuation of what is observed today. The globally averaged version of this EBM has an equilibrium climate sensitivity (ECS) of 4.34 K, near the high end of the likely range reported by the IPCC.</t>
  </si>
  <si>
    <t>[Kypke, Kolja Leon; Langford, William Finlay; Willms, Allan Richard] Univ Guelph, Dept Math &amp; Stat, 50 Stone Rd West, Guelph, ON N1G 2W1, Canada</t>
  </si>
  <si>
    <t>University of Guelph</t>
  </si>
  <si>
    <t>Langford, WF (corresponding author), Univ Guelph, Dept Math &amp; Stat, 50 Stone Rd West, Guelph, ON N1G 2W1, Canada.</t>
  </si>
  <si>
    <t>wlangfor@uoguelph.ca</t>
  </si>
  <si>
    <t>Kypke, Kolja Leon/0000-0002-4441-3478; Willms, Allan/0000-0003-3502-5163</t>
  </si>
  <si>
    <t>Natural Sciences and Engineering Research Council of Canada [RGPIN-2015-05090]</t>
  </si>
  <si>
    <t>Natural Sciences and Engineering Research Council of Canada(Natural Sciences and Engineering Research Council of Canada (NSERC)CGIAR)</t>
  </si>
  <si>
    <t>This research has been supported by the Natural Sciences and Engineering Research Council of Canada (grant no. RGPIN-2015-05090).</t>
  </si>
  <si>
    <t>1023-5809</t>
  </si>
  <si>
    <t>1607-7946</t>
  </si>
  <si>
    <t>NONLINEAR PROC GEOPH</t>
  </si>
  <si>
    <t>Nonlinear Process Geophys.</t>
  </si>
  <si>
    <t>10.5194/npg-27-391-2020</t>
  </si>
  <si>
    <t>Geosciences, Multidisciplinary; Mathematics, Interdisciplinary Applications; Meteorology &amp; Atmospheric Sciences; Physics, Fluids &amp; Plasmas</t>
  </si>
  <si>
    <t>Geology; Mathematics; Meteorology &amp; Atmospheric Sciences; Physics</t>
  </si>
  <si>
    <t>MK1CS</t>
  </si>
  <si>
    <t>WOS:000548524400001</t>
  </si>
  <si>
    <t>Pope, JO; Orr, A; Marshall, GJ; Abraham, NL</t>
  </si>
  <si>
    <t>Pope, James O.; Orr, Andrew; Marshall, Gareth J.; Abraham, Nathan Luke</t>
  </si>
  <si>
    <t>Non-additive response of the high-latitude Southern Hemisphere climate to aerosol forcing in a climate model with interactive chemistry</t>
  </si>
  <si>
    <t>ATMOSPHERIC SCIENCE LETTERS</t>
  </si>
  <si>
    <t>Antarctica; anthropogenic aerosols; chemistry-climate models; greenhouse gases; ozone depletion; sea-level pressure</t>
  </si>
  <si>
    <t>20TH-CENTURY TEMPERATURE-CHANGE; ANNULAR MODE; CIRCULATION RESPONSE; ANTARCTIC PENINSULA; OZONE DEPLETION; GLOMAP-MODE; OCEAN; ATTRIBUTION; IMPACTS; TRENDS</t>
  </si>
  <si>
    <t>A suite of chemistry-climate model simulations, forced by pairs of anthropogenic forcings [comprising greenhouse gases (GHGs), ozone depleting substances (ODSs), or aerosols], were employed to investigate whether the high-latitude Southern Hemisphere (SH) circulation response to these forcings is linearly additive, a common assumption in attribution studies. We find that the geographical pattern of sea-level pressure (SLP) response to a combination of GHGs and ODSs is linearly additive. However, we find significant differences in the SLP response when combining GHGs and aerosols compared to the sum of the individual forcings, a non-additivity that is currently masked by the dominance of the ODSs forcing. This non-linearity also results in changes to the SH split jet. These results were obtained using a coupled chemistry-climate model, indicating that the non-linear response is due to chemical interactions between the forcing agents. As such, future simulations investigating a post-ozone hole Southern Hemisphere climate should consider this chemical interaction.</t>
  </si>
  <si>
    <t>[Pope, James O.; Orr, Andrew; Marshall, Gareth J.] British Antarctic Survey, Cambridge, England; [Pope, James O.] Met Off, FitzRoy Rd, Exeter EX1 3PB, Devon, England; [Abraham, Nathan Luke] Natl Ctr Atmospher Sci, Leeds, W Yorkshire, England; [Abraham, Nathan Luke] Univ Cambridge, Dept Chem, Cambridge, England</t>
  </si>
  <si>
    <t>UK Research &amp; Innovation (UKRI); Natural Environment Research Council (NERC); NERC British Antarctic Survey; Met Office - UK; University of Leeds; UK Research &amp; Innovation (UKRI); Natural Environment Research Council (NERC); NERC National Centre for Atmospheric Science; University of Cambridge</t>
  </si>
  <si>
    <t>Pope, JO (corresponding author), Met Off, FitzRoy Rd, Exeter EX1 3PB, Devon, England.</t>
  </si>
  <si>
    <t>james.pope@metoffice.gov.uk</t>
  </si>
  <si>
    <t>Pope, James/E-9473-2017</t>
  </si>
  <si>
    <t>Pope, James/0000-0001-8945-4209; Abraham, Nathan Luke/0000-0003-3750-3544</t>
  </si>
  <si>
    <t>Natural Environment Research Council [NEK/K012150/1]; NERC [NE/K012150/1, ncas10014, bas0100032] Funding Source: UKRI</t>
  </si>
  <si>
    <t>Natural Environment Research Council, Grant/Award Number: NEK/K012150/1</t>
  </si>
  <si>
    <t>1530-261X</t>
  </si>
  <si>
    <t>ATMOS SCI LETT</t>
  </si>
  <si>
    <t>Atmos. Sci. Lett.</t>
  </si>
  <si>
    <t>e1004</t>
  </si>
  <si>
    <t>10.1002/asl.1004</t>
  </si>
  <si>
    <t>Geochemistry &amp; Geophysics; Meteorology &amp; Atmospheric Sciences</t>
  </si>
  <si>
    <t>PB7NT</t>
  </si>
  <si>
    <t>WOS:000546246900001</t>
  </si>
  <si>
    <t>Schneider, DP; Kay, JE; Lenaerts, J</t>
  </si>
  <si>
    <t>Schneider, David P.; Kay, Jennifer E.; Lenaerts, Jan</t>
  </si>
  <si>
    <t>Improved clouds over Southern Ocean amplify Antarctic precipitation response to ozone depletion in an earth system model</t>
  </si>
  <si>
    <t>Antarctic ice sheet; Precipitation; Shortwave cloud feedbacks; Structural uncertainty</t>
  </si>
  <si>
    <t>CMIP5 MODELS; SURFACE TEMPERATURES; EXTRATROPICAL JET; CLIMATE; VARIABILITY; CIRCULATION; TRENDS; SIMULATIONS; FRAMEWORK; SNOWFALL</t>
  </si>
  <si>
    <t>Increasing precipitation on the Antarctic Ice Sheet (AIS) in a warming climate has the potential to partially mitigate Antarctica's contribution to sea level rise. We show that a simple, physically motivated change to the shallow convective cloud phase in the Community Earth System Model (CESM)-improving a long-standing bias in shortwave cloud forcing over the Southern Ocean-leads to an enhanced response of precipitation when the model is forced with realistic stratospheric ozone depletion, with other radiative forcing remaining constant. We analyze two ozone-forced ensemble experiments with the CESM version 1.1: one using the standard version of the model and the other using the cloud-modified version. The standard version exhibits a precipitation increase on the AIS of 34 gigatons year(-1); the cloud-modified version shows an increase of 109 Gt year(-1). The cloud-modified version shows a more robust, year-round poleward shift in the westerly jet and storm tracks, which brings more precipitation to the AIS, compared to the standard version. Greater surface warming and larger-amplitude stationary waves further increase the Antarctic precipitation response. The enhanced warming in the cloud-modified version is explained by larger positive shortwave cloud feedbacks, while the enhanced poleward jet shift is associated with a stronger meridional temperature gradient in the upper troposphere-lower stratosphere. These results illustrate (1) the sensitivity of forced changes in Antarctic precipitation to the mean state of a climate model and (2) the strong role of atmospheric dynamics in driving that forced precipitation response.</t>
  </si>
  <si>
    <t>[Schneider, David P.] Natl Ctr Atmospher Res, Climate &amp; Global Dynam Lab, POB 3000, Boulder, CO 80307 USA; [Schneider, David P.; Kay, Jennifer E.] Univ Colorado, Cooperat Inst Res Environm Sci, Boulder, CO 80309 USA; [Kay, Jennifer E.; Lenaerts, Jan] Univ Colorado, Dept Atmospher &amp; Ocean Sci, Boulder, CO 80309 USA</t>
  </si>
  <si>
    <t>National Center Atmospheric Research (NCAR) - USA; University of Colorado System; University of Colorado Boulder; University of Colorado System; University of Colorado Boulder</t>
  </si>
  <si>
    <t>Schneider, DP (corresponding author), Natl Ctr Atmospher Res, Climate &amp; Global Dynam Lab, POB 3000, Boulder, CO 80307 USA.;Schneider, DP (corresponding author), Univ Colorado, Cooperat Inst Res Environm Sci, Boulder, CO 80309 USA.</t>
  </si>
  <si>
    <t>dschneid@ucar.edu</t>
  </si>
  <si>
    <t>Lenaerts, Jan/D-9423-2012; KAY, JENNIFER/C-6042-2012; Schneider, David/E-2726-2010</t>
  </si>
  <si>
    <t>Lenaerts, Jan/0000-0003-4309-4011; KAY, JENNIFER/0000-0002-3625-5377; Schneider, David/0000-0001-5308-1834</t>
  </si>
  <si>
    <t>National Science Foundation (NSF) [1643484]; NSF [163493]; National Science Foundation; National Center for Atmospheric Research - National Science Foundation [1852977]</t>
  </si>
  <si>
    <t>National Science Foundation (NSF)(National Science Foundation (NSF)); NSF(National Science Foundation (NSF)); National Science Foundation(National Science Foundation (NSF)); National Center for Atmospheric Research - National Science Foundation</t>
  </si>
  <si>
    <t>The CESM1 Large Ensemble control experiment is available from the Climate Data Gateway at NCAR. The CLDMOD control simulation, published in a previous study, is available on the HPSS at NCAR. The low ozone experiments are available through the authors. DPS acknowledges salary and travel support from National Science Foundation (NSF) grant 1643484. JEK acknowledges support from NSF grant 163493. We would also like to acknowledge high-performance computing support from Cheyenne (10.5065/d6rx99hx) provided by NCAR's Computational and Information Systems Laboratory, sponsored by the National Science Foundation. This material is based upon work supported by the National Center for Atmospheric Research, which is a major facility sponsored by the National Science Foundation under Cooperative Agreement no. 1852977. The authors thank Dr. Clara Deser for discussion of these results and for a constructive review of a draft version of this manuscript. The authors also thank two anonymous reviewers for constructive reviews.</t>
  </si>
  <si>
    <t>5-6</t>
  </si>
  <si>
    <t>10.1007/s00382-020-05346-8</t>
  </si>
  <si>
    <t>MO1GO</t>
  </si>
  <si>
    <t>WOS:000546501200001</t>
  </si>
  <si>
    <t>Rockwood, RC; Elliott, ML; Saenz, B; Nur, N; Jahncke, J</t>
  </si>
  <si>
    <t>Rockwood, R. Cotton; Elliott, Meredith L.; Saenz, Benjamin; Nur, Nadav; Jahncke, Jaime</t>
  </si>
  <si>
    <t>Modeling predator and prey hotspots: Management implications of baleen whale co-occurrence with krill in Central California</t>
  </si>
  <si>
    <t>EUPHAUSIA-PACIFICA; ANTARCTIC KRILL; EL-NINO; FEEDING PERFORMANCE; SHIP STRIKES; BLUE WHALES; VARIABILITY; ECOSYSTEM; HABITAT; CLIMATE</t>
  </si>
  <si>
    <t>As global ocean-bound commerce increases, managing human activities has become important in reducing conflict with threatened wildlife. This study investigates environmental factors determining abundance and distribution of blue whales (Balaenoptera musculus), humpback whales (Megaptera novaeangliae) and their prey (Euphausia pacificaandThysanoessa spinifera) in central California. We provide insights into environmental drivers of the ecology and distribution of these species, model whale distributions and determine coincident hotspots of whales and their prey that will help decrease human threats to whales and protect critical feeding habitat. We developed separate predictive models of whale abundances (using negative binomial regression on count data) and krill abundance (using a two-part hurdlemodel combining logistic and negative binomial regressions) over a 14 year period (2004-2017). Variables includedin situsurface and midwater oceanographic measures (temperature, salinity, and fluorescence), basin-scale climate indices, and bathymetric- and distance-related data. Predictions were applied to 1 km(2)cells spanning the study area for May, June, July, and September during each of the 14 years of surveys to identify persistent distribution patterns. Both whales and krill were found to consistently use the northeast region of Cordell Bank, the Farallon Escarpment, and the shelf-break waters. The main identified blue whale hotspots were also krill hotspots, while co-occurrence was more limited and varied seasonally for humpback whales and krill. These results are valuable in identifying patterns in important areas of ecological interaction to assist management of whales. Areas north of Cordell Bank are of particular management concern since they overlap with the end of the San Francisco Bay northern shipping lane. Our findings can help decrease threats to whales, particularly in important foraging areas, by supporting implementation of vessel management and informing potential conflicts with other human uses.</t>
  </si>
  <si>
    <t>[Rockwood, R. Cotton; Elliott, Meredith L.; Nur, Nadav; Jahncke, Jaime] Point Blue Conservat Sci, Petaluma, CA 94954 USA; [Saenz, Benjamin] Biota Earth, Berkeley, CA USA</t>
  </si>
  <si>
    <t>Rockwood, RC (corresponding author), Point Blue Conservat Sci, Petaluma, CA 94954 USA.</t>
  </si>
  <si>
    <t>crockwood@pointblue.org</t>
  </si>
  <si>
    <t>Jahncke, Jaime/0000-0002-2896-6101; Rockwood, R. Cotton/0000-0002-1231-4221; Elliott, Meredith/0009-0000-1615-4459</t>
  </si>
  <si>
    <t>Bently Foundation; Boring Family Foundation; California Sea Grant; Elinor Paterson Baker Trust; Faucett Catalyst Fund; Firedoll Foundation; Hellman Family Foundation; Marisla Foundation; Thelma Doelger Trust for Animals; Moore Family Foundation; National Fish and Wildlife Foundation; Gordon and Betty Moore Foundation; Resources Legacy Fund; Wendy P. McCaw Foundation; Battery Powered Grant</t>
  </si>
  <si>
    <t>Bently Foundation; Boring Family Foundation; California Sea Grant; Elinor Paterson Baker Trust; Faucett Catalyst Fund; Firedoll Foundation; Hellman Family Foundation; Marisla Foundation; Thelma Doelger Trust for Animals; Moore Family Foundation; National Fish and Wildlife Foundation; Gordon and Betty Moore Foundation(Gordon and Betty Moore Foundation); Resources Legacy Fund; Wendy P. McCaw Foundation; Battery Powered Grant</t>
  </si>
  <si>
    <t>Funding was provided by the Bently Foundation, Boring Family Foundation, California Sea Grant, Elinor Paterson Baker Trust, Faucett Catalyst Fund, Firedoll Foundation, Hellman Family Foundation, Marisla Foundation, Thelma Doelger Trust for Animals, Moore Family Foundation, National Fish and Wildlife Foundation, Gordon and Betty Moore Foundation, Resources Legacy Fund, Wendy P. McCaw Foundation, Battery Powered Grant and individual Point Blue donors. BS was contracted using funds from the above entities to process ACCESS cruise echosounder data for quantification of krill biomass. The funders provided support in the form of funding for the ACCESS program and salaries for authors RCR, MLE, NN and JJ, but did not have any additional role in the study design, data collection and analysis, decision to publish, or preparation of the manuscript. The specific roles of all authors are articulated in the `author contributions' section.</t>
  </si>
  <si>
    <t>JUL 7</t>
  </si>
  <si>
    <t>e0235603</t>
  </si>
  <si>
    <t>10.1371/journal.pone.0235603</t>
  </si>
  <si>
    <t>MN1ZE</t>
  </si>
  <si>
    <t>WOS:000550645600009</t>
  </si>
  <si>
    <t>Rinaldi, M; Paglione, M; Decesari, S; Harrison, RM; Beddows, DCS; Ovadnevaite, J; Ceburnis, D; O'Dowd, CD; Simó, R; Dall'Osto, M</t>
  </si>
  <si>
    <t>Rinaldi, Matteo; Paglione, Marco; Decesari, Stefano; Harrison, Roy M.; Beddows, David C. S.; Ovadnevaite, Jurgita; Ceburnis, Darius; O'Dowd, Colin D.; Simo, Rafel; Dall'Osto, Manuel</t>
  </si>
  <si>
    <t>Contribution of Water-Soluble Organic Matter from Multiple Marine Geographic Eco-Regions to Aerosols around Antarctica</t>
  </si>
  <si>
    <t>ENVIRONMENTAL SCIENCE &amp; TECHNOLOGY</t>
  </si>
  <si>
    <t>SIZE-SEGREGATED AEROSOL; SEA-SALT AEROSOL; CLOUD CONDENSATION NUCLEI; ADELIE PENGUIN ROOKERIES; BOUNDARY-LAYER AEROSOL; DICARBOXYLIC-ACIDS; BLOWING SNOW; OXALIC-ACID; OCEANIC PHYTOPLANKTON; ATMOSPHERIC AEROSOLS</t>
  </si>
  <si>
    <t>We present shipborne measurements of size-resolved concentrations of aerosol components across ocean waters next to the Antarctic Peninsula, South Orkney Islands, and South Georgia Island, evidencing aerosol features associated with distinct eco-regions. Nonmethanesulfonic acid Water-Soluble Organic Matter (WSOM) represented 6-8% and 11-22% of the aerosol PM1 mass originated in open ocean (OO) and sea ice (SI) regions, respectively. Other major components included sea salt (86-88% OO, 24-27% SI), non sea salt sulfate (3-4% OO, 35-40% SI), and MSA (1-2% OO, 11-12% SI). The chemical composition of WSOM encompasses secondary organic components with diverse behaviors: while alkylamine concentrations were higher in SI air masses, oxalic acid showed higher concentrations in the open ocean air. Our online single-particle mass spectrometry data exclude a widespread source from sea bird colonies, while the secondary production of oxalic acid and sulfur-containing organic species via cloud processing is suggested. We claim that the potential impact of the sympagic planktonic ecosystem on aerosol composition has been overlooked in past studies, and multiple eco-regions act as distinct aerosol sources around Antarctica.</t>
  </si>
  <si>
    <t>[Simo, Rafel; Dall'Osto, Manuel] Passeig Maritim Barceloneta, Inst Marine Sci, E-08003 Barcelona, Spain; [Rinaldi, Matteo; Paglione, Marco; Decesari, Stefano] CNR, Inst Atmospher Sci &amp; Climate, I-40129 Bologna, Italy; [Harrison, Roy M.; Beddows, David C. S.] Univ Birmingham, Natl Ctr Atmospher Sci, Birmingham B15 2TT, W Midlands, England; [Ovadnevaite, Jurgita; Ceburnis, Darius; O'Dowd, Colin D.] Natl Univ Ireland Galway, Sch Phys, Ryan Inst, Galway H91 TK33, Ireland; [Ovadnevaite, Jurgita; Ceburnis, Darius; O'Dowd, Colin D.] Natl Univ Ireland Galway, Ctr Climate &amp; Air Pollut Studies, Ryan Inst, Galway H91 TK33, Ireland</t>
  </si>
  <si>
    <t>Consejo Superior de Investigaciones Cientificas (CSIC); CSIC - Centro Mediterraneo de Investigaciones Marinas y Ambientales (CMIMA); CSIC - Instituto de Ciencias del Mar (ICM); Consiglio Nazionale delle Ricerche (CNR); Istituto di Scienze dell'Atmosfera e del Clima (ISAC-CNR); University of Birmingham; UK Research &amp; Innovation (UKRI); Natural Environment Research Council (NERC); NERC National Centre for Atmospheric Science</t>
  </si>
  <si>
    <t>Dall'Osto, M (corresponding author), Passeig Maritim Barceloneta, Inst Marine Sci, E-08003 Barcelona, Spain.</t>
  </si>
  <si>
    <t>dallosto@icm.csic.es</t>
  </si>
  <si>
    <t>Paglione, Marco/J-9760-2012; rinaldi, matteo/K-6083-2012; Ceburnis, Darius/C-1293-2012; Beddows, David/ABA-7223-2021; Harrison, Roy Michael/A-2256-2008; O'Dowd, Colin D/K-8904-2012; Ovadnevaite, Jurgita/B-6203-2018; Decesari, Stefano/B-9588-2015; dallosto, manuel/G-3584-2016</t>
  </si>
  <si>
    <t>Paglione, Marco/0000-0002-4423-2570; Beddows, David/0000-0001-9277-2099; O'Dowd, Colin D/0000-0002-3068-2212; Ovadnevaite, Jurgita/0000-0001-7201-0118; Decesari, Stefano/0000-0001-6486-3786; Simo, Rafel/0000-0003-3276-7663; Harrison, Roy/0000-0002-2684-5226; dallosto, manuel/0000-0003-4203-894X</t>
  </si>
  <si>
    <t>Spanish Ministry of Economy through project BIO-NUC [CGL2013-49020-R]; Spanish Ministry of Economy through PI-ICE [CTM2017-89117-R]; Spanish Ministry of Economy through Ramon y Cajal fellowship [RYC-2012-11922]; EU though the FP7-PEOPLE-2013-IOF programme [624680]; PEGASO [CTM2012-37615]; UK Natural Environment Research Council</t>
  </si>
  <si>
    <t>Spanish Ministry of Economy through project BIO-NUC; Spanish Ministry of Economy through PI-ICE; Spanish Ministry of Economy through Ramon y Cajal fellowship; EU though the FP7-PEOPLE-2013-IOF programme; PEGASO; UK Natural Environment Research Council(UK Research &amp; Innovation (UKRI)Natural Environment Research Council (NERC))</t>
  </si>
  <si>
    <t>The study was supported by the Spanish Ministry of Economy through project BIO-NUC (CGL2013-49020-R), PI-ICE (CTM2017-89117-R) and the Ramon y Cajal fellowship (RYC-2012-11922), and by the EU though the FP7-PEOPLE-2013-IOF programme (Project number 624680, MANU Marine Aerosol NUcleations), all to M.D., and PEGASO (CTM2012-37615) to R.S. We wish to thank the Spanish Armada, and particularly the captains and crew of the BIO A33 Hesperides, for their invaluable collaboration. We are also indebted to the UTM, and especially Miki Ojeda, for logistic and technical support. The Spanish Antarctic Programme and Polar Committee provided context and advice. The National Centre for Atmospheric Science NCAS Birmingham group is funded by the UK Natural Environment Research Council. The whole PEGASO team is also acknowledged.</t>
  </si>
  <si>
    <t>0013-936X</t>
  </si>
  <si>
    <t>1520-5851</t>
  </si>
  <si>
    <t>ENVIRON SCI TECHNOL</t>
  </si>
  <si>
    <t>Environ. Sci. Technol.</t>
  </si>
  <si>
    <t>10.1021/acs.est.0c00695</t>
  </si>
  <si>
    <t>Engineering, Environmental; Environmental Sciences</t>
  </si>
  <si>
    <t>Engineering; Environmental Sciences &amp; Ecology</t>
  </si>
  <si>
    <t>MK1ZG</t>
  </si>
  <si>
    <t>WOS:000548584900013</t>
  </si>
  <si>
    <t>Pineda-Metz, SEA; Gerdes, D; Richter, C</t>
  </si>
  <si>
    <t>Pineda-Metz, Santiago E. A.; Gerdes, Dieter; Richter, Claudio</t>
  </si>
  <si>
    <t>Benthic fauna declined on a whitening Antarctic continental shelf (vol 11, 2226, 2020)</t>
  </si>
  <si>
    <t>NATURE COMMUNICATIONS</t>
  </si>
  <si>
    <t>Pineda Metz, Santiago Esteban Agustin/AAB-4814-2022</t>
  </si>
  <si>
    <t>Pineda Metz, Santiago Esteban Agustin/0000-0001-7780-6449; Richter, Claudio/0000-0002-8182-6896</t>
  </si>
  <si>
    <t>2041-1723</t>
  </si>
  <si>
    <t>NAT COMMUN</t>
  </si>
  <si>
    <t>Nat. Commun.</t>
  </si>
  <si>
    <t>10.1038/s41467-020-17152-1</t>
  </si>
  <si>
    <t>MJ8AK</t>
  </si>
  <si>
    <t>WOS:000548310200002</t>
  </si>
  <si>
    <t>Yoshida, K; Seger, A; Kennedy, F; McMinn, A; Suzuki, K</t>
  </si>
  <si>
    <t>Yoshida, Kazuhiro; Seger, Andreas; Kennedy, Fraser; McMinn, Andrew; Suzuki, Koji</t>
  </si>
  <si>
    <t>Freezing, Melting, and Light Stress on the Photophysiology of Ice Algae: Ex Situ Incubation of the Ice Algal diatomFragilariopsis cylindrus(Bacillariophyceae) Using an Ice Tank</t>
  </si>
  <si>
    <t>JOURNAL OF PHYCOLOGY</t>
  </si>
  <si>
    <t>active chlafluorescence; algal pigments; ice tank incubation; photoprotection; psbA; rbcL; sea ice</t>
  </si>
  <si>
    <t>DIATOM PHAEODACTYLUM-TRICORNUTUM; SEA-ICE; ARCTIC-OCEAN; PHOTOSYNTHETIC EFFICIENCY; PHAEOCYSTIS-ANTARCTICA; COMMUNITY STRUCTURE; PIGMENT COMPOSITION; IRON AVAILABILITY; CARBON FIXATION; PHOTOSYSTEM-II</t>
  </si>
  <si>
    <t>Sea ice algae contribute up to 25% of the primary productivity of polar seas and seed large-scale ice-edge blooms. Fluctuations in temperature, salinity, and light associated with the freeze/thaw cycle can significantly impact the photophysiology of ice-associated taxa. The effects of multiple co-stressors (i.e., freezing temperature and high brine salinity or sudden high light exposure) on the photophysiology of ice algae were investigated in a series of ice tank experiments with the polar diatomFragilariopsis cylindrusunder different light intensities. When algal cells were frozen into the ice, the maximum quantum yield of photosystem II photochemistry (PSII;F-v/F-m) decreased possibly due to the damage of PSII reaction centers and/or high brine salinity stress suppressing the reduction capacity downstream of PSII. Expression of therbcL gene was highly up-regulated, suggesting that cells initiated strategies to enhance survival upon freezing in. Algae contained within the ice-matrix displayed similar levels ofF(v)/F(m)regardless of the light treatments. Upon melting out, cells were exposed to high light (800 mu mol photons center dot m(-2) center dot s(-1)), resulting in a rapid decline inF(v)/F(m)and significant up-regulation of non-photochemical quenching (NPQ). These results suggest that ice algae employed safety valves (i.e., NPQ) to maintain their photosynthetic capability during the sudden environmental changes. Our results infer that sea ice algae are highly adaptable when exposed to multiple co-stressors and that their success can, in part, be explained by the ability to rapidly modify their photosynthetic competence - a key factor contributing to algal bloom formation in the polar seas.</t>
  </si>
  <si>
    <t>[Yoshida, Kazuhiro] Hokkaido Univ, Grad Sch Environm Sci, Kita Ku, North 10 West 5, Sapporo, Hokkaido 0600810, Japan; [Yoshida, Kazuhiro; Seger, Andreas; Kennedy, Fraser; McMinn, Andrew] Univ Tasmania, Inst Marine &amp; Antarctic Studies, 20 Castray Esplanade, Hobart, Tas 7004, Australia; [Seger, Andreas] South Australian Res &amp; Dev Inst, 2b Hartley Grove, Urrbrae, SA 5064, Australia; [Suzuki, Koji] Hokkaido Univ, Fac Environm Earth Sci, Kita Ku, North 10 West 5, Sapporo, Hokkaido 0600810, Japan</t>
  </si>
  <si>
    <t>Hokkaido University; University of Tasmania; South Australian Research &amp; Development Institute (SARDI); Hokkaido University</t>
  </si>
  <si>
    <t>McMinn, A (corresponding author), Univ Tasmania, Inst Marine &amp; Antarctic Studies, 20 Castray Esplanade, Hobart, Tas 7004, Australia.</t>
  </si>
  <si>
    <t>andrw.mcminn@utas.edu.au</t>
  </si>
  <si>
    <t>Suzuki, Koji/AAD-2630-2022; Yoshida, Kazuhiro/AAG-8324-2021; Kennedy, Fraser/M-5145-2019; McMinn, Andrew/A-9910-2008; Suzuki, Koji/A-4349-2013; Suzuki, Koji/GVS-9807-2022; Yoshida, Kazuhiro/AFT-5503-2022; Seger, Andreas/AAH-4093-2019</t>
  </si>
  <si>
    <t>Yoshida, Kazuhiro/0000-0001-5768-8561; Kennedy, Fraser/0000-0003-1796-0764; Suzuki, Koji/0000-0001-5354-1044; Suzuki, Koji/0000-0001-5354-1044; Yoshida, Kazuhiro/0000-0001-5768-8561; Seger, Andreas/0000-0001-7018-0455; McMinn, Andrew/0000-0002-2133-3854</t>
  </si>
  <si>
    <t>Australian Antarctic Science Program [AAS4319]; JSPS [JP18H03352, JP17H00775]</t>
  </si>
  <si>
    <t>Australian Antarctic Science Program; JSPS(Ministry of Education, Culture, Sports, Science and Technology, Japan (MEXT)Japan Society for the Promotion of Science)</t>
  </si>
  <si>
    <t>We greatly appreciate the valuable comments provided by the anonymous reviewers. Thanks to Ms. Akiko Kamimura for her support in pigment analysis. We appreciate Prof. Philip Boyd for providing his benchtop FRRf. This research was partly supported by Australian Antarctic Science Program (AAS4319) and JSPS Grants-in-Aid for Scientific Research (JP18H03352, JP17H00775).</t>
  </si>
  <si>
    <t>0022-3646</t>
  </si>
  <si>
    <t>1529-8817</t>
  </si>
  <si>
    <t>J PHYCOL</t>
  </si>
  <si>
    <t>J. Phycol.</t>
  </si>
  <si>
    <t>10.1111/jpy.13036</t>
  </si>
  <si>
    <t>Plant Sciences; Marine &amp; Freshwater Biology</t>
  </si>
  <si>
    <t>OE7VV</t>
  </si>
  <si>
    <t>WOS:000545637300001</t>
  </si>
  <si>
    <t>Shene, C; Paredes, P; Flores, L; Leyton, A; Asenjo, JA; Chisti, Y</t>
  </si>
  <si>
    <t>Shene, Carolina; Paredes, Paris; Flores, Liset; Leyton, Allison; Asenjo, Juan A.; Chisti, Yusuf</t>
  </si>
  <si>
    <t>Dynamic flux balance analysis of biomass and lipid production by Antarctic thraustochytrid Oblongichytrium sp. RT2316-13</t>
  </si>
  <si>
    <t>BIOTECHNOLOGY AND BIOENGINEERING</t>
  </si>
  <si>
    <t>docosahexaenoic acid; flux balance analysis; genome-scale metabolic model; lipids; Oblongichytriumsp; thraustochytrids</t>
  </si>
  <si>
    <t>POLYUNSATURATED FATTY-ACIDS; DOCOSAHEXAENOIC ACID; SCHIZOCHYTRIUM; GROWTH; DHA; IDENTIFICATION; TEMPERATURE; METABOLISM; CONVERSION; CULTURE</t>
  </si>
  <si>
    <t>Production of biomass and lipids in batch cultures of the Antarctic thraustochytridOblongichytriumsp. RT2316-13, is reported. The microorganism proved capable of producing nearly 67% docosahexaenoic acid (DHA) and 15% eicosapentaenoic acid (EPA) in its total lipid fraction. Biomass with a maximum total lipid content of 33.5% (wt/wt) could be produced at 15 degrees C in batch culture using a medium containing glucose (20 g/L), yeast extract (10.5 g/L), and other minor components. A lower culture temperature (5 degrees C) reduced biomass and lipid productivities compared to culture at 15 degrees C, but enhanced the DHA and EPA content of the lipids by 6.4- and 3.3-fold, respectively. Both a simple minimally structured mathematical model and a more complex genome-scale metabolic model (GEM) allowed the fermentation profiles in batch cultures to be satisfactorily simulated, but the GEM provided much greater insight in the biochemical and physiological phenomena underlying the observed behavior. Unlike the simpler model, the GEM could be interrogated for the possible effects of various external factors such as oxygen supply, on the expected outcomes. In silico predictions of oxygen effects were consistent with literature observations for DHA producing thraustochytrids.</t>
  </si>
  <si>
    <t>[Shene, Carolina; Paredes, Paris; Flores, Liset; Leyton, Allison] Univ La Frontera, Dept Chem Engn, Ctr Food Biotechnol &amp; Bioseparat BIOREN, Ave Francisco Salazar 01145, Temuco, Chile; [Shene, Carolina; Paredes, Paris; Flores, Liset; Leyton, Allison] Univ La Frontera, Ctr Biotechnol &amp; Bioengn CeBiB, Ave Francisco Salazar 01145, Temuco, Chile; [Asenjo, Juan A.] Univ Chile, Ctr Biotechnol &amp; Bioengn CeBiB, Dept Chem Engn &amp; Biotechnol, Santiago, Chile; [Chisti, Yusuf] Massey Univ, Sch Engn, Palmerston North, New Zealand</t>
  </si>
  <si>
    <t>Universidad de La Frontera; Universidad de La Frontera; Universidad de Chile; Massey University</t>
  </si>
  <si>
    <t>Shene, C (corresponding author), Univ La Frontera, Dept Chem Engn, Ctr Food Biotechnol &amp; Bioseparat BIOREN, Ave Francisco Salazar 01145, Temuco, Chile.;Shene, C (corresponding author), Univ La Frontera, Ctr Biotechnol &amp; Bioengn CeBiB, Ave Francisco Salazar 01145, Temuco, Chile.</t>
  </si>
  <si>
    <t>carolina.shene@ufrontera.cl</t>
  </si>
  <si>
    <t>Asenjo, Juan JAA/L-8336-2013; Chisti, Mohammad Muhsin/T-7760-2017</t>
  </si>
  <si>
    <t>Chisti, Mohammad Muhsin/0000-0002-2676-9577; Chisti, Yusuf/0000-0002-0826-7012; Leyton, Allison/0000-0002-8665-267X</t>
  </si>
  <si>
    <t>Instituto Antartico Chileno (INACH) project Inach, Chile [RT 23-16]; National Fund for Scientific and Technological Development (Fondecyt), Chile [3170610]; Direccion de Investigacion, Universidad de La Frontera (GAP); Centre for Biotechnology and Bioengineering (CeBiB) (Conicyt) [FB-0001]</t>
  </si>
  <si>
    <t>Instituto Antartico Chileno (INACH) project Inach, Chile; National Fund for Scientific and Technological Development (Fondecyt), Chile(Comision Nacional de Investigacion Cientifica y Tecnologica (CONICYT)CONICYT FONDECYT); Direccion de Investigacion, Universidad de La Frontera (GAP); Centre for Biotechnology and Bioengineering (CeBiB) (Conicyt)(Comision Nacional de Investigacion Cientifica y Tecnologica (CONICYT))</t>
  </si>
  <si>
    <t>This study was supported by the following: Instituto Antartico Chileno (INACH) project Inach RT 23-16, Chile; National Fund for Scientific and Technological Development (Fondecyt postdoctoral project No. 3170610), Chile; Direccion de Investigacion, Universidad de La Frontera (GAP funding and undergraduate program); and the Centre for Biotechnology and Bioengineering (CeBiB) (Conicyt grant FB-0001).</t>
  </si>
  <si>
    <t>0006-3592</t>
  </si>
  <si>
    <t>1097-0290</t>
  </si>
  <si>
    <t>BIOTECHNOL BIOENG</t>
  </si>
  <si>
    <t>Biotechnol. Bioeng.</t>
  </si>
  <si>
    <t>10.1002/bit.27463</t>
  </si>
  <si>
    <t>NM3PG</t>
  </si>
  <si>
    <t>WOS:000545606500001</t>
  </si>
  <si>
    <t>Krumpen, T; Birrien, F; Kauker, F; Rackow, T; von Albedyll, L; Angelopoulos, M; Belter, HJ; Bessonov, V; Damm, E; Dethloff, K; Haapala, J; Haas, C; Harris, C; Hendricks, S; Hoelemann, J; Hoppmann, M; Kaleschke, L; Karcher, M; Kolabutin, N; Lei, RB; Lenz, J; Morgenstern, A; Nicolaus, M; Nixdorf, U; Petrovsky, T; Rabe, B; Rabenstein, L; Rex, M; Ricker, R; Rohde, J; Shimanchuk, E; Singha, S; Smolyanitsky, V; Sokolov, V; Stanton, T; Timofeeva, A; Tsamados, M; Watkins, D</t>
  </si>
  <si>
    <t>Krumpen, Thomas; Birrien, Florent; Kauker, Frank; Rackow, Thomas; von Albedyll, Luisa; Angelopoulos, Michael; Belter, H. Jakob; Bessonov, Vladimir; Damm, Ellen; Dethloff, Klaus; Haapala, Jari; Haas, Christian; Harris, Carolynn; Hendricks, Stefan; Hoelemann, Jens; Hoppmann, Mario; Kaleschke, Lars; Karcher, Michael; Kolabutin, Nikolai; Lei, Ruibo; Lenz, Josene; Morgenstern, Anne; Nicolaus, Marcel; Nixdorf, Uwe; Petrovsky, Tomash; Rabe, Benjamin; Rabenstein, Lasse; Rex, Markus; Ricker, Robert; Rohde, Jan; Shimanchuk, Egor; Singha, Suman; Smolyanitsky, Vasily; Sokolov, Vladimir; Stanton, Tim; Timofeeva, Anna; Tsamados, Michel; Watkins, Daniel</t>
  </si>
  <si>
    <t>The MOSAiC ice floe: sediment-laden survivor from the Siberian shelf</t>
  </si>
  <si>
    <t>THICKNESS DISTRIBUTION; SEA; VARIABILITY; EXPORT; MODEL</t>
  </si>
  <si>
    <t>In September 2019, the research icebreaker Polarstern started the largest multidisciplinary Arctic expedition to date, the MOSAiC (Multidisciplinary drifting Observatory for the Study of Arctic Climate) drift experiment. Being moored to an ice floe for a whole year, thus including the winter season, the declared goal of the expedition is to better understand and quantify relevant processes within the atmosphere-ice-ocean system that impact the sea ice mass and energy budget, ultimately leading to much improved climate models. Satellite observations, atmospheric reanalysis data, and readings from a nearby meteorological station indicate that the interplay of high ice export in late winter and exceptionally high air temperatures resulted in the longest ice-free summer period since reliable instrumental records began. We show, using a Lagrangian tracking tool and a thermodynamic sea ice model, that the MOSAiC floe carrying the Central Observatory (CO) formed in a polynya event north of the New Siberian Islands at the beginning of December 2018. The results further indicate that sea ice in the vicinity of the CO ( &lt; 40 km distance) was younger and 36 % thinner than the surrounding ice with potential consequences for ice dynamics and momentum and heat transfer between ocean and atmosphere. Sea ice surveys carried out on various reference floes in autumn 2019 verify this gradient in ice thickness, and sediments discovered in ice cores (so-called dirty sea ice) around the CO confirm contact with shallow waters in an early phase of growth, consistent with the tracking analysis. Since less and less ice from the Siberian shelves survives its first summer (Krumpen et al., 2019), the MOSAiC experiment provides the unique opportunity to study the role of sea ice as a transport medium for gases, macronutrients, iron, organic matter, sediments and pollutants from shelf areas to the central Arctic Ocean and beyond. Compared to data for the past 26 years, the sea ice encountered at the end of September 2019 can already be classified as exceptionally thin, and further predicted changes towards a seasonally ice-free ocean will likely cut off the long-range transport of ice-rafted materials by the Transpolar Drift in the future. A reduced long-range transport of sea ice would have strong implications for the redistribution of biogeochemical matter in the central Arctic Ocean, with consequences for the balance of climate-relevant trace gases, primary production and biodiversity in the Arctic Ocean.</t>
  </si>
  <si>
    <t>[Krumpen, Thomas; Birrien, Florent; Kauker, Frank; Rackow, Thomas; von Albedyll, Luisa; Angelopoulos, Michael; Belter, H. Jakob; Damm, Ellen; Dethloff, Klaus; Haas, Christian; Hendricks, Stefan; Hoelemann, Jens; Hoppmann, Mario; Kaleschke, Lars; Karcher, Michael; Lenz, Josene; Morgenstern, Anne; Nicolaus, Marcel; Nixdorf, Uwe; Rabe, Benjamin; Rex, Markus; Ricker, Robert; Rohde, Jan] Alfred Wegener Inst, Helmholtz Ctr Polar &amp; Marine Res, Handelshafen 12, D-27570 Bremerhaven, Germany; [Bessonov, Vladimir; Kolabutin, Nikolai; Petrovsky, Tomash; Shimanchuk, Egor; Smolyanitsky, Vasily; Sokolov, Vladimir; Timofeeva, Anna] Arctic &amp; Antarctic Res Inst, Ulitsa Beringa 38, St Petersburg 199397, Russia; [Haapala, Jari] Finnish Meteorol Inst, Marine Res, POB 503, Helsinki 00101, Finland; [Harris, Carolynn] Dartmouth Coll, Dept Earth Sci, 6105 Fairchild Hall, Hanover, NH 03755 USA; [Lei, Ruibo] Polar Res Inst China, MNR Key Lab Polar Sci, 451 Jinqiao Rd, Shanghai 200136, Peoples R China; [Lenz, Josene] Alfred Wegener Inst Polar &amp; Marine Res, Assoc Polar Early Career Scientists, Telegrafenberg A45, D-14473 Potsdam, Germany; [Rabenstein, Lasse] Drift &amp; Noise Polar Serv, Stavendamm 17, D-28195 Bremen, Germany; [Singha, Suman] German Aerosp Ctr, Remote Sensing Technol Inst, SAR Signal Proc, Fallturm 9, D-28359 Bremen, Germany; [Stanton, Tim] Naval Postgrad Sch, Oceanog Dept, 833 Dyer Rd,Bldg 232, Monterey, CA 93943 USA; [Tsamados, Michel] UCL, Ctr Polar Observat &amp; Modelling, Dept Earth Sci, 5 Gower Pl, London WC1E 6BS, England; [Watkins, Daniel] Oregon State Univ, Coll Earth Ocean &amp; Atmospher Sci, Corvallis, OR 97331 USA</t>
  </si>
  <si>
    <t>Helmholtz Association; Alfred Wegener Institute, Helmholtz Centre for Polar &amp; Marine Research; Arctic &amp; Antarctic Research Institute; Finnish Meteorological Institute; Dartmouth College; Polar Research Institute of China; Helmholtz Association; Alfred Wegener Institute, Helmholtz Centre for Polar &amp; Marine Research; Helmholtz Association; German Aerospace Centre (DLR); United States Department of Defense; United States Navy; Naval Postgraduate School; University of London; University College London; Oregon State University</t>
  </si>
  <si>
    <t>Krumpen, T (corresponding author), Alfred Wegener Inst, Helmholtz Ctr Polar &amp; Marine Res, Handelshafen 12, D-27570 Bremerhaven, Germany.</t>
  </si>
  <si>
    <t>tkrumpen@awi.de</t>
  </si>
  <si>
    <t>Nicolaus, Marcel/A-3658-2013; Rabe, Benjamin/G-2999-2011; Morgenstern, Anne/N-3648-2015; Angelopoulos, Michael/CAH-1518-2022; Rex, Markus/A-6054-2009; Hoppmann, Mario/KFB-0363-2024; Rackow, Thomas/AAP-2735-2020; Harris, Carolynn M/JGE-0373-2023; Ricker, Robert/Z-4214-2019; Smolyanitsky, Vasily/K-2464-2015; von Albedyll, Luisa/ABA-7142-2020; Hendricks, Stefan/D-5168-2011; Timofeeva, Anna/ITV-2270-2023; Krumpen, Thomas/D-5163-2011; Haas, Christian/L-5279-2016; Kolabutin, Nikolay/G-7252-2015; Hoelemann, Jens/N-3608-2016</t>
  </si>
  <si>
    <t>Nicolaus, Marcel/0000-0003-0903-1746; Rabe, Benjamin/0000-0001-5794-9856; Morgenstern, Anne/0000-0002-6466-7571; Rex, Markus/0000-0001-7847-8221; Hoppmann, Mario/0000-0003-1294-9531; Rackow, Thomas/0000-0002-5468-575X; Harris, Carolynn M/0000-0002-8254-556X; Ricker, Robert/0000-0001-6928-7757; Smolyanitsky, Vasily/0000-0002-8087-0393; Hendricks, Stefan/0000-0002-1412-3146; Timofeeva, Anna/0000-0002-0566-6149; Krumpen, Thomas/0000-0001-6234-8756; Haas, Christian/0000-0002-7674-3500; Damm, Ellen/0000-0002-1487-1283; Bunger, H. Jakob/0000-0001-9383-911X; Kolabutin, Nikolay/0000-0002-4107-5223; Watkins, Daniel/0000-0003-3173-152X; von Albedyll, Luisa/0000-0002-6768-0368; Karcher, Michael/0000-0002-9587-811X; Angelopoulos, Michael/0000-0003-2574-5108; Kauker, Frank/0000-0002-7976-3005; Hoelemann, Jens/0000-0001-5102-4086</t>
  </si>
  <si>
    <t>German Ministry for Education and Research [03F0777A, 63A0028B]; German Aerospace Center [AO OCE3562]; German Minsitry for Education and Research [MOSAiC20192020]; EU H2020 [640161]; European Space Agency [AO/1-6772/11/I-AM]; NERC [cpom30001, NE/T009470/1] Funding Source: UKRI</t>
  </si>
  <si>
    <t>German Ministry for Education and Research(Federal Ministry of Education &amp; Research (BMBF)); German Aerospace Center(Helmholtz AssociationGerman Aerospace Centre (DLR)); German Minsitry for Education and Research; EU H2020(Horizon 2020); European Space Agency(European Space Agency); NERC(UK Research &amp; Innovation (UKRI)Natural Environment Research Council (NERC))</t>
  </si>
  <si>
    <t>This research has been supported by the German Ministry for Education and Research (grant no. 03F0777A), the German Ministry for Education and Research (grant no. 63A0028B), the German Aerospace Center (grant no. AO OCE3562), the German Minsitry for Education and Research (MOSAiC20192020), the EU H2020 (grant no. 640161), and the European Space Agency (grant no. AO/1-6772/11/I-AM).</t>
  </si>
  <si>
    <t>JUL 6</t>
  </si>
  <si>
    <t>10.5194/tc-14-2173-2020</t>
  </si>
  <si>
    <t>MI5YF</t>
  </si>
  <si>
    <t>WOS:000547482300001</t>
  </si>
  <si>
    <t>Cavallo, C; Chiaradia, A; Deagle, BE; Hays, GC; Jarman, S; McInnes, JC; Ropert-Coudert, Y; Sánchez, S; Reina, RD</t>
  </si>
  <si>
    <t>Cavallo, Catherine; Chiaradia, Andre; Deagle, Bruce E.; Hays, Graeme C.; Jarman, Simon; McInnes, Julie C.; Ropert-Coudert, Yan; Sanchez, Sonia; Reina, Richard D.</t>
  </si>
  <si>
    <t>Quantifying prey availability using the foraging plasticity of a marine predator, the little penguin</t>
  </si>
  <si>
    <t>FUNCTIONAL ECOLOGY</t>
  </si>
  <si>
    <t>diet analysis; DNA barcoding; ecological indicators; eDNA; fish stock; foraging success; gelatinous plankton; phenotypic plasticity</t>
  </si>
  <si>
    <t>EUDYPTULA-MINOR; ENVIRONMENTAL VARIABLES; BREEDING SUCCESS; ADELIE PENGUINS; PHILLIP-ISLAND; UNIT EFFORT; DIET; ABUNDANCE; STRATEGIES; SEABIRDS</t>
  </si>
  <si>
    <t>1. Detecting changes in marine food webs is challenging, but top predators can provide information on lower trophic levels. However, many commonly measured predator responses can be decoupled from prey availability by plasticity in predator foraging effort. This can be overcome by directly measuring foraging effort and success and integrating these into a measure of foraging efficiency analogous to the catch per unit effort (CPUE) index employed by fisheries. 2. We extended existing CPUE methods so that they would be applicable to the study of generalist foragers, which introduce another layer of complexity through dietary plasticity. Using this method, we inferred species-specific patterns in prey availability and estimated taxon-specific biomass consumption. 3. We recorded foraging trip duration and body mass change of breeding little penguins Eudyptula minor and combined these with diet composition identified via non-invasive faecal DNA metabarcoding to derive CPUE indices for individual prey taxa. 4. We captured weekly patterns of availability of key fish prey in the penguins' diet and identified a major prey shift from sardine Sardinops sagax to red cod Pseudophycis bachus between years. In each year, predation on a dominant fish species (similar to 150 g/day) was replaced by greater diversity of fish in the diet as the breeding season progressed. We estimated that the colony extracted similar to 1,300 tonnes of biomass from their coastal ecosystem over two breeding seasons, including 219 tonnes of the commercially important sardine and 215 tonnes of red cod. 5. This enhanced pCPUE is applicable to most central-placed foragers and offers a valuable alternative to existing metrics. Informed prey-species biomass estimates extracted by apex and meso predators will be a useful input for mass-balance ecosystem models and for informing ecosystem-based management.</t>
  </si>
  <si>
    <t>[Cavallo, Catherine; Chiaradia, Andre; Sanchez, Sonia; Reina, Richard D.] Monash Univ, Sch Biol Sci, Clayton, Vic, Australia; [Chiaradia, Andre] Phillip Isl Nat Pk, Conservat Dept, Cowes, Vic, Australia; [Deagle, Bruce E.; McInnes, Julie C.] Australian Antarctic Div, Kingston, Tas, Australia; [Deagle, Bruce E.] CSIRO Natl Res Collect Australian Natl Fish Colle, Hobart, Tas, Australia; [Hays, Graeme C.] Deakin Univ, Sch Life &amp; Environm Sci, Ctr Integrat Ecol, Geelong, Vic, Australia; [Jarman, Simon] Univ Western Australia, Sch Biol Sci, Perth, WA, Australia; [McInnes, Julie C.] Univ Tasmania, Inst Marine &amp; Antarctic Studies, Hobart, Tas, Australia; [Ropert-Coudert, Yan] La Rochelle Univ, CNRS, Ctr Etud Biol Chize, UMR7372, Villiers En Bois, France</t>
  </si>
  <si>
    <t>Monash University; Australian Antarctic Division; Commonwealth Scientific &amp; Industrial Research Organisation (CSIRO); Deakin University; University of Western Australia; University of Tasmania; Centre National de la Recherche Scientifique (CNRS); CNRS - Institute of Ecology &amp; Environment (INEE)</t>
  </si>
  <si>
    <t>Cavallo, C; Chiaradia, A (corresponding author), Monash Univ, Sch Biol Sci, Clayton, Vic, Australia.;Chiaradia, A (corresponding author), Phillip Isl Nat Pk, Conservat Dept, Cowes, Vic, Australia.</t>
  </si>
  <si>
    <t>ccavallo.ecology@gmail.com; achiaradia@penguins.org.au</t>
  </si>
  <si>
    <t>Chiaradia, Andre/AAG-4928-2022; Chiaradia, Andre/AFK-6634-2022; McInnes, Julie C/C-2865-2014; Deagle, Bruce E/R-2999-2019; Jarman, Simon/H-9265-2016</t>
  </si>
  <si>
    <t>Chiaradia, Andre/0000-0002-6178-4211; Chiaradia, Andre/0000-0002-6178-4211; Deagle, Bruce E/0000-0001-7651-3687; Reina, Richard/0000-0002-6221-1300; Jarman, Simon/0000-0002-0792-9686; McInnes, Julie/0000-0001-8902-5199; Ropert-Coudert, Yan/0000-0001-6494-5300</t>
  </si>
  <si>
    <t>ARC Linkage Project [LP140100404]; Australian Research Council [LP140100404] Funding Source: Australian Research Council</t>
  </si>
  <si>
    <t>ARC Linkage Project(Australian Research Council); Australian Research Council(Australian Research Council)</t>
  </si>
  <si>
    <t>This work was supported by ARC Linkage Project grant LP140100404 awarded to R.D. R., A.C., G.C.H., Y.R.-C. and S. J.</t>
  </si>
  <si>
    <t>0269-8463</t>
  </si>
  <si>
    <t>1365-2435</t>
  </si>
  <si>
    <t>FUNCT ECOL</t>
  </si>
  <si>
    <t>Funct. Ecol.</t>
  </si>
  <si>
    <t>10.1111/1365-2435.13605</t>
  </si>
  <si>
    <t>MX2EY</t>
  </si>
  <si>
    <t>WOS:000545565200001</t>
  </si>
  <si>
    <t>Nazari, P; Poorjavad, N; Izadi, H</t>
  </si>
  <si>
    <t>Nazari, Parvaneh; Poorjavad, Nafiseh; Izadi, Hamzeh</t>
  </si>
  <si>
    <t>Simultaneous Occurrence of Diapause and Cold Hardiness in Overwintering Eggs of the Apple Oystershell Scale, Lepidosaphes Malicola Borchsenius (Hem.: Diaspididae)</t>
  </si>
  <si>
    <t>ZOOLOGICAL STUDIES</t>
  </si>
  <si>
    <t>Cold hardiness; Cold acclimation; Diapause; Apple</t>
  </si>
  <si>
    <t>MAMESTRA-BRASSICAE L.; CABBAGE ARMYWORM; WINTER DIAPAUSE; ANTARCTIC MIDGE; LARVAE; TOLERANCE; ACCLIMATION; SUMMER; BEETLE; PUPAE</t>
  </si>
  <si>
    <t>As the key pest of apple fruits, the oystershell scale, Lepidosaphes malicola Borchsenius (Hem.: Diaspididae), overwinters as diapausing eggs under the protective, waxy cover of females. In this research, the effects of diapause development, cold acclimation, and rapid cold hardening were studied on the cold hardiness of the eggs. The changes in some physiological components were also investigated. The results indicated cold exposure to be a prerequisite for the survival of the diapausing eggs of L. malicola. No eggs hatched without exposure to cold. In addition, a direct relationship was observed among cold hardiness, cold acclimation, and diapause of the eggs based on the results. The highest level of hatching (the highest cold hardiness) of the eggs (80%) occurred in the cold-acclimated eggs at the end of diapause (March). Rapid cold hardening also influenced the cold hardiness of the eggs with diapause development. At the end of diapause, the lowest (61%) and the highest (77%) rates of egg survival were observed when the eggs were exposed to 5 and -10 degrees C for 24 h, respectively. Cold hardiness of the diapausing eggs of L. malicola was also accompanied by some physiological changes, i.e., a decrease in glycogen content and an increase in simple sugar, lipid, and protein contents. The lowest glycogen content (about 50 mu g/g) and the highest amounts of total simple sugars (454 mu g/g) of lipids (542 mu g/g) and proteins (84 mu g/g) were observed in the cold-acclimated eggs at the end of diapause.</t>
  </si>
  <si>
    <t>[Nazari, Parvaneh; Poorjavad, Nafiseh] Isfahan Univ Technol, Dept Plant Protect, Coll Agr, POB 8415683111, Esfahan, Iran; [Izadi, Hamzeh] Vali E Asr Univ Rafsanjan, Dept Plant Protect, Fac Agr, Rafsanjan, Iran</t>
  </si>
  <si>
    <t>Isfahan University of Technology; Vali-e-Asr University of Rafsanjan</t>
  </si>
  <si>
    <t>Izadi, H (corresponding author), Vali E Asr Univ Rafsanjan, Dept Plant Protect, Fac Agr, Rafsanjan, Iran.</t>
  </si>
  <si>
    <t>parvanehnazari@ymail.com; npoorjavad@cc.iut.ac.ir; izadi@vru.ac.ir</t>
  </si>
  <si>
    <t>Izadi, Hamzeh/M-5212-2019</t>
  </si>
  <si>
    <t>Izadi, Hamzeh/0000-0002-9913-1283</t>
  </si>
  <si>
    <t>Isfahan University of Technology</t>
  </si>
  <si>
    <t>We thank the Isfahan University of Technology, Deputy of Research for the grant to Dr. Poorjavad.</t>
  </si>
  <si>
    <t>BIODIVERSITY RESEARCH CENTER, ACAD SINICA</t>
  </si>
  <si>
    <t>TAIPEI</t>
  </si>
  <si>
    <t>128 ACADEMIA RODA, SECTION 2, NANKANG, TAIPEI, 11529, TAIWAN</t>
  </si>
  <si>
    <t>1021-5506</t>
  </si>
  <si>
    <t>1810-522X</t>
  </si>
  <si>
    <t>ZOOL STUD</t>
  </si>
  <si>
    <t>Zool. Stud.</t>
  </si>
  <si>
    <t>10.6620/ZS.2020.59-25</t>
  </si>
  <si>
    <t>MG5FN</t>
  </si>
  <si>
    <t>WOS:000546057800001</t>
  </si>
  <si>
    <t>Flynn, CM; Mauritsen, T</t>
  </si>
  <si>
    <t>Flynn, Clare Marie; Mauritsen, Thorsten</t>
  </si>
  <si>
    <t>On the climate sensitivity and historical warming evolution in recent coupled model ensembles</t>
  </si>
  <si>
    <t>CONSTRAINTS</t>
  </si>
  <si>
    <t>The Earth's equilibrium climate sensitivity (ECS) to a doubling of atmospheric CO2, along with the transient climate response (TCR) and greenhouse gas emissions pathways, determines the amount of future warming. Coupled climate models have in the past been important tools to estimate and understand ECS. ECS estimated from Coupled Model Intercomparison Project Phase 5 (CMIP5) models lies between 2.0 and 4.7 K (mean of 3.2 K), whereas in the latest CMIP6 the spread has increased to 1.8-5.5 K (mean of 3.7 K), with 5 out of 25 models exceeding 5 K. It is thus pertinent to understand the causes underlying this shift. Here we compare the CMIP5 and CMIP6 model ensembles and find a systematic shift between CMIP eras to be unexplained as a process of random sampling from modeled forcing and feedback distributions. Instead, shortwave feedbacks shift towards more positive values, in particular over the Southern Ocean, driving the shift towards larger ECS values in many of the models. These results suggest that changes in model treatment of mixed-phase cloud processes and changes to Antarctic sea ice representation are likely causes of the shift towards larger ECS. Somewhat surprisingly, CMIP6 models exhibit less historical warming than CMIP5 models, despite an increase in TCR between CMIP eras (mean TCR increased from 1.7 to 1.9 K). The evolution of the warming suggests, however, that several of the CMIP6 models apply too strong aerosol cooling, resulting in too weak mid-20th century warming compared to the instrumental record.</t>
  </si>
  <si>
    <t>[Flynn, Clare Marie; Mauritsen, Thorsten] Stockholm Univ, Dept Meteorol, Stockholm, Sweden</t>
  </si>
  <si>
    <t>Stockholm University</t>
  </si>
  <si>
    <t>Flynn, CM (corresponding author), Stockholm Univ, Dept Meteorol, Stockholm, Sweden.</t>
  </si>
  <si>
    <t>clare.flynn@misu.su.se</t>
  </si>
  <si>
    <t>Flynn, Clare/KHT-3432-2024; Mauritsen, Thorsten/HLH-2002-2023</t>
  </si>
  <si>
    <t>Flynn, Clare/0000-0002-7158-1119</t>
  </si>
  <si>
    <t>European Research Council [770765]; H2020 European Research Council [CONSTRAIN 820829]; Stockholm University Faculty of Science; European Research Council (ERC) [770765] Funding Source: European Research Council (ERC)</t>
  </si>
  <si>
    <t>European Research Council(European Research Council (ERC)); H2020 European Research Council(Horizon 2020European Research Council (ERC)); Stockholm University Faculty of Science; European Research Council (ERC)(European Research Council (ERC)Spanish Government)</t>
  </si>
  <si>
    <t>This research has been supported by the European Research Council (grant no. 770765), the H2020 European Research Council (grant no. CONSTRAIN 820829) and by the Stockholm University Faculty of Science in addition to the grants.</t>
  </si>
  <si>
    <t>10.5194/acp-20-7829-2020</t>
  </si>
  <si>
    <t>MJ0HI</t>
  </si>
  <si>
    <t>gold, Green Submitted, Green Published</t>
  </si>
  <si>
    <t>WOS:000547776600001</t>
  </si>
  <si>
    <t>Kwiatkowski, L; Torres, O; Bopp, L; Aumont, O; Chamberlain, M; Christian, JR; Dunne, JP; Gehlen, M; Ilyina, T; John, JG; Lenton, A; Li, HM; Lovenduski, NS; Orr, JC; Palmieri, J; Santana-Falcón, Y; Schwinger, J; Séférian, R; Stock, CA; Tagliabue, A; Takano, Y; Tjiputra, J; Toyama, K; Tsujino, H; Watanabe, M; Yamamoto, A; Yool, A; Ziehn, T</t>
  </si>
  <si>
    <t>Kwiatkowski, Lester; Torres, Olivier; Bopp, Laurent; Aumont, Olivier; Chamberlain, Matthew; Christian, James R.; Dunne, John P.; Gehlen, Marion; Ilyina, Tatiana; John, Jasmin G.; Lenton, Andrew; Li, Hongmei; Lovenduski, Nicole S.; Orr, James C.; Palmieri, Julien; Santana-Falcon, Yeray; Schwinger, Jorg; Seferian, Roland; Stock, Charles A.; Tagliabue, Alessandro; Takano, Yohei; Tjiputra, Jerry; Toyama, Katsuya; Tsujino, Hiroyuki; Watanabe, Michio; Yamamoto, Akitomo; Yool, Andrew; Ziehn, Tilo</t>
  </si>
  <si>
    <t>Twenty-first century ocean warming, acidification, deoxygenation, and upper-ocean nutrient and primary production decline from CMIP6 model projections</t>
  </si>
  <si>
    <t>EARTH SYSTEM MODEL; MARINE PRIMARY PRODUCTION; OXYGEN-MINIMUM ZONES; CLIMATE-CHANGE; NORTH-ATLANTIC; ARCTIC-OCEAN; GLOBAL OCEAN; SEA-ICE; TROPHIC AMPLIFICATION; ANTHROPOGENIC CARBON</t>
  </si>
  <si>
    <t>Anthropogenic climate change is projected to lead to ocean warming, acidification, deoxygenation, reductions in near-surface nutrients, and changes to primary production, all of which are expected to affect marine ecosystems. Here we assess projections of these drivers of environmental change over the twenty-first century from Earth system models (ESMs) participating in the Coupled Model Intercomparison Project Phase 6 (CMIP6) that were forced under the CMIP6 Shared Socioeconomic Pathways (SSPs). Projections are compared to those from the previous generation (CMIP5) forced under the Representative Concentration Pathways (RCPs). A total of 10 CMIP5 and 13 CMIP6 models are used in the two multi-model ensembles. Under the high-emission scenario SSP5-8.5, the multi-model global mean change (2080-2099 mean values relative to 1870-1899) +/- the inter-model SD in sea surface temperature, surface pH, subsurface (100-600 m) oxygen concentration, euphotic (0-100 m) nitrate concentration, and depth-integrated primary production is +3.47 +/- 0.78 degrees C, -0.44 +/- 0.005, -13:27 +/- 5.28, -1.06 +/- 0.45 mmol m(-3) and -2.99 +/- 9.11 %, respectively. Under the low-emission, high-mitigation scenario SSP1-2.6, the corresponding global changes are +1.42 +/- 0.32 degrees C, -0.16 +/- 0.002, - 6.36 +/- 2.92, -0.52 +/- 0.23 mmol m(-)3, and -0.56 +/- 4.12 %. Projected exposure of the marine ecosystem to these drivers of ocean change depends largely on the extent of future emissions, consistent with previous studies. The ESMs in CMIP6 generally project greater warming, acidification, deoxygenation, and nitrate reductions but lesser primary production declines than those from CMIP5 under comparable radiative forcing. The increased projected ocean warming results from a general increase in the climate sensitivity of CMIP6 models relative to those of CMIP5. This enhanced warming increases upper-ocean stratification in CMIP6 projections, which contributes to greater reductions in upper-ocean nitrate and subsurface oxygen ventilation. The greater surface acidification in CMIP6 is primarily a consequence of the SSPs having higher associated atmospheric CO2 concentrations than their RCP analogues for the same radiative forcing. We find no consistent reduction in inter-model uncertainties, and even an increase in net primary production inter-model uncertainties in CMIP6, as compared to CMIP5.</t>
  </si>
  <si>
    <t>[Kwiatkowski, Lester; Aumont, Olivier] Sorbonne Univ, LOCEAN Lab, CNRS, IRD,MNHN, F-75005 Paris, France; [Torres, Olivier; Bopp, Laurent] PSL Res Univ, Sorbonne Univ, Ecole Polytech, LMD IPSL,CNRS,Ecole Normale Super, F-75005 Paris, France; [Chamberlain, Matthew; Lenton, Andrew; Ziehn, Tilo] CSIRO Oceans &amp; Atmosphere, Hobart, Tas 7000, Australia; [Lenton, Andrew] Univ Tasmania, IMAS, Australian Antarctic Partnership Program, Hobart, Tas, Australia; [Christian, James R.] Fisheries &amp; Oceans Canada, Canadian Ctr Climate Modelling &amp; Anal, Victoria, BC, Canada; [Dunne, John P.; John, Jasmin G.; Stock, Charles A.] NOAA, OAR Geophys Fluid Dynam Lab, Princeton, NJ USA; [Gehlen, Marion; Orr, James C.] Univ Paris Saclay, CEA CNRS UVSQ, LSCE IPSL, Lab Sci Climat &amp; Environm, F-91190 Gif Sur Yvette, France; [Ilyina, Tatiana; Li, Hongmei; Takano, Yohei] Max Planck Inst Meteorol, Bundesstr 53, D-20146 Hamburg, Germany; [Lovenduski, Nicole S.] Univ Colorado, Dept Atmospher &amp; Ocean Sci, Boulder, CO 80309 USA; [Lovenduski, Nicole S.] Univ Colorado, Inst Arctic &amp; Alpine Res, Boulder, CO 80309 USA; [Palmieri, Julien; Yool, Andrew] Natl Oceanog Ctr, European Way, Southampton SO14 3ZH, Hants, England; [Santana-Falcon, Yeray; Seferian, Roland] Univ Toulouse, CNRS, Meteo France, CNRM, F-31057 Toulouse, France; [Schwinger, Jorg; Tjiputra, Jerry] NORCE Norwegian Res Ctr, Bjerknes Ctr Climate Res, Bergen, Norway; [Tagliabue, Alessandro] Univ Liverpool, Sch Environm Sci, Liverpool L69 3GP, Merseyside, England; [Takano, Yohei] Los Alamos Natl Lab, Los Alamos, NM USA; [Toyama, Katsuya; Tsujino, Hiroyuki] Japan Meteorol Agcy, Meteorol Res Inst, Tsukuba, Ibaraki, Japan; [Watanabe, Michio; Yamamoto, Akitomo] Japan Agcy Marine Earth Sci &amp; Technol JAMSFEC, Res Ctr Environm Modeling &amp; Applicat, Yokohama, Kanagawa, Japan</t>
  </si>
  <si>
    <t>Centre National de la Recherche Scientifique (CNRS); Sorbonne Universite; Museum National d'Histoire Naturelle (MNHN); Institut de Recherche pour le Developpement (IRD); Sorbonne Universite; Ecole des Ponts ParisTech; Universite PSL; Ecole Normale Superieure (ENS); Centre National de la Recherche Scientifique (CNRS); Commonwealth Scientific &amp; Industrial Research Organisation (CSIRO); University of Tasmania; Fisheries &amp; Oceans Canada; Environment &amp; Climate Change Canada; Canadian Centre for Climate Modelling &amp; Analysis (CCCma); National Oceanic Atmospheric Admin (NOAA) - USA; CEA; Centre National de la Recherche Scientifique (CNRS); Universite Paris Saclay; Universite Paris Cite; Max Planck Society; University of Colorado System; University of Colorado Boulder; University of Colorado System; University of Colorado Boulder; NERC National Oceanography Centre; University of Southampton; Universite de Toulouse; Meteo France; Centre National de la Recherche Scientifique (CNRS); Bjerknes Centre for Climate Research; Norwegian Research Centre (NORCE); University of Liverpool; United States Department of Energy (DOE); Los Alamos National Laboratory; Japan Meteorological Agency; Meteorological Research Institute - Japan</t>
  </si>
  <si>
    <t>Kwiatkowski, L (corresponding author), Sorbonne Univ, LOCEAN Lab, CNRS, IRD,MNHN, F-75005 Paris, France.</t>
  </si>
  <si>
    <t>lester.morgan-kwiatkowski@locean-ipsl.upmc.fr</t>
  </si>
  <si>
    <t>Tjiputra, Jerry/AAB-5896-2022; Li, Hongmei/L-2204-2015; Watanabe, Michio/R-1149-2019; Ilyina, Tatiana/ABE-9164-2020; bopp, laurent/ABF-5302-2020; Li, Hongmei/I-5025-2016; Santana-Falcón, Yeray/GLR-6149-2022; Lovenduski, Nicole/V-4014-2019; Dunne, John/F-8086-2012; Yamamoto, Akitomo/F-2488-2013; Chamberlain, Matthew/D-4805-2012; Ziehn, Tilo/A-3094-2012; Yamamoto, Akitomo/S-2759-2019; Séférian, Roland/ABD-5465-2021; Schwinger, Jörg/AAN-6573-2021; Yamamoto, Akitomo/HPH-1982-2023; Orr, James C/C-5221-2009; Lenton, Andrew/D-2077-2012; John, Jasmin G./F-8194-2012; Kwiatkowski, Lester/O-2618-2017; aumont, olivier/G-5207-2016</t>
  </si>
  <si>
    <t>Li, Hongmei/0000-0003-2912-1837; Watanabe, Michio/0000-0003-2563-7297; Ilyina, Tatiana/0000-0002-3475-4842; bopp, laurent/0000-0003-4732-4953; Li, Hongmei/0000-0003-2912-1837; Santana-Falcón, Yeray/0000-0002-2627-1947; Lovenduski, Nicole/0000-0001-5893-1009; Yamamoto, Akitomo/0000-0003-0314-4854; Ziehn, Tilo/0000-0001-9873-9775; Yamamoto, Akitomo/0000-0003-0314-4854; Séférian, Roland/0000-0002-2571-2114; Schwinger, Jörg/0000-0002-7525-6882; Yamamoto, Akitomo/0000-0003-0314-4854; Lenton, Andrew/0000-0001-9437-8896; John, Jasmin G./0000-0003-2696-277X; Takano, Yohei/0000-0001-7984-8810; Palmieri, Julien/0000-0002-0226-5243; Orr, James/0000-0002-8707-7080; Tjiputra, Jerry/0000-0002-4600-2453; Kwiatkowski, Lester/0000-0002-6769-5957; aumont, olivier/0000-0003-3954-506X; Stock, Charles/0000-0001-9549-8013; Gehlen, Marion/0000-0002-9688-0692; Torres, Olivier/0000-0003-3713-1576; Chamberlain, Matthew/0000-0002-3287-3282</t>
  </si>
  <si>
    <t>National Science Foundation [OCE-1752724, OCE-1558225]; Horizon 2020 [CRESCENDO - 641816, COMFORT - 820989, TRIATLAS - 817578]; Agence Nationale de la Recherche [ANR-18-ERC2-0001-01]; Agence Nationale de la Recherche (ANR) [ANR-18-ERC2-0001] Funding Source: Agence Nationale de la Recherche (ANR); NERC [NE/R015953/1, noc010010, NE/N018036/1] Funding Source: UKRI</t>
  </si>
  <si>
    <t>National Science Foundation(National Science Foundation (NSF)); Horizon 2020(Horizon 2020); Agence Nationale de la Recherche(Agence Nationale de la Recherche (ANR)); Agence Nationale de la Recherche (ANR)(Agence Nationale de la Recherche (ANR)); NERC(UK Research &amp; Innovation (UKRI)Natural Environment Research Council (NERC))</t>
  </si>
  <si>
    <t>This research has been supported by the Horizon 2020 (CRESCENDO - 641816, COMFORT - 820989, and TRIATLAS - 817578), the National Science Foundation (grant nos. OCE-1752724 and OCE-1558225), and the Agence Nationale de la Recherche (grant no. ANR-18-ERC2-0001-01).</t>
  </si>
  <si>
    <t>10.5194/bg-17-3439-2020</t>
  </si>
  <si>
    <t>MJ1NG</t>
  </si>
  <si>
    <t>WOS:000547860200003</t>
  </si>
  <si>
    <t>Charlène, G; Bruno, D; Thomas, S</t>
  </si>
  <si>
    <t>Charlene, Guillaumot; Bruno, Danis; Thomas, Saucede</t>
  </si>
  <si>
    <t>Selecting environmental descriptors is critical for modelling the distribution of Antarctic benthic species</t>
  </si>
  <si>
    <t>Species distribution models (SDMs); Boosted regression trees (BRT); Southern ocean; Collinearity; Asteroidea; Conservation; Environmental descriptors</t>
  </si>
  <si>
    <t>CLIMATE-CHANGE; SAMPLING BIAS; SPATIAL AUTOCORRELATION; BIOTIC INTERACTIONS; FUTURE DISTRIBUTION; CROSS-VALIDATION; NICHE MODELS; DATA-POOR; ROSS SEA; CONSERVATION</t>
  </si>
  <si>
    <t>Species distribution models (SDMs) are increasingly used in ecological and biogeographic studies by Antarctic biologists, including for conservation and management purposes. During the modelling process, model calibration is a critical step to ensure model reliability and robustness, especially in the case of SDMs, for which the number of selected environmental descriptors and their collinearity is a recurring issue. Boosted regression trees (BRT) was previously considered as one of the best modelling approach to correct for this type of bias. In the present study, we test the performance of BRT in modelling the distribution of Southern Ocean species using different numbers of environmental descriptors, either collinear or not. Models are generated for six sea star species with contrasting ecological niches and wide distribution ranges over the entire Southern Ocean. For the six studied species, overall modelling performance is not affected by the number of environmental descriptors used to generate models, BRT using the most informative descriptors and minimizing model overfitting. However, removing collinear descriptors also helps reduce model overfitting. Our results confirm that BRTs may perform well and are relevant to deal with complex and redundant environmental information for Antarctic biodiversity distribution studies. Selecting a limited number of non-collinear descriptors before modelling may generate simpler models and facilitate their interpretation. The modelled distributions do not differ noticeably between the different species despite contrasting species ecological niches. This unexpected result stresses important limitations in using SDMs for broad scale spatial studies, based on limited, spatially aggregated data, and low-resolution descriptors.</t>
  </si>
  <si>
    <t>[Charlene, Guillaumot; Bruno, Danis] Univ Libre Bruxelles, Marine Biol Lab, Ave FD Roosevelt 50 CP 160-15, B-1050 Brussels, Belgium; [Charlene, Guillaumot; Thomas, Saucede] Univ Bourgogne Franche Comte, UMR Biogeosci 6282, CNRS, 6 Bd Gabriel, F-21000 Dijon, France</t>
  </si>
  <si>
    <t>Universite Libre de Bruxelles; Universite de Bourgogne; Centre National de la Recherche Scientifique (CNRS)</t>
  </si>
  <si>
    <t>Charlène, G (corresponding author), Univ Libre Bruxelles, Marine Biol Lab, Ave FD Roosevelt 50 CP 160-15, B-1050 Brussels, Belgium.;Charlène, G (corresponding author), Univ Bourgogne Franche Comte, UMR Biogeosci 6282, CNRS, 6 Bd Gabriel, F-21000 Dijon, France.</t>
  </si>
  <si>
    <t>charleneguillaumot21@gmail.com</t>
  </si>
  <si>
    <t>Fonds pour la formation a la Recherche dans l'Industrie et l'Agriculture (FRIA); Bourse Fondation de la mer grants; Belgian Science Policy Office (BELSPO) [31, 10, BR/132/A1/vERSO, BR/154/A1/RECTO]; IPEV programs [1124 REVOLTA, 1044 PROTEKER]</t>
  </si>
  <si>
    <t>Fonds pour la formation a la Recherche dans l'Industrie et l'Agriculture (FRIA)(Fonds de la Recherche Scientifique - FNRS); Bourse Fondation de la mer grants; Belgian Science Policy Office (BELSPO)(Belgian Federal Science Policy Office); IPEV programs</t>
  </si>
  <si>
    <t>This work was supported by a Fonds pour la formation a la Recherche dans l'Industrie et l'Agriculture (FRIA) and Bourse Fondation de la mer grants to C. Guillaumot. This is contribution no. 31 to the vERSO project and no. 10 to the RECTO project (www.rectoversoproje cts.be), funded by the Belgian Science Policy Office (BELSPO, contracts no. BR/132/A1/vERSO and no. BR/154/A1/RECTO). This is contribution to the IPEV programs no1124 REVOLTA and no1044 PROTEKER. We are grateful to the crew and participants of all the cruises and research programs involved in the capture of the samples included in this dataset (see Moreau et al. 2018): POKER 2, REVOLTA 1 &amp; 2, CEAMARC, JR144, JR179, JR230, JR262, JR275, JR287, JR15005.</t>
  </si>
  <si>
    <t>10.1007/s00300-020-02714-2</t>
  </si>
  <si>
    <t>WOS:000545903400001</t>
  </si>
  <si>
    <t>Cerdá, MF; Botasini, S</t>
  </si>
  <si>
    <t>Cerda, Maria Fernanda; Botasini, Santiago</t>
  </si>
  <si>
    <t>Co-sensitized cells from Antarctic resources using Ag nanoparticles</t>
  </si>
  <si>
    <t>SURFACE AND INTERFACE ANALYSIS</t>
  </si>
  <si>
    <t>algae; Antarctica; EIS; nanoparticles; phycoerythrin</t>
  </si>
  <si>
    <t>SOLAR-CELLS; PORPHYRIN SENSITIZERS; EFFICIENCY; DYES; PHYCOERYTHRIN; PIGMENTS</t>
  </si>
  <si>
    <t>In the present work, we explore in photoanodes of dye-sensitized solar cell (DSSC) the co-sensitization of the red protein phycoerythrin extracted from Antarctic algae with spherical silver nanoparticles between 10 and 200 nm and triangular nanoparticles of similar to 100 nm. We found that the order of addition of the sensitizers matters. Best results achieved for a sequential approach was phycoerythrin used as a dipping solution at the first step and nanoparticles at the second. We found that cell efficiency depends on the protein concentration, although no main differences detected with the nanoparticle shape or size. Our results show an average increase of 25% in the conversion efficiency values in the presence of nanoparticles.</t>
  </si>
  <si>
    <t>[Cerda, Maria Fernanda; Botasini, Santiago] Univ Republica, Fac Ciencias, Lab Biomat, Montevideo, Uruguay</t>
  </si>
  <si>
    <t>Universidad de la Republica, Uruguay</t>
  </si>
  <si>
    <t>Cerdá, MF (corresponding author), Univ Republica, Fac Ciencias, Lab Biomat, Montevideo, Uruguay.</t>
  </si>
  <si>
    <t>fcerda@fcien.edu.uy</t>
  </si>
  <si>
    <t>Cerda, Maria Fernanda/0000-0002-9049-2728; Botasini, Santiago/0000-0002-6488-5886</t>
  </si>
  <si>
    <t>0142-2421</t>
  </si>
  <si>
    <t>1096-9918</t>
  </si>
  <si>
    <t>SURF INTERFACE ANAL</t>
  </si>
  <si>
    <t>Surf. Interface Anal.</t>
  </si>
  <si>
    <t>10.1002/sia.6849</t>
  </si>
  <si>
    <t>Chemistry, Physical</t>
  </si>
  <si>
    <t>Chemistry</t>
  </si>
  <si>
    <t>OQ5HD</t>
  </si>
  <si>
    <t>WOS:000545328800001</t>
  </si>
  <si>
    <t>Sabrina, H; Gabriela, S; Klemens, P; Thomas, M; Andrea, RR</t>
  </si>
  <si>
    <t>Sabrina, Harris; Gabriela, Scioscia; Klemens, Puetz; Thomas, Mattern; Rey Andrea, Raya</t>
  </si>
  <si>
    <t>Niche partitioning between coexisting gentoo Pygoscelis papua and Magellanic penguins Spheniscus magellanicus at Martillo Island, Argentina</t>
  </si>
  <si>
    <t>Spheniscus magellanicus; Pygoscelis papua; Foraging behaviour; GPS devices; Video; Camera; Sympatry</t>
  </si>
  <si>
    <t>LOBSTER MUNIDA-GREGARIA; FORAGING BEHAVIOR; WINTER MIGRATION; INTERANNUAL VARIATION; TROPHIC RELATIONSHIPS; SATELLITE TRACKING; TEMPORAL VARIATION; POPULATION TRENDS; BEAGLE CHANNEL; DIET</t>
  </si>
  <si>
    <t>Marine top predators living in sympatry tend to use their environment differentially, thereby reducing niche overlap. Magellanic penguins (Spheniscus magellanicus) and gentoo penguins (Pygoscelis papua) coexist at Martillo Is., Argentina. During the 2014, 2015 and 2017 breeding seasons a total of thirty-one Magellanic and eleven gentoo penguins were equipped with GPS-TDR loggers to record foraging trips. Both species dove to similar maximum depths with analogous effort (dives per hour). Magellanics, however, undertook longer trips and travelled further away from the colony (25 h and 43 km vs. 10 h and 20 km on average, respectively). Gentoos on the other hand, performed longer dives, had a higher percentage of U shaped dives and spent more time during the bottom phase of the dive. Gentoos foraged exclusively within an area close to the colony and in waters not deeper than 80 m. Magellanics had more variability in their behaviors and were not associated to a specific depth or distance from the colony. The ecological circumstances of both species (targeted prey and surrounding environment) suffice to explain the particular behaviors of both species independently from the presence of the other. Gentoos seem to focus on benthic prey which remains stable in this environment throughout the year, and Magellanics behave more opportunistically searching for pelagic prey during early chick rearing. Competition may not be always shaping coexistence of species of similar trophic positions and behaviors. Particularly, if resources are not limited, both species can behave in ways they find optimal without factoring the coexistence of the other species.</t>
  </si>
  <si>
    <t>[Sabrina, Harris; Gabriela, Scioscia; Rey Andrea, Raya] Consejo Nacl Invest Cient &amp; Tecn, Ctr Austral Invest Cient, Ushuaia, Argentina; [Sabrina, Harris; Rey Andrea, Raya] Wildlife Conservat Soc, Buenos Aires, DF, Argentina; [Klemens, Puetz] Antarctic Res Trust, Bremervorde, Germany; [Thomas, Mattern] Univ Otago, Zool Dept, 340 Great King St, Dunedin, New Zealand; [Rey Andrea, Raya] Univ Nacl Tierra del Fuego UNTDF, Inst Ciencias Polares Ambiente &amp; Recursos Nat ICP, Ushuaia, Tierra del Fueg, Argentina</t>
  </si>
  <si>
    <t>Consejo Nacional de Investigaciones Cientificas y Tecnicas (CONICET); University of Otago</t>
  </si>
  <si>
    <t>Sabrina, H (corresponding author), Consejo Nacl Invest Cient &amp; Tecn, Ctr Austral Invest Cient, Ushuaia, Argentina.;Sabrina, H (corresponding author), Wildlife Conservat Soc, Buenos Aires, DF, Argentina.</t>
  </si>
  <si>
    <t>harrissabrin@gmail.com</t>
  </si>
  <si>
    <t>Mattern, Thomas/AAJ-6325-2020</t>
  </si>
  <si>
    <t>Mattern, Thomas/0000-0003-0745-8180; Harris, Sabrina/0000-0003-0683-8376</t>
  </si>
  <si>
    <t>Antarctic Research Trust (ART); Wildlife Conservation Society (WCS); Agencia Nacional de Promocion Cientifica y Tecnologica (ANPCyT) [PICT 2014 1870]</t>
  </si>
  <si>
    <t>Antarctic Research Trust (ART); Wildlife Conservation Society (WCS); Agencia Nacional de Promocion Cientifica y Tecnologica (ANPCyT)(ANPCyTSpanish Government)</t>
  </si>
  <si>
    <t>We would like to thank the Antarctic Research Trust (ART), the Wildlife Conservation Society (WCS) and the Agencia Nacional de Promocion Cientifica y Tecnologica (ANPCyT, PICT 2014 1870) for funding to do this research. We also thank CONICET for covering salaries of SH, GS and ARR. In addition, we are grateful for logistical assistance from PIRATOUR for transportation to Martillo Isl. and U. Balza, A. Schiavini, S. Dodino for assistance in the field. We also thank reviewers for helping us to reach the high standard for publication in this journal.</t>
  </si>
  <si>
    <t>JUL 4</t>
  </si>
  <si>
    <t>10.1007/s00227-020-03722-w</t>
  </si>
  <si>
    <t>MK5VX</t>
  </si>
  <si>
    <t>WOS:000548856600001</t>
  </si>
  <si>
    <t>Tarling, GA</t>
  </si>
  <si>
    <t>Tarling, Geraint A.</t>
  </si>
  <si>
    <t>Routine metabolism of Antarctic krill (Euphausia superba) in South Georgia waters: absence of metabolic compensation at its range edge</t>
  </si>
  <si>
    <t>MEGANYCTIPHANES-NORVEGICA; NORTHERN KRILL; INTERANNUAL VARIABILITY; VERTICAL MIGRATION; THERMAL TOLERANCE; RESPIRATION; OCEAN; TEMPERATURE; AGGREGATION; PREDATORS</t>
  </si>
  <si>
    <t>Routine respiration rates in the South Georgia stock of Antarctic krill (Euphausia superba) were measured to compare with previously published measurements on stocks from colder locations further south. Within the natural temperature range of this species (-1.8 degrees to 5.5 degrees C), respiration rate data from both the present and previous studies were adequately fitted by a single Arrhenius regression (Q(10) of 2.8), although South Georgia krill showed an upward deviation from this regression between 0 degrees and 2 degrees C (the lower temperature range at South Georgia). Metabolic compensation (i.e. the comparative lowering of respiration rate) at the high temperatures experienced at South Georgia was not apparent, although the higher than predicted metabolic rates at low temperatures suggests acclimation of South Georgia krill to a warm water lifestyle. Weight-specific respiration rate was significantly higher in sub-adults and adults compared to juveniles, highlighting the metabolic burden of reproduction. South Georgia krill showed no further increase in respiration rate when exposed to acute temperatures (5.5-12.2 degrees C), indicating that they were already at the limit of aerobic capacity by 5.5 degrees C. Overall, this study shows that even small degrees of additional warming to South Georgia waters are likely to make conditions there metabolically unsustainable for Antarctic krill.</t>
  </si>
  <si>
    <t>[Tarling, Geraint A.] British Antarctic Survey, Nat Environm Res Council, Madingley Rd, Cambridge CB3 0ET, England</t>
  </si>
  <si>
    <t>UK Research &amp; Innovation (UKRI); Natural Environment Research Council (NERC); NERC British Antarctic Survey</t>
  </si>
  <si>
    <t>Tarling, GA (corresponding author), British Antarctic Survey, Nat Environm Res Council, Madingley Rd, Cambridge CB3 0ET, England.</t>
  </si>
  <si>
    <t>gant@bas.ac.uk</t>
  </si>
  <si>
    <t>Tarling, Geraint/0000-0002-3753-5899</t>
  </si>
  <si>
    <t>Ecosystems Programme at the British Antarctic Survey, Natural Environment Research Council, a part of UK Research and Innovation; NERC [bas0100035] Funding Source: UKRI</t>
  </si>
  <si>
    <t>Ecosystems Programme at the British Antarctic Survey, Natural Environment Research Council, a part of UK Research and Innovation; NERC(UK Research &amp; Innovation (UKRI)Natural Environment Research Council (NERC))</t>
  </si>
  <si>
    <t>The scientific cruise JR245 (Polar Ocean Ecosystem Time Series-Western Core Box) and the time of GAT were funded as part of the Ecosystems Programme at the British Antarctic Survey, Natural Environment Research Council, a part of UK Research and Innovation.</t>
  </si>
  <si>
    <t>10.1007/s00227-020-03714-w</t>
  </si>
  <si>
    <t>Green Accepted, hybrid</t>
  </si>
  <si>
    <t>WOS:000548856600004</t>
  </si>
  <si>
    <t>Gamelin, BL; Carvalho, LMV; Kayano, M</t>
  </si>
  <si>
    <t>Gamelin, Brandi L.; Carvalho, Leila M. V.; Kayano, Mary</t>
  </si>
  <si>
    <t>The combined influence of ENSO and PDO on the spring UTLS ozone variability in South America</t>
  </si>
  <si>
    <t>ENSO; PDO; ENSO teleconnections; Upper troposphere-lower stratosphere ozone; Rossby wave trains; South America</t>
  </si>
  <si>
    <t>LOWER-STRATOSPHERIC TEMPERATURE; PACIFIC DECADAL OSCILLATION; EXTREME RAINFALL EVENTS; EL-NINO; WATER-VAPOR; TROPICAL TROPOPAUSE; LA-NINA; ANTARCTIC OSCILLATION; CIRCULATION FEATURES; SUMMER MONSOON</t>
  </si>
  <si>
    <t>Ozone in the upper troposphere-lower stratosphere (UTLS) is primarily regulated by tropospheric dynamics. Understanding mechanisms driving ozone variability at the UTLS is crucial to evaluate the transport of mass to and from the lower stratosphere. The El Nino-Southern Oscillation (ENSO) is the primary coupled mode acting on interannual timescales modulating tropospheric circulation worldwide. ENSO teleconnections can depend on the phases of the Pacific Decadal Oscillation (PDO) and on the characteristics of the warming over central and eastern tropical Pacific. This study investigates the role of ENSO on UTLS ozone variability with focus on South America and examines patterns of teleconnections in the two recent warm (1980-1997) and cool (1998-2012) PDO phases. The dominant mode of ozone variability is identified by applying a principal component analysis (PCA) to modern-era retrospective analysis for research and applications, Version 2 (MERRA-2) ozone data from September-November (SON). SON is the season with the largest UTLS ozone variance over South America. The first mode resembles a Rossby wave train across South America with spatial patterns dependent on PDO phase. We show that the ENSO teleconnections and respective influences on SON UTLS ozone are stronger during the cool PDO when ENSO and PDO are mostly in phase. Additionally, the strength of the ENSO teleconnection appears to depend on patterns of SST anomalies over tropical Pacific. The decadal variability in the ENSO-PDO relationships and teleconnections with the Southern Hemisphere resulted in a shift in upper tropospheric circulation in tropical and subtropical regions of South America.</t>
  </si>
  <si>
    <t>[Gamelin, Brandi L.; Carvalho, Leila M. V.] Univ Calif Santa Barbara, Dept Geog, Santa Barbara, CA 93106 USA; [Carvalho, Leila M. V.] Univ Calif Santa Barbara, Earth Res Inst, Santa Barbara, CA 93106 USA; [Kayano, Mary] Ctr Previsao Tempo &amp; Estudos Climat, Inst Nacl Pesquisas Espaciais, Sao Jose Dos Campos, SP, Brazil</t>
  </si>
  <si>
    <t>University of California System; University of California Santa Barbara; University of California System; University of California Santa Barbara; Instituto Nacional de Pesquisas Espaciais (INPE)</t>
  </si>
  <si>
    <t>Gamelin, BL (corresponding author), Univ Calif Santa Barbara, Dept Geog, Santa Barbara, CA 93106 USA.</t>
  </si>
  <si>
    <t>bgamelin@ucsb.edu</t>
  </si>
  <si>
    <t>Gamelin, Brandi/0000-0001-7988-5566</t>
  </si>
  <si>
    <t>University of California, Santa Barbara Graduate Research Mentorship Program Fellowship</t>
  </si>
  <si>
    <t>University of California, Santa Barbara Graduate Research Mentorship Program Fellowship(University of California System)</t>
  </si>
  <si>
    <t>This research was supported by the University of California, Santa Barbara Graduate Research Mentorship Program Fellowship. The Modern-Era Retrospective analysis for Research and Applications, Version 2 (MERRA-2) reanalysis data used in this study/project has been provided by the Global Modeling and Assimilation Office (GMAO) at NASA Goddard Space Flight Center. Authors acknowledge the computational support of Dr. Charles Jones.</t>
  </si>
  <si>
    <t>10.1007/s00382-020-05340-0</t>
  </si>
  <si>
    <t>Bronze, Green Published</t>
  </si>
  <si>
    <t>WOS:000545841200001</t>
  </si>
  <si>
    <t>Haas, B; Haward, M; McGee, J; Fleming, A</t>
  </si>
  <si>
    <t>Haas, Bianca; Haward, Marcus; McGee, Jeffrey; Fleming, Aysha</t>
  </si>
  <si>
    <t>Explicit targets and cooperation: regional fisheries management organizations and the sustainable development goals</t>
  </si>
  <si>
    <t>INTERNATIONAL ENVIRONMENTAL AGREEMENTS-POLITICS LAW AND ECONOMICS</t>
  </si>
  <si>
    <t>Fisheries management; High seas; Ocean governance; Regional organizations; United Nations</t>
  </si>
  <si>
    <t>HIGH SEAS; PRECAUTIONARY APPROACH; ECOSYSTEM; CONSERVATION; BIODIVERSITY; LESSONS; AREAS; OCEAN</t>
  </si>
  <si>
    <t>In 2015, the international community adopted the United Nations Sustainable Development Goals (SDGs), a goal-setting governance strategy that aims to achieve sustainable development across social, economic, and ecological areas. SDG 14 ('life below water') is directed to the sustainable use and conservation of the oceans and marine resources. Regional fisheries management organizations (RFMOs) are key institutions in managing international fisheries and thus have the potential to play a significant role in realizing the attainment of SDG 14. This paper aims to assess how RFMOs could contribute to SDG 14 by examining their treaty texts and implementation of conservation and management measures or collaborative networks. The results of this paper highlights the contribution of RFMOs to targets such as ending overfishing and indicates the need for further attention towards area protection. The findings of the network assessment show that RFMOs mainly cooperate with other RFMOs or fisheries-related organizations, indicating a lack of cooperation with other maritime organizations. Moreover, the objective of most of these collaborations is sharing of information or data, while actions against problems such as the bycatch of non-target species are missing. Thus, this paper highlights how existing regional organizations have the potential to increase their contribution to SDG 14, by aligning more of their work to this goal. To support this process, we developed a list of considerations and actions.</t>
  </si>
  <si>
    <t>[Haas, Bianca; Haward, Marcus; McGee, Jeffrey] Inst Marine &amp; Antarctic Studies, Private Bag 129, Hobart, Tas 7001, Australia; [McGee, Jeffrey] Univ Tasmania, Fac Law, Private Bag 89, Hobart, Tas 7001, Australia; [Fleming, Aysha] CSIRO, Land &amp; Water, Castray Esplanade, Battery Point, Tas 7004, Australia; [Haas, Bianca; Haward, Marcus; McGee, Jeffrey; Fleming, Aysha] Univ Tasmania, Ctr Marine Socioecol, Private Bag 129, Hobart, Tas 7001, Australia</t>
  </si>
  <si>
    <t>University of Tasmania; University of Tasmania; Commonwealth Scientific &amp; Industrial Research Organisation (CSIRO); University of Tasmania</t>
  </si>
  <si>
    <t>Haas, B (corresponding author), Inst Marine &amp; Antarctic Studies, Private Bag 129, Hobart, Tas 7001, Australia.;Haas, B (corresponding author), Univ Tasmania, Ctr Marine Socioecol, Private Bag 129, Hobart, Tas 7001, Australia.</t>
  </si>
  <si>
    <t>Bianca.Haas@utas.edu.au</t>
  </si>
  <si>
    <t>McGee, Jeffrey s/K-7322-2015; Haward, Marcus/G-3369-2014; Fleming, Aysha/E-8753-2011</t>
  </si>
  <si>
    <t>Fleming, Aysha/0000-0001-9895-1928; Haas, Bianca/0000-0002-7322-2929</t>
  </si>
  <si>
    <t>1567-9764</t>
  </si>
  <si>
    <t>1573-1553</t>
  </si>
  <si>
    <t>INT ENVIRON AGREEM-P</t>
  </si>
  <si>
    <t>Int. Environ. Agreem.-Polit. Law Econom.</t>
  </si>
  <si>
    <t>MAR</t>
  </si>
  <si>
    <t>10.1007/s10784-020-09491-7</t>
  </si>
  <si>
    <t>Economics; Environmental Studies; Law; Political Science</t>
  </si>
  <si>
    <t>Business &amp; Economics; Environmental Sciences &amp; Ecology; Government &amp; Law</t>
  </si>
  <si>
    <t>QS7NV</t>
  </si>
  <si>
    <t>WOS:000545519000001</t>
  </si>
  <si>
    <t>Abe, T; Akazawa, Y; Toyoda, A; Niki, H; Baba, T</t>
  </si>
  <si>
    <t>Abe, Takashi; Akazawa, Yu; Toyoda, Atsushi; Niki, Hironori; Baba, Tomoya</t>
  </si>
  <si>
    <t>Batch-Learning Self-Organizing Map Identifies Horizontal Gene Transfer Candidates and Their Origins in Entire Genomes</t>
  </si>
  <si>
    <t>horizontal gene transfer; Antarctic environment; Sphingomonasgenome; Batch-Learning Self-Organizing Map; oligonucleotide; low-temperature adaptation; amino acid frequency; convergent evolution</t>
  </si>
  <si>
    <t>TRANSFER-RNA GENES; SP NOV.; CODON USAGE; BACTERIAL; SEQUENCE; DNA; DIVERSITY; ANNOTATION; EVOLUTION; ALIGNMENT</t>
  </si>
  <si>
    <t>Horizontal gene transfer (HGT) has been widely suggested to play a critical role in the environmental adaptation of microbes; however, the number and origin of the genes in microbial genomes obtained through HGT remain unknown as the frequency of detected HGT events is generally underestimated, particularly in the absence of information on donor sequences. As an alternative to phylogeny-based methods that rely on sequence alignments, we have developed an alignment-free clustering method on the basis of an unsupervised neural network Batch-Learning Self-Organizing Map (BLSOM) in which sequence fragments are clustered based solely on oligonucleotide similarity without taxonomical information, to detect HGT candidates and their origin in entire genomes. By mapping the microbial genomic sequences on large-scale BLSOMs constructed with nearly all prokaryotic genomes, HGT candidates can be identified, and their origin assigned comprehensively, even for microbial genomes that exhibit high novelty. By focusing on two types ofAlphaproteobacteria, specifically psychrotolerantSphingomonasstrains from an Antarctic lake, we detected HGT candidates using BLSOM and found higher proportions of HGT candidates from organisms belonging toBetaproteobacteriain the genomes of these two Antarctic strains compared with those of continental strains. Further, an origin difference was noted in the HGT candidates found in the two Antarctic strains. Although their origins were highly diversified, gene functions related to the cell wall or membrane biogenesis were shared among the HGT candidates. Moreover, analyses of amino acid frequency suggested that housekeeping genes and some HGT candidates of the Antarctic strains exhibited different characteristics to other continental strains. Lys, Ser, Thr, and Val were the amino acids found to be increased in the Antarctic strains, whereas Ala, Arg, Glu, and Leu were decreased. Our findings strongly suggest a low-temperature adaptation process for microbes that may have arisen convergently as an independent evolutionary strategy in each Antarctic strain. Hence, BLSOM analysis could serve as a powerful tool in not only detecting HGT candidates and their origins in entire genomes, but also in providing novel perspectives into the environmental adaptations of microbes.</t>
  </si>
  <si>
    <t>[Abe, Takashi; Akazawa, Yu] Niigata Univ, Fac Engn, Dept Informat Engn, Niigata, Japan; [Toyoda, Atsushi] Natl Inst Genet, Comparat Genom Lab, Mishima, Shizuoka, Japan; [Toyoda, Atsushi; Baba, Tomoya] Natl Inst Genet, Adv Genom Ctr, Mishima, Shizuoka, Japan; [Niki, Hironori] Natl Inst Genet, Microbial Physiol Lab, Mishima, Shizuoka, Japan; [Baba, Tomoya] Res Org Informat &amp; Syst, Joint Support Ctr Data Sci Res, Tokyo, Japan</t>
  </si>
  <si>
    <t>Niigata University; Research Organization of Information &amp; Systems (ROIS); National Institute of Genetics (NIG) - Japan; Research Organization of Information &amp; Systems (ROIS); National Institute of Genetics (NIG) - Japan; Research Organization of Information &amp; Systems (ROIS); National Institute of Genetics (NIG) - Japan; Research Organization of Information &amp; Systems (ROIS)</t>
  </si>
  <si>
    <t>Abe, T (corresponding author), Niigata Univ, Fac Engn, Dept Informat Engn, Niigata, Japan.;Baba, T (corresponding author), Natl Inst Genet, Adv Genom Ctr, Mishima, Shizuoka, Japan.;Baba, T (corresponding author), Res Org Informat &amp; Syst, Joint Support Ctr Data Sci Res, Tokyo, Japan.</t>
  </si>
  <si>
    <t>takaabe@ie.niigata-u.ac.jp; tobaba@nig.ac.jp</t>
  </si>
  <si>
    <t>Systematic Analysis for Global Environmental Change and Life on Earth (SAGE) project; Ministry of Education, Culture, Sports, Science and Technology, Japan [17K00401, 15K14595]; Grants-in-Aid for Scientific Research [15K14595, 17K00401] Funding Source: KAKEN</t>
  </si>
  <si>
    <t>Systematic Analysis for Global Environmental Change and Life on Earth (SAGE) project; 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</si>
  <si>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work described in this report was funded by a grant from the Systematic Analysis for Global Environmental Change and Life on Earth (SAGE) project promoted by the Transdisciplinary Research Integration Center, under the Research Organization of Information and Systems, Japan, and Grants-in-Aid for Scientific Research (C: no. 17K00401) and Challenging Exploratory Research (no. 15K14595) from the Ministry of Education, Culture, Sports, Science and Technology, Japan.</t>
  </si>
  <si>
    <t>10.3389/fmicb.2020.01486</t>
  </si>
  <si>
    <t>MR7MZ</t>
  </si>
  <si>
    <t>WOS:000553776400001</t>
  </si>
  <si>
    <t>Prater, I; Zubrzycki, S; Buegger, F; Zoor-Füllgraff, LC; Angst, G; Dannenmann, M; Mueller, CW</t>
  </si>
  <si>
    <t>Prater, Isabel; Zubrzycki, Sebastian; Buegger, Franz; Zoor-Fuellgraff, Lena Careen; Angst, Gerrit; Dannenmann, Michael; Mueller, Carsten W.</t>
  </si>
  <si>
    <t>From fibrous plant residues to mineral-associated organic carbon - the fate of organic matter in Arctic permafrost soils</t>
  </si>
  <si>
    <t>STATE C-13 NMR; NITROGEN AVAILABILITY; ISOTOPE FRACTIONATION; TUNDRA SOIL; DECOMPOSITION; STABILIZATION; CLIMATE; STOCKS; POOLS; PARTICULATE</t>
  </si>
  <si>
    <t>Permafrost-affected soils of the Arctic account for 70% or 727 Pg of the soil organic carbon (C) stored in the northern circumpolar permafrost region and therefore play a major role in the global C cycle. Most studies on the budgeting of C storage and the quality of soil organic matter (OM; SOM) in the northern circumpolar region focus on bulk soils. Thus, although there is a plethora of assumptions regarding differences in terms of C turnover or stability, little knowledge is available on the mechanisms stabilizing organic C in Arctic soils besides impaired decomposition due to low temperatures. To gain such knowledge, we investigated soils from Samoylov Island in the Lena River delta with respect to the composition and distribution of organic C among differently stabilized SOM fractions. The soils were fractionated according to density and particle size to obtain differently stabilized SOM fractions differing in chemical composition and thus bioavailability. To better understand the chemical alterations from plant-derived organic particles in these soils rich in fibrous plant residues to mineral-associated SOM, we analyzed the elemental, isotopic and chemical composition of particulate OM (POM) and clay-sized mineral-associated OM (MAOM). We demonstrate that the SOM fractions that contribute with about 17 kgCm(-3) for more than 60% of the C stock are highly bioavailable and that most of this labile C can be assumed to be prone to mineralization under warming conditions. Thus, the amount of relatively stable, small occluded POM and clay-sized MAOM that currently accounts with about 10 kgCm(-3) for about 40% of the C stock will most probably be crucial for the quantity of C protected from mineralization in these Arctic soils in a warmer future. Using delta N-15 as a proxy for nitrogen (N) balances indicated an important role of N inputs by biological N fixation, while gaseous N losses appeared less important. However, this could change, as with about 0.4 kgNm(-3) one third of the N is present in bioavailable SOM fractions, which could lead to increases in mineral N cycling and associated N losses under global warming. Our results highlight the vulnerability of SOM in Arctic permafrost-affected soils under rising temperatures, potentially leading to unparalleled greenhouse gas emissions from these soils.</t>
  </si>
  <si>
    <t>[Prater, Isabel; Zoor-Fuellgraff, Lena Careen; Mueller, Carsten W.] Tech Univ Munich, Res Dept Ecol &amp; Ecosyst Management, Soil Sci, D-85354 Freising Weihenstephan, Germany; [Zubrzycki, Sebastian] Univ Hamburg, Sch Integrated Climate &amp; Earth Syst Sci, Ctr Earth Syst Res &amp; Sustainabil, D-20146 Hamburg, Germany; [Buegger, Franz] Helmholtz Zentrum Munchen GmbH, German Res Ctr Environm Hlth, Inst Biochem Plant Pathol, D-85764 Neuherberg, Germany; [Angst, Gerrit] Czech Acad Sci, Inst Soil Biol &amp; SoWa Res Infrastruct, Biol Ctr, Ceske Budejovice 37005, Czech Republic; [Dannenmann, Michael] Karlsruhe Inst Technol, Inst Meteorol &amp; Climate Res Atmospher Environm Re, D-82467 Garmisch Partenkirchen, Germany; [Mueller, Carsten W.] Univ Copenhagen, Dept Geosci &amp; Nat Resource Management, Oster Voldgade 10, DK-1350 Copenhagen K, Denmark</t>
  </si>
  <si>
    <t>Technical University of Munich; University of Hamburg; Helmholtz Association; Helmholtz-Center Munich - German Research Center for Environmental Health; Czech Academy of Sciences; Biology Centre of the Czech Academy of Sciences; Helmholtz Association; Karlsruhe Institute of Technology; University of Copenhagen</t>
  </si>
  <si>
    <t>Prater, I (corresponding author), Tech Univ Munich, Res Dept Ecol &amp; Ecosyst Management, Soil Sci, D-85354 Freising Weihenstephan, Germany.</t>
  </si>
  <si>
    <t>i.prater@tum.de</t>
  </si>
  <si>
    <t>Prater, Isabel/AAX-6435-2020; Dannenmann, Michael/A-7278-2013; Angst, Gerrit/N-9253-2016; Prater, Isabel/JCP-4941-2023; Mueller, Carsten W/C-2679-2012; Zubrzycki, Sebastian/J-7418-2016</t>
  </si>
  <si>
    <t>Angst, Gerrit/0000-0003-4421-5444; Mueller, Carsten W/0000-0003-4119-0544; Prater, Isabel/0000-0001-8195-3150; Zubrzycki, Sebastian/0000-0002-6398-9173; Dannenmann, Michael/0000-0001-5924-7612</t>
  </si>
  <si>
    <t>Cluster of Excellence CliSAP [EXC177]; Universitat Hamburg through the German Research Foundation (DFG); BMBF project CARBOPERM [03G0836A]; DFG [1158, MU 3021/8]; DFG NIFROCLIM project [DA1217/4-1]</t>
  </si>
  <si>
    <t>Cluster of Excellence CliSAP; Universitat Hamburg through the German Research Foundation (DFG)(German Research Foundation (DFG)); BMBF project CARBOPERM(Federal Ministry of Education &amp; Research (BMBF)); DFG(German Research Foundation (DFG)); DFG NIFROCLIM project(German Research Foundation (DFG))</t>
  </si>
  <si>
    <t>This study was supported through the Cluster of Excellence CliSAP (no. EXC177), Universitat Hamburg, funded through the German Research Foundation (DFG) and the BMBF project CARBOPERM (grant no.03G0836A). The analyses were partly supported by the DFG in the framework of the priority programme 1158 Antarctic Research with Comparative Investigations in Arctic Ice Areas (no. MU 3021/8). The work of Michael Dannenmann was supported through the DFG NIFROCLIM project (no. DA1217/4-1).</t>
  </si>
  <si>
    <t>10.5194/bg-17-3367-2020</t>
  </si>
  <si>
    <t>MI4RK</t>
  </si>
  <si>
    <t>WOS:000547397000001</t>
  </si>
  <si>
    <t>Choi, E; Park, SH; Lee, SJ; Jo, E; Kim, J; Kim, JH; Kim, JH; Lim, JS; Park, H</t>
  </si>
  <si>
    <t>Choi, Eunkyung; Park, Seong Hee; Lee, Seung Jae; Jo, Euna; Kim, Jinmu; Kim, Jeong-Hoon; Kim, Jin-Hyoung; Lim, Jong Seok; Park, Hyun</t>
  </si>
  <si>
    <t>The complete mitochondrial genome of Patagonian moray cod,Muraenolepis orangiensisVaillant, 1888 (Gadiformes, Muraenolepididae)</t>
  </si>
  <si>
    <t>MITOCHONDRIAL DNA PART B-RESOURCES</t>
  </si>
  <si>
    <t>Mitochondria genome; Muraenolepis orangiensis; Patagonian moray cod; PacBio</t>
  </si>
  <si>
    <t>The full-length mitochondrial genome ofMuraenolepis orangiensis(Vaillant, 1888) was studied using PacBio platform and it is first report in a Muraenolepididae family. The circular form of mitochondria genome is 16,833 bp including 13 protein-coding genes, two rRNA, and 22 tRNA. Start codon of 13 protein-coding genes was only ATG but three types of stop codons (TAA, T(AA), and TAG) were detected. To evaluate evolutionary position ofM. orangiensis, the phylogenetic tree with other 13 Antarctic fishes belonged to five families were showed thatM. orangiensisis unique cluster as a Muraenolepididae family and this study would provide fundamental data to understand the evolutionary relationship of fishes founded in Antarctic area.</t>
  </si>
  <si>
    <t>[Choi, Eunkyung; Lee, Seung Jae; Jo, Euna; Kim, Jinmu; Park, Hyun] Korea Univ, Coll Life Sci &amp; Biotechnol, Div Biotechnol, Seoul 02841, South Korea; [Park, Seong Hee; Lim, Jong Seok] Sookmyung Womens Univ, Dept Biol Sci, Cheongpa Dong 2 Ga, Seoul 04310, South Korea; [Jo, Euna; Kim, Jin-Hyoung] Korea Polar Res Inst KOPRI, Unit Res Pract Applicat, Incheon, South Korea; [Kim, Jeong-Hoon] Korea Polar Res Inst, Div Polar Life Sci, Incheon, South Korea</t>
  </si>
  <si>
    <t>Korea University; Sookmyung Women's University; Korea Polar Research Institute (KOPRI); Korea Polar Research Institute (KOPRI)</t>
  </si>
  <si>
    <t>Park, H (corresponding author), Korea Univ, Coll Life Sci &amp; Biotechnol, Div Biotechnol, Seoul 02841, South Korea.;Lim, JS (corresponding author), Sookmyung Womens Univ, Dept Biol Sci, Cheongpa Dong 2 Ga, Seoul 04310, South Korea.</t>
  </si>
  <si>
    <t>jslim@sookmyung.ac.kr; hpark@korea.ac.kr</t>
  </si>
  <si>
    <t>Lee, Seungjae/0000-0002-2404-3107; Jo, Euna/0000-0003-2666-6743; Park, Hyun/0000-0002-8055-2010</t>
  </si>
  <si>
    <t>Ecosystem Structure and Function of Marine Protected Area (MPA) in Antarctica project - Ministry of Oceans and Fisheries [PM20060, 20170336]; Post-Polar Genomics Project: Functional genomic study for securing of polar useful genes - Korea Polar Research Institute [PE20040]; Korea University</t>
  </si>
  <si>
    <t>Ecosystem Structure and Function of Marine Protected Area (MPA) in Antarctica project - Ministry of Oceans and Fisheries; Post-Polar Genomics Project: Functional genomic study for securing of polar useful genes - Korea Polar Research Institute; Korea University</t>
  </si>
  <si>
    <t>This research was supported by the Ecosystem Structure and Function of Marine Protected Area (MPA) in Antarctica project (PM20060), funded by the Ministry of Oceans and Fisheries [20170336], Post-Polar Genomics Project: Functional genomic study for securing of polar useful genes [PE20040] funded by Korea Polar Research Institute and a Korea University Grant to H. P.</t>
  </si>
  <si>
    <t>2380-2359</t>
  </si>
  <si>
    <t>MITOCHONDRIAL DNA B</t>
  </si>
  <si>
    <t>Mitochondrial DNA Part B-Resour.</t>
  </si>
  <si>
    <t>JUL 2</t>
  </si>
  <si>
    <t>10.1080/23802359.2020.1787275</t>
  </si>
  <si>
    <t>Genetics &amp; Heredity</t>
  </si>
  <si>
    <t>MO8FH</t>
  </si>
  <si>
    <t>WOS:000551754000001</t>
  </si>
  <si>
    <t>Wagner, PM; Hughes, N; Bourbonnais, P; Stroeve, J; Rabenstein, L; Bhatt, U; Little, J; Wiggins, H; Fleming, A</t>
  </si>
  <si>
    <t>Wagner, Penelope Mae; Hughes, Nick; Bourbonnais, Pascale; Stroeve, Julienne; Rabenstein, Lasse; Bhatt, Uma; Little, Joe; Wiggins, Helen; Fleming, Andrew</t>
  </si>
  <si>
    <t>Sea-ice information and forecast needs for industry maritime stakeholders</t>
  </si>
  <si>
    <t>POLAR GEOGRAPHY</t>
  </si>
  <si>
    <t>Sea-ice; forecast; stakeholders; operational; navigation; spatial and temporal resolution</t>
  </si>
  <si>
    <t>APERTURE RADAR IMAGERY; L-BAND SAR; THICKNESS DISTRIBUTION; PASSIVE MICROWAVE; C-BAND; ASSIMILATION; WEATHER; MODEL; SNOW; PREDICTABILITY</t>
  </si>
  <si>
    <t>Profound changes in Arctic sea-ice, a growing desire to utilize the Arctic's abundant natural resources, and the potential competitiveness of Arctic shipping routes, all provide for increased industry marine activity throughout the Arctic Ocean. This is anticipated to result in further challenges for maritime safety. Those operating in ice-infested waters require various types of information for sea-ice and iceberg hazards. Ice information requirements depend on regional needs and whether the stakeholder wants to avoid ice all together, operate near or in the Marginal Ice Zone, or areas within the ice pack. An insight into user needs demonstrates how multiple spatial and temporal resolutions for sea-ice information and forecasts are necessary to provide information to the marine operating community for safety, planning, and situational awareness. Although ship-operators depend on sea-ice information for tactical navigation, stakeholders working in route and capacity planning can benefit from climatological and long-range forecast information at lower spatial and temporal resolutions where the interest is focused on open-water season. The advent of the Polar Code has brought with it additional information requirements, and exposed gaps in capacity and knowledge. Thus, future satellite data sources should be at resolutions that support both tactical and planning activities.</t>
  </si>
  <si>
    <t>[Wagner, Penelope Mae; Hughes, Nick] Norwegian Ice Serv, Meteorol Inst, Tromso, Norway; [Bourbonnais, Pascale] Fednav Ltd, Montreal, PQ, Canada; [Stroeve, Julienne] Univ Manitoba, Ctr Earth Observat Sci, Winnipeg, MB, Canada; [Rabenstein, Lasse] Drift Noise Polar Serv GmbH, Bremen, Germany; [Bhatt, Uma] Univ Alaska Fairbanks, Dept Atmospher Sci, Fairbanks, AK USA; [Bhatt, Uma] Univ Alaska Fairbanks, Inst Geophys, Fairbanks, AK 99775 USA; [Little, Joe] Univ Alaska Fairbanks, Sch Management, Fairbanks, AK USA; [Wiggins, Helen] Arctic Res Consortium United States, Fairbanks, AK USA; [Fleming, Andrew] British Antarctic Survey, Cambridge, England</t>
  </si>
  <si>
    <t>University of Manitoba; University of Alaska System; University of Alaska Fairbanks; University of Alaska System; University of Alaska Fairbanks; University of Alaska System; University of Alaska Fairbanks; UK Research &amp; Innovation (UKRI); Natural Environment Research Council (NERC); NERC British Antarctic Survey</t>
  </si>
  <si>
    <t>Wagner, PM (corresponding author), Norwegian Ice Serv, Meteorol Inst, Tromso, Norway.</t>
  </si>
  <si>
    <t>penelopew@met.no</t>
  </si>
  <si>
    <t>Wagner, Penelope Mae/ABQ-4377-2022; Bhatt, Uma S/D-3674-2009; Stroeve, Julienne/ABE-7227-2020; Hughes, Nicholas/AAI-1595-2021</t>
  </si>
  <si>
    <t>Wagner, Penelope Mae/0000-0001-5268-4510; Hughes, Nicholas/0000-0002-3510-0656; Bhatt, Uma/0000-0003-1056-3686; Stroeve, Julienne/0000-0001-7316-8320</t>
  </si>
  <si>
    <t>European Union (EU) [821984]; Natural Research Environment Research Council (NERC) [NE/R017123/1]; Sea Ice Prediction Network (SIPN2) National Science Foundation OPP [1749081]; EU [640161]; European Union [262922, 265863, 603887]; NERC [NE/R017123/1, NE/T009470/1, bas010011, cpom30001] Funding Source: UKRI; Office of Polar Programs (OPP); Directorate For Geosciences [1749081] Funding Source: National Science Foundation; H2020 Societal Challenges Programme [821984] Funding Source: H2020 Societal Challenges Programme</t>
  </si>
  <si>
    <t>European Union (EU)(European Union (EU)CGIAR); Natural Research Environment Research Council (NERC); Sea Ice Prediction Network (SIPN2) National Science Foundation OPP; EU(European Union (EU)); European Union(European Union (EU)); NERC(UK Research &amp; Innovation (UKRI)Natural Environment Research Council (NERC)); Office of Polar Programs (OPP); Directorate For Geosciences(National Science Foundation (NSF)NSF - Directorate for Geosciences (GEO)); H2020 Societal Challenges Programme(Horizon 2020European Union (EU)H2020 Societal Challenges Programme)</t>
  </si>
  <si>
    <t>This study has received funding from the European Union (EU) Horizon 2020 research and innovation programme under grant agreement no. 821984 for KEPLER and the Natural Research Environment Research Council (NERC) [grant number NE/R017123/1], and the Sea Ice Prediction Network (SIPN2) National Science Foundation OPP [grant number 1749081]. The research leading to these results has received funding from the EU Horizon 2020 [grant number 640161] (SPICES) and European Union's Seventh Framework Programme (FP7/2007-2013) under grant agreement no.: 262922 (SIDARUS); 265863 (ACCESS); and 603887 (ICE ARC).</t>
  </si>
  <si>
    <t>TAYLOR &amp; FRANCIS INC</t>
  </si>
  <si>
    <t>PHILADELPHIA</t>
  </si>
  <si>
    <t>530 WALNUT STREET, STE 850, PHILADELPHIA, PA 19106 USA</t>
  </si>
  <si>
    <t>1088-937X</t>
  </si>
  <si>
    <t>1939-0513</t>
  </si>
  <si>
    <t>POLAR GEOGR</t>
  </si>
  <si>
    <t>Polar Geogr.</t>
  </si>
  <si>
    <t>2-3</t>
  </si>
  <si>
    <t>10.1080/1088937X.2020.1766592</t>
  </si>
  <si>
    <t>Emerging Sources Citation Index (ESCI)</t>
  </si>
  <si>
    <t>MH8FI</t>
  </si>
  <si>
    <t>WOS:000546957500005</t>
  </si>
  <si>
    <t>Handcock, MS; Raphael, MN</t>
  </si>
  <si>
    <t>Handcock, Mark S.; Raphael, Marilyn N.</t>
  </si>
  <si>
    <t>Modeling the annual cycle of daily Antarctic sea ice extent</t>
  </si>
  <si>
    <t>TRENDS; VARIABILITY; CLIMATE</t>
  </si>
  <si>
    <t>The total Antarctic sea ice extent (SIE) experiences a distinct annual cycle, peaking in September and reaching its minimum in February. In this paper we propose a mathematical and statistical decomposition of this temporal variation in SIE. Each component is interpretable and, when combined, gives a complete picture of the variation in the sea ice. We consider timescales varying from the instantaneous and not previously defined to the multi-decadal curvilinear trend, the longest. Because our representation is daily, these timescales of variability give precise information about the timing and rates of advance and retreat of the ice and may be used to diagnose physical contributors to variability in the sea ice. We define a number of annual cycles each capturing different components of variation, especially the yearly amplitude and phase that are major contributors to SIE variation. Using daily sea ice concentration data, we show that our proposed invariant annual cycle explains 29% more of the variation in daily SIE than the traditional method. The proposed annual cycle that incorporates amplitude and phase variation explains 77% more variation than the traditional method. The variation in phase explains more of the variability in SIE than the amplitude. Using our methodology, we show that the anomalous decay of sea ice in 2016 was associated largely with a change of phase rather than amplitude. We show that the long term trend in Antarctic sea ice extent is strongly curvilinear and the reported positive linear trend is small and dependent strongly on a positive trend that began around 2011 and continued until 2016.</t>
  </si>
  <si>
    <t>[Handcock, Mark S.] Univ Calif Los Angeles, Dept Stat, Los Angeles, CA 90024 USA; [Raphael, Marilyn N.] Univ Calif Los Angeles, Dept Geog, Los Angeles, CA 90024 USA</t>
  </si>
  <si>
    <t>University of California System; University of California Los Angeles; University of California System; University of California Los Angeles</t>
  </si>
  <si>
    <t>Handcock, MS (corresponding author), Univ Calif Los Angeles, Dept Stat, Los Angeles, CA 90024 USA.</t>
  </si>
  <si>
    <t>handcock@stat.ucla.edu</t>
  </si>
  <si>
    <t>Handcock, Mark S./AAY-3318-2021</t>
  </si>
  <si>
    <t>Handcock, Mark S./0000-0002-9985-2785</t>
  </si>
  <si>
    <t>National Science Foundation, Office of Polar Programs [NSF-OPP-1745089]</t>
  </si>
  <si>
    <t>National Science Foundation, Office of Polar Programs(National Science Foundation (NSF))</t>
  </si>
  <si>
    <t>This research has been supported by the National Science Foundation, Office of Polar Programs (grant no. NSF-OPP-1745089).</t>
  </si>
  <si>
    <t>10.5194/tc-14-2159-2020</t>
  </si>
  <si>
    <t>MH4GC</t>
  </si>
  <si>
    <t>WOS:000546688700001</t>
  </si>
  <si>
    <t>Jo, E; Cho, YH; Lee, SJ; Choi, E; Kim, JH; Chi, YM; Kim, JH; Park, H</t>
  </si>
  <si>
    <t>Jo, Euna; Cho, Yll Hwan; Lee, Seung Jae; Choi, Eunkyung; Kim, Jeong-Hoon; Chi, Young Min; Kim, Jin-Hyoung; Park, Hyun</t>
  </si>
  <si>
    <t>The complete mitochondrial genome of the Antarctic marbled rockcod,Notothenia rossii(Perciformes, Nototheniidae)</t>
  </si>
  <si>
    <t>Notothenia rossii; mitochondrial genome; Antarctica; Notothenioidei; PacBio</t>
  </si>
  <si>
    <t>CORIICEPS</t>
  </si>
  <si>
    <t>The complete mitochondrial genome ofNotothenia rossiiwas obtained using PacBio Sequel long-read sequencing platform. The mitogenome ofN. rossiiwas circular form and 18,274 bp long, which consists of 13 protein-coding genes, 24 tRNAs, 2 rRNAs, and non-coding control region. Particularly, we found duplicated tRNA(Thr)and tRNA(Pro)in addition to the typical 22 tRNAs. The phylogenetic tree revealed thatN. rossiiwas most closely related toN. coriicepsamong species in the Nototheniidae clade within the suborder Notothenioidei.</t>
  </si>
  <si>
    <t>[Jo, Euna; Cho, Yll Hwan; Lee, Seung Jae; Choi, Eunkyung; Chi, Young Min; Park, Hyun] Korea Univ, Coll Life Sci &amp; Biotechnol, Div Biotechnol, Seoul 02841, South Korea; [Jo, Euna; Kim, Jin-Hyoung] Korea Polar Res Inst KOPRI, Unit Res Pract Applicat, Incheon 21990, South Korea; [Kim, Jeong-Hoon] Korea Polar Res Inst, Div Polar Life Sci, Incheon, South Korea</t>
  </si>
  <si>
    <t>Korea University; Korea Polar Research Institute (KOPRI); Korea Polar Research Institute (KOPRI)</t>
  </si>
  <si>
    <t>Park, H (corresponding author), Korea Univ, Coll Life Sci &amp; Biotechnol, Div Biotechnol, Seoul 02841, South Korea.;Kim, JH (corresponding author), Korea Polar Res Inst KOPRI, Unit Res Pract Applicat, Incheon 21990, South Korea.</t>
  </si>
  <si>
    <t>kimjh@kopri.re.kr; hpark@korea.ac.kr</t>
  </si>
  <si>
    <t>Lee, Seungjae/0000-0002-2404-3107; Jo, Euna/0000-0003-2666-6743</t>
  </si>
  <si>
    <t>Post-Polar Genomics Project: Functional genomic study for securing of polar useful genes [PE20040]; Korea University</t>
  </si>
  <si>
    <t>Post-Polar Genomics Project: Functional genomic study for securing of polar useful genes; Korea University</t>
  </si>
  <si>
    <t>This research was supported by Post-Polar Genomics Project: Functional genomic study for securing of polar useful genes [PE20040] and a Korea University Grant to H. P.</t>
  </si>
  <si>
    <t>10.1080/23802359.2020.1775507</t>
  </si>
  <si>
    <t>MH6DC</t>
  </si>
  <si>
    <t>WOS:000546816300001</t>
  </si>
  <si>
    <t>Verschuur, J; Le Bars, D; Katsman, CA; de Vries, S; Ranasinghe, R; Drijfhout, SS; Aarninkhof, SGJ</t>
  </si>
  <si>
    <t>Verschuur, Jasper; Le Bars, Dewi; Katsman, Caroline A.; de Vries, Sierd; Ranasinghe, Roshanka; Drijfhout, Sybren S.; Aarninkhof, Stefan G. J.</t>
  </si>
  <si>
    <t>Implications of ambiguity in Antarctic ice sheet dynamics for future coastal erosion estimates: a probabilistic assessment</t>
  </si>
  <si>
    <t>CLIMATIC CHANGE</t>
  </si>
  <si>
    <t>Coastal erosion; Sea-level rise; Probabilistics; Antarctica; Rapid disintegration</t>
  </si>
  <si>
    <t>SEA-LEVEL RISE; CLIMATE-CHANGE IMPACTS; DUNE EROSION; STATISTICAL SIMULATION; EXPERT JUDGMENT; FLOODING RISK; WAVE CLIMATE; MARINE; UNCERTAINTY; RECESSION</t>
  </si>
  <si>
    <t>Sea-level rise (SLR) can amplify the episodic erosion from storms and drive chronic erosion on sandy shorelines, threatening many coastal communities. One of the major uncertainties in SLR projections is the potential rapid disintegration of large fractions of the Antarctic ice sheet (AIS). Quantifying this uncertainty is essential to support sound risk management of coastal areas, although it is neglected in many erosion impact assessments. Here, we use the island of Sint Maarten as a case study to evaluate the impact of AIS uncertainty for future coastal recession. We estimate SLR-induced coastal recession using a probabilistic framework and compare and contrast three cases of AIS dynamics within the range of plausible futures. Results indicate that projections of coastal recession are sensitive to local morphological factors and assumptions made on how AIS dynamics are incorporated into SLR projections and that underestimating the potential rapid mass loss from the AIS can lead to ill-informed coastal adaptation decisions.</t>
  </si>
  <si>
    <t>[Verschuur, Jasper; Katsman, Caroline A.; de Vries, Sierd; Aarninkhof, Stefan G. J.] Delft Univ Technol, Dept Hydraul Engn, Stevinweg 1, NL-2628 CN Delft, Netherlands; [Verschuur, Jasper; Le Bars, Dewi; Drijfhout, Sybren S.] Royal Netherlands Meteorol Inst, Utrechtseweg 297, NL-3731 GA De Bilt, Netherlands; [Drijfhout, Sybren S.] Univ Utrecht, Dept Phys, Inst Marine &amp; Atmospher Res Utrecht, Princetonpl 5, NL-3584 CC Utrecht, Netherlands; [Ranasinghe, Roshanka] IHE, UNESCO, Dept Water Engn, NL-3015 DA Delft, Netherlands; [Ranasinghe, Roshanka] Univ Twente, Water Engn &amp; Management, NL-7500 AE Enschede, Netherlands; [Ranasinghe, Roshanka] Deltares, Harbour Coastal &amp; Offshore Engn, NL-2600 MH Delft, Netherlands</t>
  </si>
  <si>
    <t>Delft University of Technology; Royal Netherlands Meteorological Institute; Utrecht University; IHE Delft Institute for Water Education; University of Twente; Deltares</t>
  </si>
  <si>
    <t>Verschuur, J (corresponding author), Delft Univ Technol, Dept Hydraul Engn, Stevinweg 1, NL-2628 CN Delft, Netherlands.;Verschuur, J (corresponding author), Royal Netherlands Meteorol Inst, Utrechtseweg 297, NL-3731 GA De Bilt, Netherlands.</t>
  </si>
  <si>
    <t>jasperverschuur@gmail.com</t>
  </si>
  <si>
    <t>Ranasinghe, Roshanka/C-6711-2009; Drijfhout, Sybren/I-4230-2016; Le Bars, Dewi/AAK-8631-2020</t>
  </si>
  <si>
    <t>Ranasinghe, Roshanka/0000-0001-6234-2063; Le Bars, Dewi/0000-0002-1175-4225; Verschuur, Jasper/0000-0002-5277-4353; Drijfhout, Sybren/0000-0001-5325-7350; de Vries, Sierd/0000-0001-5865-3715</t>
  </si>
  <si>
    <t>AXA Research fund; Deltares Strategic Research Programme Coastal and Offshore Engineering</t>
  </si>
  <si>
    <t>AXA Research fund(AXA Research Fund); Deltares Strategic Research Programme Coastal and Offshore Engineering</t>
  </si>
  <si>
    <t>The authors would like to thank Arjen Luijendijk for providing the satellite-derived shoreline positions of the Sint Maarten beaches. We further would like to acknowledge Ali Dastgheib for fruitful discussions during the research. RR is supported by the AXA Research fund and the Deltares Strategic Research Programme Coastal and Offshore Engineering.</t>
  </si>
  <si>
    <t>0165-0009</t>
  </si>
  <si>
    <t>1573-1480</t>
  </si>
  <si>
    <t>Clim. Change</t>
  </si>
  <si>
    <t>10.1007/s10584-020-02769-4</t>
  </si>
  <si>
    <t>OC5FL</t>
  </si>
  <si>
    <t>WOS:000545458800001</t>
  </si>
  <si>
    <t>Martín-Martín, RP; Vilajoliu-Galcerán, E; Lluch, JR; Angulo-Preckler, C; Avila, C; Garreta, AG</t>
  </si>
  <si>
    <t>Martin-Martin, Rafael P.; Vilajoliu-Galceran, Elisenda; Rull Lluch, Jordi; Angulo-Preckler, Carlos; avila, Conxita; Gomez Garreta, Amelia</t>
  </si>
  <si>
    <t>Nuclear DNA content estimations and nuclear development patterns in Antarctic macroalgae</t>
  </si>
  <si>
    <t>Nuclear DNA content; Nuclear patterns; Antarctica; Seaweeds</t>
  </si>
  <si>
    <t>GENOME SIZE; ANGIOSPERMS; GREEN; MECHANISMS; RHODOPHYTA; EVOLUTION; ORIGIN; ALGAE; RED</t>
  </si>
  <si>
    <t>Nuclear DNA content of marine macroalgae is known for only about a 3% of the globally known taxa, and so far, the only available data concerning marine Antarctic macroalgae refer to the PhaeophyceaeAscoseira mirabilisandDesmarestia antarctica. As these data can be useful for species delimitation when combined with other taxonomical information, we aimed to expand the available number of measurements in the understudied Antarctic seaweed flora. To address this, we measured the nuclear DNA content of 12 Antarctic marine algae (seven Rhodophyceae and five Phaeophyceae). Nuclear DNA analyses were carried out by spectrofluorimetry and image analysis from samples conserved in Carnoy, using DAPI as DNA marker. For ten of these taxa, our values represent the first estimations to date. The nuclear DNA content estimates obtained for the Antarctic red algae examined vary between 2C = 0.38 pg inGigartina skottsbergiiand 2C = 1.63 pg inNeuroglossum delesseriae. In brown algae, the values range from 2C = 0.18 pg in bothDesmarestia antarcticaandDesmarestia menziesiito 2C = 0.96 pg inPhaeurus antarcticus. Furthermore, this study allowed us to identify nuclear developmental patterns for the first time in two Antarctic seaweeds (Ballia callitrichaandNeuroglossum delesseriae).</t>
  </si>
  <si>
    <t>[Martin-Martin, Rafael P.; Vilajoliu-Galceran, Elisenda; Rull Lluch, Jordi; Gomez Garreta, Amelia] Univ Barcelona, Lab Bot, Fac Pharm &amp; Food Sci, Ave Joan XXIII 27-31, Barcelona 08028, Spain; [Martin-Martin, Rafael P.; Rull Lluch, Jordi; Angulo-Preckler, Carlos; avila, Conxita; Gomez Garreta, Amelia] Biodivers Res Inst IrBIO, Campus Sud,Ave Diagonal 643, Barcelona 08028, Spain; [Martin-Martin, Rafael P.; Rull Lluch, Jordi; Gomez Garreta, Amelia] Univ Barcelona, Plant Biodivers Resource Ctr CeDocBiV, Baldiri Reixac 2, Barcelona 08028, Spain; [Angulo-Preckler, Carlos; avila, Conxita] Univ Barcelona, Dept Evolutionary Biol Ecol &amp; Environm Sci, Ave Diagonal 643, Barcelona 08028, Catalonia, Spain</t>
  </si>
  <si>
    <t>University of Barcelona; University of Barcelona; University of Barcelona</t>
  </si>
  <si>
    <t>Martín-Martín, RP (corresponding author), Univ Barcelona, Lab Bot, Fac Pharm &amp; Food Sci, Ave Joan XXIII 27-31, Barcelona 08028, Spain.;Martín-Martín, RP (corresponding author), Biodivers Res Inst IrBIO, Campus Sud,Ave Diagonal 643, Barcelona 08028, Spain.;Martín-Martín, RP (corresponding author), Univ Barcelona, Plant Biodivers Resource Ctr CeDocBiV, Baldiri Reixac 2, Barcelona 08028, Spain.</t>
  </si>
  <si>
    <t>ginkopsida@gmail.com; elisenda.vilajoliu@ub.edu; jordirull@ub.edu; carlos.angulo@ub.edu; conxita.avila@ub.edu; ameliagomez@ub.edu</t>
  </si>
  <si>
    <t>Angulo_Preckler, Carlos/A-6456-2011; Avila, Conxita/B-9466-2008</t>
  </si>
  <si>
    <t>Angulo_Preckler, Carlos/0000-0001-9028-274X; Avila, Conxita/0000-0002-5489-8376; Martin-Martin, Rafael P./0000-0002-6650-6771</t>
  </si>
  <si>
    <t>ACTIQUIM-I research project [CGL2007-65453/ANT]; ACTIQUIM-II research project [CTM2010-17415]; AGAUR, Catalan Government [2017SGR1116]</t>
  </si>
  <si>
    <t>ACTIQUIM-I research project; ACTIQUIM-II research project; AGAUR, Catalan Government(Agencia de Gestio D'Ajuts Universitaris de Recerca Agaur (AGAUR))</t>
  </si>
  <si>
    <t>This work was developed within the frames of the ACTIQUIM-I (CGL2007-65453/ANT) and ACTIQUIM-II (CTM2010-17415) research projects, as well as 2017SGR1116 (AGAUR, Catalan Government).</t>
  </si>
  <si>
    <t>10.1007/s00300-020-02708-0</t>
  </si>
  <si>
    <t>WOS:000545043600001</t>
  </si>
  <si>
    <t>Zhou, YS; Li, YN; Cheng, H; Halanych, KM; Wang, CS</t>
  </si>
  <si>
    <t>Zhou, Yadong; Li, Yuanning; Cheng, Hong; Halanych, Kenneth M.; Wang, Chunsheng</t>
  </si>
  <si>
    <t>The mitochondrial genome of the bone-eating worm Osedaxrubiplumus(Annelida, Siboglinidae)</t>
  </si>
  <si>
    <t>Osedax; mitogenome; Southwest Indian Ridge; East Pacific</t>
  </si>
  <si>
    <t>ANNELIDA; OSEDAX; PHYLOGENY</t>
  </si>
  <si>
    <t>Osedaxrubiplumus(Annelida, Siboglinidae)uses heterotrophic bacteria to feed onvertebrate carcasses and is currently found in the Pacific, Antarctic and Indian Ocean.Here, we report its nearly complete mitochondrial genomes assembled for 2 individuals, one from the East Pacific and the other from the Southwest Indian Ocean. Recoveredmitogenomes were 15591 and 15972 bp in length, with both consisting of 37 typical metazoan mitochondrial genes. All genes were transcribed from the same strand, and arranged in the same order as the other siboglinids, revealing conserved gene arrangement withinSiboglinidae. Phylogeneticanalysis of 13 protein coding genes confirms the placement of Osedaxsister to the Vestimentifera+Sclerolinum clade.</t>
  </si>
  <si>
    <t>[Zhou, Yadong; Cheng, Hong; Wang, Chunsheng] Minist Nat Resources, Key Lab Marine Ecosyst Dynam, Inst Oceanog 2, Hangzhou 310012, Peoples R China; [Li, Yuanning] Vanderbilt Univ, Dept Biol Sci, 221 Kirkland Hall, Nashville, TN 37235 USA; [Halanych, Kenneth M.] Auburn Univ, Dept Biol Sci, Auburn, AL 36849 USA; [Wang, Chunsheng] State Key Lab Satellite Ocean Environm Dynam, Shanghai 310012, Peoples R China; [Wang, Chunsheng] Shanghai Jiao Tong Univ, Sch Oceanog, Shanghai 200240, Peoples R China</t>
  </si>
  <si>
    <t>Ministry of Natural Resources of the People's Republic of China; Vanderbilt University; Auburn University System; Auburn University; Shanghai Jiao Tong University</t>
  </si>
  <si>
    <t>Wang, CS (corresponding author), Minist Nat Resources, Key Lab Marine Ecosyst Dynam, Inst Oceanog 2, Hangzhou 310012, Peoples R China.;Wang, CS (corresponding author), State Key Lab Satellite Ocean Environm Dynam, Shanghai 310012, Peoples R China.;Wang, CS (corresponding author), Shanghai Jiao Tong Univ, Sch Oceanog, Shanghai 200240, Peoples R China.</t>
  </si>
  <si>
    <t>wangsio@sio.org.cn</t>
  </si>
  <si>
    <t>Li, Yuanning/GXH-5887-2022; Halanych, Ken M/A-9480-2009; Li, Yuanning/AAE-4533-2021</t>
  </si>
  <si>
    <t>Li, Yuanning/0000-0002-2206-5804; Li, Yuanning/0000-0002-2206-5804</t>
  </si>
  <si>
    <t>Foundation of China Ocean Mineral Resources RD Association [DY135-E2-1-02, DY135-E2-1-01, DYHC-135-43, DYHC-135-49]; USA National Science Foundation [OCE-1155188, ANT-1043745]; National Natural Science Foundation of China (NSFC) [41606156]</t>
  </si>
  <si>
    <t>Foundation of China Ocean Mineral Resources RD Association; USA National Science Foundation(National Science Foundation (NSF)); National Natural Science Foundation of China (NSFC)(National Natural Science Foundation of China (NSFC))</t>
  </si>
  <si>
    <t>The authors thank: all the scientists and crew on the R/V Xiangyanghong 10for their help in the specimens' collection during the expeditions DY43 and DY49. This work was supported by the Foundation of China Ocean Mineral Resources R&amp;D Association [No. DY135-E2-1-02 and DY135-E2-1-01], USA National Science Foundation OCE-1155188 and ANT-1043745, and the National Natural Science Foundation of China (NSFC) [Grant No. 41606156]. Cruises DY43 and DY49 were supported by the Foundation of China Ocean Mineral Resources R&amp;D Association [No. DYHC-135-43 and No. DYHC-135-49].</t>
  </si>
  <si>
    <t>10.1080/23802359.2020.1772680</t>
  </si>
  <si>
    <t>LX3JY</t>
  </si>
  <si>
    <t>WOS:000539732500001</t>
  </si>
  <si>
    <t>Marzeion, B; Hock, R; Anderson, B; Bliss, A; Champollion, N; Fujita, K; Huss, M; Immerzeel, WW; Kraaijenbrink, P; Malles, JH; Maussion, F; Radic, V; Rounce, DR; Sakai, A; Shannon, S; van de Wal, R; Zekollari, H</t>
  </si>
  <si>
    <t>Marzeion, Ben; Hock, Regine; Anderson, Brian; Bliss, Andrew; Champollion, Nicolas; Fujita, Koji; Huss, Matthias; Immerzeel, Walter W.; Kraaijenbrink, Philip; Malles, Jan-Hendrik; Maussion, Fabien; Radic, Valentina; Rounce, David R.; Sakai, Akiko; Shannon, Sarah; van de Wal, Roderik; Zekollari, Harry</t>
  </si>
  <si>
    <t>Partitioning the Uncertainty of Ensemble Projections of Global Glacier Mass Change</t>
  </si>
  <si>
    <t>EARTHS FUTURE</t>
  </si>
  <si>
    <t>glacier; modeling; sea level rise; projections; uncertainties</t>
  </si>
  <si>
    <t>SEA-LEVEL RISE; 20-1ST CENTURY; CLIMATE-CHANGE; COMPLETE INVENTORY; BALANCE; MODEL; AREA; IMPACT; CMIP5</t>
  </si>
  <si>
    <t>Glacier mass loss is recognized as a major contributor to current sea level rise. However, large uncertainties remain in projections of glacier mass loss on global and regional scales. We present an ensemble of 288 glacier mass and area change projections for the 21st century based on 11 glacier models using up to 10 general circulation models and four Representative Concentration Pathways (RCPs) as boundary conditions. We partition the total uncertainty into the individual contributions caused by glacier models, general circulation models, RCPs, and natural variability. We find that emission scenario uncertainty is growing throughout the 21st century and is the largest source of uncertainty by 2100. The relative importance of glacier model uncertainty decreases over time, but it is the greatest source of uncertainty until the middle of this century. The projection uncertainty associated with natural variability is small on the global scale but can be large on regional scales. The projected global mass loss by 2100 relative to 2015 (79 +/- 56 mm sea level equivalent for RCP2.6, 159 +/- 86 mm sea level equivalent for RCP8.5) is lower than, but well within, the uncertainty range of previous projections.</t>
  </si>
  <si>
    <t>[Marzeion, Ben; Champollion, Nicolas; Malles, Jan-Hendrik] Univ Bremen, Inst Geog, Bremen, Germany; [Marzeion, Ben; Malles, Jan-Hendrik] Univ Bremen, MARUM Ctr Marine Environm Sci, Bremen, Germany; [Hock, Regine; Rounce, David R.] Univ Alaska Fairbanks, Inst Geophys, Fairbanks, AK 99775 USA; [Anderson, Brian] Victoria Univ Wellington, Antarctic Res Ctr, Wellington, New Zealand; [Bliss, Andrew] Colorado State Univ, Dept Anthropol &amp; Geog, Ft Collins, CO 80523 USA; [Champollion, Nicolas] Univ Grenoble Alpes, IRD, CNRS, Inst Geosci Environm, Grenoble, France; [Fujita, Koji; Sakai, Akiko] Nagoya Univ, Grad Sch Environm Studies, Nagoya, Aichi, Japan; [Huss, Matthias; Zekollari, Harry] Swiss Fed Inst Technol, Lab Hydraul Hydrol &amp; Glaciol VAW, Zurich, Switzerland; [Huss, Matthias; Zekollari, Harry] Swiss Fed Inst Forest Snow &amp; Landscape Res WSL, Birmensdorf, Switzerland; [Huss, Matthias] Univ Fribourg, Dept Geosci, Fribourg, Switzerland; [Immerzeel, Walter W.; Kraaijenbrink, Philip; van de Wal, Roderik] Univ Utrecht, Dept Phys Geog, Utrecht, Netherlands; [Maussion, Fabien] Univ Innsbruck, Dept Atmospher &amp; Cryospher Sci, Innsbruck, Austria; [Radic, Valentina] Univ British Columbia, Dept Earth Ocean &amp; Atmospher Sci, Vancouver, BC, Canada; [Shannon, Sarah] Univ Bristol, Sch Geog Sci, Bristol, Avon, England; [van de Wal, Roderik] Univ Utrecht, Inst Marine &amp; Atmospher Res Utrecht, Utrecht, Netherlands; [Zekollari, Harry] Delft Univ Technol, Dept Geosci &amp; Remote Sensing, Delft, Netherlands; [Zekollari, Harry] Univ Libre Bruxelles, Lab Glaciol, Brussels, Belgium</t>
  </si>
  <si>
    <t>University of Bremen; University of Bremen; University of Alaska System; University of Alaska Fairbanks; Victoria University Wellington; Colorado State University; Institut de Recherche pour le Developpement (IRD); Communaute Universite Grenoble Alpes; Universite Grenoble Alpes (UGA); Centre National de la Recherche Scientifique (CNRS); Nagoya University; Swiss Federal Institutes of Technology Domain; ETH Zurich; Swiss Federal Institutes of Technology Domain; Swiss Federal Institute for Forest, Snow &amp; Landscape Research; University of Fribourg; Utrecht University; University of Innsbruck; University of British Columbia; University of Bristol; Utrecht University; Delft University of Technology; Universite Libre de Bruxelles</t>
  </si>
  <si>
    <t>Marzeion, B (corresponding author), Univ Bremen, Inst Geog, Bremen, Germany.;Marzeion, B (corresponding author), Univ Bremen, MARUM Ctr Marine Environm Sci, Bremen, Germany.</t>
  </si>
  <si>
    <t>ben.marzeion@uni-bremen.de</t>
  </si>
  <si>
    <t>Fujita, Koji/E-6104-2010; Huss, Matthias/JLL-6340-2023; van de wal, roderik/D-1705-2011; Sakai, Akiko/M-5413-2013; Maussion, Fabien/B-9814-2013; Immerzeel, Walter W/E-2489-2012; Hock, Regine/C-6179-2013; Hock, Regine/JTT-4089-2023; Marzeion, Ben/G-6514-2013; Champollion, Nicolas/B-7921-2014</t>
  </si>
  <si>
    <t>Fujita, Koji/0000-0003-3753-4981; van de wal, roderik/0000-0003-2543-3892; Maussion, Fabien/0000-0002-3211-506X; Hock, Regine/0000-0001-8336-9441; Marzeion, Ben/0000-0002-6185-3539; Bliss, Andrew/0000-0002-8637-1923; Champollion, Nicolas/0000-0001-7988-4694; Zekollari, Harry/0000-0002-7443-4034; Rounce, David/0000-0002-4481-4191; Malles, Jan-Hendrik/0000-0002-4208-704X</t>
  </si>
  <si>
    <t>Climate and Cryosphere (CliC) program; WSL (internal innovative project); BAFU Hydro-CH2018 project; H2020 Marie Skodowska-Curie Individual Fellowship [799904]; NASA-ROSES program [NNX17AB27G, 80NSSC17K0566]; Climate-KIC program of the European Institute for Innovation and Technology; Deutsche Forschungsgemeinschaft (DFG) through the International Research Training Group IRTG 1904 ArcTrain; European Union Seventh Framework Programme FP7/2007-2013 HELIX project [603864]; Deutsche Forschungsgemeinschaft (DFG) [MA 6966/1-2]; Grants-in-Aid for Scientific Research [20H00196] Funding Source: KAKEN; NASA [1003985, NNX17AB27G] Funding Source: Federal RePORTER</t>
  </si>
  <si>
    <t>Climate and Cryosphere (CliC) program; WSL (internal innovative project); BAFU Hydro-CH2018 project; H2020 Marie Skodowska-Curie Individual Fellowship(European Union (EU)); NASA-ROSES program; Climate-KIC program of the European Institute for Innovation and Technology; Deutsche Forschungsgemeinschaft (DFG) through the International Research Training Group IRTG 1904 ArcTrain(German Research Foundation (DFG)); European Union Seventh Framework Programme FP7/2007-2013 HELIX project; Deutsche Forschungsgemeinschaft (DFG)(German Research Foundation (DFG)); Grants-in-Aid for Scientific Research(Ministry of Education, Culture, Sports, Science and Technology, Japan (MEXT)Japan Society for the Promotion of ScienceGrants-in-Aid for Scientific Research (KAKENHI)); NASA(National Aeronautics &amp; Space Administration (NASA))</t>
  </si>
  <si>
    <t>GlacierMIP is sponsored by the Climate and Cryosphere (CliC) program, and we thank in particular Gwenaelle Hamon, for providing administrative support for GlacierMIP. We acknowledge theWorld Climate Research Program'sWorking Group on Coupled Modelling, which is responsible for CMIP5, and we thank the climate modeling groups for producing and making available their model output. H. Z. acknowledges the funding received fromWSL (internal innovative project), the BAFU Hydro-CH2018 project, and a H2020 Marie Skodowska-Curie Individual Fellowship (Grant 799904). R. H. and D. R. R. acknowledge the funding from NASA-ROSES program Grants NNX17AB27G and 80NSSC17K0566. P. K. acknowledges funding from the Climate-KIC program of the European Institute for Innovation and Technology. J. M. was supported by the Deutsche Forschungsgemeinschaft (DFG) through the International Research Training Group IRTG 1904 ArcTrain. S. S. acknowledges funding from the European Union Seventh Framework Programme FP7/2007-2013 HELIX project Grant 603864. B. M. was supported by Deutsche Forschungsgemeinschaft (DFG) Grant MA 6966/1-2. The data presented here are available from Marzeion et al. (2020).</t>
  </si>
  <si>
    <t>2328-4277</t>
  </si>
  <si>
    <t>Earth Future</t>
  </si>
  <si>
    <t>JUL</t>
  </si>
  <si>
    <t>e2019EF001470</t>
  </si>
  <si>
    <t>10.1029/2019EF001470</t>
  </si>
  <si>
    <t>Environmental Sciences; Geosciences, Multidisciplinary; Meteorology &amp; Atmospheric Sciences</t>
  </si>
  <si>
    <t>Environmental Sciences &amp; Ecology; Geology; Meteorology &amp; Atmospheric Sciences</t>
  </si>
  <si>
    <t>MW2JO</t>
  </si>
  <si>
    <t>Green Published, gold, Green Submitted</t>
  </si>
  <si>
    <t>WOS:000556870200010</t>
  </si>
  <si>
    <t>Cessi, P</t>
  </si>
  <si>
    <t>Cessi, Paola</t>
  </si>
  <si>
    <t>Control of Bering Strait Transport by the Meridional Overturning Circulation</t>
  </si>
  <si>
    <t>JOURNAL OF PHYSICAL OCEANOGRAPHY</t>
  </si>
  <si>
    <t>It is well established that the mean transport through Bering Strait is balanced by a sea level difference between the North Pacific and the Arctic Ocean, but no mechanism has been proposed to explain this sea level difference. It is argued that the sea level difference across Bering Strait, which geostrophically balances the northward throughflow, is associated with the sea level difference between the North Pacific and the North Atlantic/Arctic. In turn, the latter difference is caused by deeper middepth isopycnals in the Indo-Pacific than in the Atlantic, especially in the northern high latitudes because there is deep water formation in the Atlantic, but not in the Pacific. Because the depth of the middepth isopycnals is associated with the dynamics of the upper branch of the meridional overturning circulation (MOC), a model is formulated that quantitatively relates the sea level difference between the North Pacific and the Arctic/North Atlantic with the wind stress in the Antarctic Circumpolar region, since this forcing powers the MOC, and with the outcropping isopycnals shared between the Northern Hemisphere and the Antarctic circumpolar region, since this controls the location of deep water formation. This implies that if the sinking associated with the MOC were to occur in the North Pacific, rather than the North Atlantic, then the Bering Strait flow would reverse. These predictions, formalized in a theoretical box model, are confirmed by a series of numerical experiments in a simplified geometry of the World Ocean, forced by steady surface wind stress, temperature, and freshwater flux.</t>
  </si>
  <si>
    <t>[Cessi, Paola] Univ Calif San Diego, Scripps Inst Oceanog, La Jolla, CA 92093 USA</t>
  </si>
  <si>
    <t>University of California System; University of California San Diego; Scripps Institution of Oceanography</t>
  </si>
  <si>
    <t>Cessi, P (corresponding author), Univ Calif San Diego, Scripps Inst Oceanog, La Jolla, CA 92093 USA.</t>
  </si>
  <si>
    <t>pcessi@ucsd.edu</t>
  </si>
  <si>
    <t>National Science Foundation [ACI-1548562, OCE-1634128]</t>
  </si>
  <si>
    <t>Support by the National Science Foundation under Grant OCE-1634128 is gratefully acknowledged. Computational resources were provided by the Extreme Science and Engineering Discovery Environment (XSEDE) on Stampede2 at the Texas Advanced Computing Center through allocation TGOCE130026. XSEDE is supported by the National Science Foundation Grant ACI-1548562.</t>
  </si>
  <si>
    <t>0022-3670</t>
  </si>
  <si>
    <t>1520-0485</t>
  </si>
  <si>
    <t>J PHYS OCEANOGR</t>
  </si>
  <si>
    <t>J. Phys. Oceanogr.</t>
  </si>
  <si>
    <t>10.1175/JPO-D-20-0026.1</t>
  </si>
  <si>
    <t>QG0YW</t>
  </si>
  <si>
    <t>WOS:000617314700003</t>
  </si>
  <si>
    <t>Pollmann, F</t>
  </si>
  <si>
    <t>Pollmann, Friederike</t>
  </si>
  <si>
    <t>Global Characterization of the Ocean's Internal Wave Spectrum</t>
  </si>
  <si>
    <t>ANTARCTIC CIRCUMPOLAR CURRENT; CONTINENTAL-SLOPE; DOUBLE-DIFFUSION; ENERGY; DISSIPATION; VARIABILITY; TOPOGRAPHY; EFFICIENCY; BREAKING; BALANCE</t>
  </si>
  <si>
    <t>A key ingredient of energetically consistent ocean models is the parameterized link between small-scale turbulent mixing, an important energy source of large-scale ocean dynamics, and internal gravity wave energetics. Theory suggests that this link depends on the wave field's spectral characteristics, but because of the paucity of suitable observations, its parameterization typically relies on a model spectrum [Garrett-Munk (GM)] with constant parameters. Building on the so-called finestructure method,'' internal gravity wave spectra are derived from vertical strain profiles obtained from Argo floats to provide a global estimate of the spatial and temporal variability of the GMmodel's spectral parameters. For spectral slopes and wavenumber scales, the highest variability and the strongest deviation from the model's canonical parameters are observed in the North Atlantic, the northwest Pacific, and the Southern Ocean. Internal wave energy levels in the upper ocean are well represented by the GM model value equatorward of approximately 508, while they are up to two orders of magnitude lower poleward of this latitude. The use of variable spectral parameters in the energy level calculation hides the seasonal cycle in the northwest Pacific that was previously observed for constant parameters. The global estimates of how the GM model's spectral parameters vary in space and time are hence expected to add relevant detail to various studies on oceanic internal gravity waves, deepening the understanding of their energetics and improving parameterizations of the mixing they induce.</t>
  </si>
  <si>
    <t>[Pollmann, Friederike] Univ Hamburg, Inst Meereskunde, Hamburg, Germany</t>
  </si>
  <si>
    <t>University of Hamburg</t>
  </si>
  <si>
    <t>Pollmann, F (corresponding author), Univ Hamburg, Inst Meereskunde, Hamburg, Germany.</t>
  </si>
  <si>
    <t>friederike.pollmann@uni-hamburg.de</t>
  </si>
  <si>
    <t>Atmosphere and Ocean, Collaborative Research Center TRR 181- Energy Transfers in/AAY-2721-2020</t>
  </si>
  <si>
    <t>Pollmann, Friederike/0000-0001-7905-4711</t>
  </si>
  <si>
    <t>Deutsche Forschungsgemeinschaft (DFG, German Research Foundation) [274762653, TRR181]</t>
  </si>
  <si>
    <t>Deutsche Forschungsgemeinschaft (DFG, German Research Foundation)(German Research Foundation (DFG))</t>
  </si>
  <si>
    <t>This paper is a contribution to the CollaborativeResearch CentreTRR181 `EnergyTransfers in Atmosphere and Ocean' funded by the Deutsche Forschungsgemeinschaft (DFG, German Research Foundation)-Projektnummer 274762653. The data used in this study were collected and made freely available by the International Argo Program and the national programs that contribute to it (http://www.argo.ucsd.edu, http://argo.jcommops.org).The Argo Program is part of the Global Ocean Observing System. The EKE time series in Fig. 6 was calculated using Copernicus Climate Change Service Information. Discussions with C. Eden and D. Olbers, clarifications by C. Whalen of the details of her implementation, and comments by two anonymous reviewers are gratefully acknowledged.</t>
  </si>
  <si>
    <t>10.1175/JPO-D-19-0185.1</t>
  </si>
  <si>
    <t>WOS:000617314700004</t>
  </si>
  <si>
    <t>Clarke, LJ; Jones, PJ; Ammitzboll, H; Barmuta, LA; Breed, MF; Chariton, A; Charleston, M; Dakwa, V; Dewi, F; Eri, R; Fountain-Jones, NM; Freeman, J; Kendal, D; McDougal, R; Raes, EJ; Sow, SL; Staples, T; Sutcliffe, B; Vemuri, R; Weyrich, LS; Flies, EJ</t>
  </si>
  <si>
    <t>Clarke, Laurence J.; Jones, Penelope J.; Ammitzboll, Hans; Barmuta, Leon A.; Breed, Martin F.; Chariton, Anthony; Charleston, Michael; Dakwa, Vongai; Dewi, Fera; Eri, Rajaraman; Fountain-Jones, Nicholas M.; Freeman, Jules; Kendal, Dave; McDougal, Rebecca; Raes, Eric J.; Sow, Swan Li San; Staples, Timothy; Sutcliffe, Brodie; Vemuri, Ravichandra; Weyrich, Laura S.; Flies, Emily J.</t>
  </si>
  <si>
    <t>Mainstreaming Microbes across Biomes</t>
  </si>
  <si>
    <t>BIOSCIENCE</t>
  </si>
  <si>
    <t>microbiology; environmental science; human ecology; aquatic ecosystems; soil science</t>
  </si>
  <si>
    <t>RESTORATION; ENVIRONMENT; RESISTANCE; DIVERSITY; SELECTION; ECOSYSTEM; DESIGN; DEPEND; RISK</t>
  </si>
  <si>
    <t>Bacteria, fungi, and other microorganisms in the environment (i.e., environmental microbiomes) provide vital ecosystem services and affect human health. Despite their importance, public awareness of environmental microbiomes has lagged behind that of human microbiomes. A key problem has been a scarcity of research demonstrating the microbial connections across environmental biomes (e.g., marine, soil) and between environmental and human microbiomes. We show in the present article, through analyses of almost 10,000 microbiome papers and three global data sets, that there are significant taxonomic similarities in microbial communities across biomes, but very little cross-biome research exists. This disconnect may be hindering advances in microbiome knowledge and translation. In this article, we highlight current and potential applications of environmental microbiome research and the benefits of an interdisciplinary, cross-biome approach. Microbiome scientists need to engage with each other, government, industry, and the public to ensure that research and applications proceed ethically, maximizing the potential benefits to society.</t>
  </si>
  <si>
    <t>[Clarke, Laurence J.; Sow, Swan Li San] Univ Tasmania, Inst Marine &amp; Antarctic Studies, Hobart, Tas, Australia; [Clarke, Laurence J.] Univ Tasmania, Antarctic Climate &amp; Ecosyst Cooperat Res Ctr, Hobart, Tas, Australia; [Jones, Penelope J.] Univ Tasmania, Menzies Inst Med Res, Hobart, Tas, Australia; [Ammitzboll, Hans; Barmuta, Leon A.; Charleston, Michael; Fountain-Jones, Nicholas M.; Flies, Emily J.] Univ Tasmania, Sch Nat Sci, Hobart, Tas, Australia; [Ammitzboll, Hans] Univ Tasmania, Arc Training Ctr Forest Value, Hobart, Tas, Australia; [Breed, Martin F.] Flinders Univ S Australia, Coll Scienceand Engn, Adelaide, SA, Australia; [Breed, Martin F.] Hlth Urban Micmbiome Initiat, Adelaide, SA, Australia; [Chariton, Anthony; Sutcliffe, Brodie] Macquarie Univ, Dept Biol Sci, Sydney, NSW, Australia; [Dakwa, Vongai; Dewi, Fera] Univ Tasmania, Tasmanian Inst Agr, Hobart, Tas, Australia; [Dewi, Fera] Res Ctr Marine &amp; Fisheries Prod Proc &amp; Biotechnol, Minist Marine Affairs &amp; Fisheries, Jakarta, Indonesia; [Eri, Rajaraman; Vemuri, Ravichandra] Univ Tasmania, Sch Hlth Sci, Coll Hlth &amp; Med, Launceston, Tas, Australia; [Freeman, Jules; McDougal, Rebecca] New Zealand Forest Res Inst Ltd, Scion, Rotorua, New Zealand; [Kendal, Dave] Univ Tasmania, Sch Technol Environm &amp; Design, Hobart, Tas, Australia; [Raes, Eric J.; Sow, Swan Li San] Commonwealth Sci &amp; Ind Res Org, Oceans &amp; Atmosphere, Hobart, Tas, Australia; [Staples, Timothy] James Cook Univ, Australian Res Council Ctr Excellence Coral Reef, Townsville, Qld, Australia; [Staples, Timothy] Univ Queensland, Sch Biol Sci, Brisbane, Qld, Australia; [Vemuri, Ravichandra] Wake Forest Baptist Med Ctr, Dept Comparat Med, Sch Med, Winston Salem, NC USA; [Weyrich, Laura S.] Univ Adelaide, Sch Biol Sci, Adelaide, SA, Australia; [Weyrich, Laura S.] Penn State Univ, Dept Anthropol, University Pk, PA 16802 USA</t>
  </si>
  <si>
    <t>University of Tasmania; Antarctic Climate &amp; Ecosystems Cooperative Research Centre (ACE CRC); University of Tasmania; University of Tasmania; Menzies Institute for Medical Research; University of Tasmania; University of Tasmania; Flinders University South Australia; Macquarie University; University of Tasmania; Ministry of Marine Affairs and Fisheries; University of Tasmania; Scion; University of Tasmania; Commonwealth Scientific &amp; Industrial Research Organisation (CSIRO); James Cook University; University of Queensland; Wake Forest University; Wake Forest Baptist Medical Center; University of Adelaide; Pennsylvania Commonwealth System of Higher Education (PCSHE); Pennsylvania State University; Pennsylvania State University - University Park</t>
  </si>
  <si>
    <t>Clarke, LJ (corresponding author), Univ Tasmania, Inst Marine &amp; Antarctic Studies, Hobart, Tas, Australia.;Clarke, LJ (corresponding author), Univ Tasmania, Antarctic Climate &amp; Ecosyst Cooperat Res Ctr, Hobart, Tas, Australia.</t>
  </si>
  <si>
    <t>laurence.clarke@utas.edu.au</t>
  </si>
  <si>
    <t>Dewi, Fera Roswita/AAZ-7542-2021; McDougal, Rebecca/AAT-3224-2021; kendal, dave/HJY-3311-2023; Sow, Swan Li San/C-3454-2016; Chariton, Anthony/F-2373-2011; Vemuri, Ravichandra/AAA-4522-2020; Eri, Rajaraman/AAM-3214-2020; Staples, Tim/AEI-0009-2022; Breed, Martin/G-5482-2011; Clarke, Laurence/N-3579-2017; Charleston, Michael/O-4903-2017; Barmuta, Leon/J-2413-2013; Flies, Emily J./F-4686-2013</t>
  </si>
  <si>
    <t>Dewi, Fera Roswita/0000-0001-5013-1736; McDougal, Rebecca/0000-0003-2154-8668; kendal, dave/0000-0003-2816-1722; Sow, Swan Li San/0000-0001-5887-7049; Chariton, Anthony/0000-0002-5809-3372; Breed, Martin/0000-0001-7810-9696; Jones, Penelope/0000-0002-4880-6711; Clarke, Laurence/0000-0002-0844-4453; Charleston, Michael/0000-0001-8385-341X; Sutcliffe, Brodie/0000-0002-0439-7426; Fountain-Jones, Nicholas/0000-0001-9248-8493; Weyrich, Laura/0000-0001-5243-4634; Barmuta, Leon/0000-0002-8946-3727; ERI, RAJARAMAN/0000-0003-1688-8043; Staples, Timothy/0000-0002-8550-2661; Flies, Emily J./0000-0002-1013-0330</t>
  </si>
  <si>
    <t>University of Tasmania College of Science and Engineering Research Enhancement Program</t>
  </si>
  <si>
    <t>This article is the product of the Microbiomes in Tasmania meeting, funded through a University of Tasmania College of Science and Engineering Research Enhancement Program grant to EJF, LJC, and DK.</t>
  </si>
  <si>
    <t>0006-3568</t>
  </si>
  <si>
    <t>1525-3244</t>
  </si>
  <si>
    <t>Bioscience</t>
  </si>
  <si>
    <t>10.1093/biosci/biaa057</t>
  </si>
  <si>
    <t>QC3HH</t>
  </si>
  <si>
    <t>WOS:000614724000009</t>
  </si>
  <si>
    <t>Ladroit, Y; Escobar-Flores, PC; Schimel, AC; O'Driscoll, RL</t>
  </si>
  <si>
    <t>Ladroit, Yoann; Escobar-Flores, Pablo C.; Schimel, Alexandre Cg; O'Driscoll, Richard L.</t>
  </si>
  <si>
    <t>ESP3: An open-source software for the quantitative processing of hydro-acoustic data</t>
  </si>
  <si>
    <t>SOFTWAREX</t>
  </si>
  <si>
    <t>Hydro-acoustics; Biomass estimation; Fisheries management; Marine science; Oceanography</t>
  </si>
  <si>
    <t>ABSORPTION; SOUND</t>
  </si>
  <si>
    <t>ESP3 is an open-source software to process single-beam and split-beam echosounder data. Multiple displays, analysis tools parameterizable algorithms are available to the user to scrutinise their data, and a scripting module allows applying these to entire surveys in batch processing. The software infrastructure is designed to handle large datasets with efficiency and consistency. With ESP3, one can implement robust workflows combining automated methods and expert decision-making to produce quantitative analysis of acoustic backscatter. While originally designed to process acoustic surveys for fish biomass estimation, ESP3 has also been used for studies of marine ecosystems and marine geophysical applications. (C) 2020 The Author(s). Published by Elsevier B.V.</t>
  </si>
  <si>
    <t>[Ladroit, Yoann; Escobar-Flores, Pablo C.; Schimel, Alexandre Cg; O'Driscoll, Richard L.] Natl Inst Water &amp; Atmospher Res, Wellington, New Zealand; [Ladroit, Yoann] Univ Tasmania, Inst Marine &amp; Antarctic Studies, Hobart, Tas 7001, Australia</t>
  </si>
  <si>
    <t>National Institute of Water &amp; Atmospheric Research (NIWA) - New Zealand; University of Tasmania</t>
  </si>
  <si>
    <t>Ladroit, Y (corresponding author), Natl Inst Water &amp; Atmospher Res, Wellington, New Zealand.</t>
  </si>
  <si>
    <t>Yoann.ladroit@niwa.co.nz</t>
  </si>
  <si>
    <t>; Schimel, Alexandre/C-9273-2013</t>
  </si>
  <si>
    <t>ladroit, Yoann/0000-0002-5723-9501; Schimel, Alexandre/0000-0001-9301-0803</t>
  </si>
  <si>
    <t>Strategic Science Investment Fund (SSIF) of the Ministry of Business Innovation and Employment (MBIE) of New Zealand [FIAR2001/TOOLS]; MBIE Endeavour Smart Ideas fund [C01X1905, END19303]; MBIE SSIF fund project [COES2001/FOODWEB]; New Zealand Ministry of Business, Innovation &amp; Employment (MBIE) [C01X1905] Funding Source: New Zealand Ministry of Business, Innovation &amp; Employment (MBIE)</t>
  </si>
  <si>
    <t>Strategic Science Investment Fund (SSIF) of the Ministry of Business Innovation and Employment (MBIE) of New Zealand(New Zealand Ministry of Business, Innovation and Employment (MBIE)); MBIE Endeavour Smart Ideas fund(New Zealand Ministry of Business, Innovation and Employment (MBIE)); MBIE SSIF fund project(New Zealand Ministry of Business, Innovation and Employment (MBIE)); New Zealand Ministry of Business, Innovation &amp; Employment (MBIE)(New Zealand Ministry of Business, Innovation and Employment (MBIE))</t>
  </si>
  <si>
    <t>The development, maintenance, and documentation of ESP3 have been made possible by the funding provided by the project FIAR2001/TOOLS from the Strategic Science Investment Fund (SSIF) of the Ministry of Business Innovation and Employment (MBIE) of New Zealand. The development of tools specific to broadband has been supported by the MBIE Endeavour Smart Ideas fund, projects C01X1905, END19303. The development of classification tools was funded by the MBIE SSIF fund project COES2001/FOODWEB.</t>
  </si>
  <si>
    <t>2352-7110</t>
  </si>
  <si>
    <t>SoftwareX</t>
  </si>
  <si>
    <t>JUL-DEC</t>
  </si>
  <si>
    <t>10.1016/j.softx.2020.100581</t>
  </si>
  <si>
    <t>Computer Science, Software Engineering</t>
  </si>
  <si>
    <t>Computer Science</t>
  </si>
  <si>
    <t>PH8TA</t>
  </si>
  <si>
    <t>WOS:000600676600043</t>
  </si>
  <si>
    <t>Cattoën, C; Robertson, DE; Bennett, JC; Wang, QJ; Carey-Smith, TK</t>
  </si>
  <si>
    <t>Cattoen, C.; Robertson, D. E.; Bennett, J. C.; Wang, Q. J.; Carey-Smith, T. K.</t>
  </si>
  <si>
    <t>Calibrating Hourly Precipitation Forecasts with Daily Observations</t>
  </si>
  <si>
    <t>JOURNAL OF HYDROMETEOROLOGY</t>
  </si>
  <si>
    <t>SCHAAKE SHUFFLE; TEMPERATURE; ENSEMBLE; RAINFALL; SYSTEM; CATCHMENTS; SELECTION</t>
  </si>
  <si>
    <t>Calibrated high-temporal-resolution precipitation forecasts are desirable for a range of applications, for example, flood prediction in fast-rising rivers. However, high-temporal-resolution precipitation observations may not be available to support the establishment of calibration methods, particularly in regions with low population density or in developing countries. We present a new method to produce calibrated hourly precipitation ensemble forecasts from daily observations. Precipitation forecasts are taken from a high-resolution convective-scale numerical weather prediction (NWP) model run at the hourly time step. We conduct three experiments to develop the new calibration method: (i) calibrate daily precipitation totals and disaggregate daily forecasts to hourly; (ii) generate pseudohourly observations from daily precipitation observations, and use these to calibrate hourly precipitation forecasts; and (iii) combine aspects of (i) and (ii). In all experiments, we use the existing Bayesian joint probability model to calibrate the forecasts and the well-known Schaake shuffle technique to instill realistic spatial and temporal correlations in the ensembles. As hourly observations are not available, we use hourly patterns from the NWP as the template for the Schaake shuffle. The daily member matching method (DMM), method (iii), produces the best-performing ensemble precipitation forecasts over a range of metrics for forecast accuracy, bias, and reliability. The DMM method performs very similarly to the ideal case where hourly observations are available to calibrate forecasts. Overall, valuable spatial and temporal information from the forecast can be extracted for calibration with daily data, with a slight trade-off between forecast bias and reliability.</t>
  </si>
  <si>
    <t>[Cattoen, C.] Natl Inst Water &amp; Atmospher Res, Christchurch, New Zealand; [Robertson, D. E.; Bennett, J. C.] Commonwealth Sci &amp; Ind Res Org, Melbourne, Vic, Australia; [Bennett, J. C.] Univ Tasmania, Inst Marine &amp; Antarctic Studies, Hobart, Tas, Australia; [Wang, Q. J.] Univ Melbourne, Melbourne, Vic, Australia; [Carey-Smith, T. K.] Natl Inst Water &amp; Atmospher Res, Wellington, New Zealand</t>
  </si>
  <si>
    <t>National Institute of Water &amp; Atmospheric Research (NIWA) - New Zealand; Commonwealth Scientific &amp; Industrial Research Organisation (CSIRO); University of Tasmania; University of Melbourne; Melbourne Bioinformatics; National Institute of Water &amp; Atmospheric Research (NIWA) - New Zealand</t>
  </si>
  <si>
    <t>Cattoën, C (corresponding author), Natl Inst Water &amp; Atmospher Res, Christchurch, New Zealand.</t>
  </si>
  <si>
    <t>celine.cattoen-gilbert@niwa.co.nz</t>
  </si>
  <si>
    <t>Wang, Quan J/D-2674-2012; Bennett, James/C-8456-2013; Robertson, David/C-3643-2011</t>
  </si>
  <si>
    <t>Wang, Quan J/0000-0002-8787-2738; Bennett, James/0000-0002-4930-2638; Robertson, David/0000-0003-4230-8006; CATTOEN, Celine/0000-0001-9186-6595</t>
  </si>
  <si>
    <t>New Zealand Ministry of Business, Innovation and Employment Natural Hazards Research Platform [C05X0907, 2017-NIW-03-NHRP]; NIWA through Resilience to Hazards Research Programme; New Zealand eScience Infrastructure (NeSI); NeSI; Ministry of Business, Innovation and Employment</t>
  </si>
  <si>
    <t>New Zealand Ministry of Business, Innovation and Employment Natural Hazards Research Platform; NIWA through Resilience to Hazards Research Programme; New Zealand eScience Infrastructure (NeSI); NeSI; Ministry of Business, Innovation and Employment(New Zealand Ministry of Business, Innovation and Employment (MBIE))</t>
  </si>
  <si>
    <t>The authors gratefully acknowledge various parties for assistance in providing data (in particular the Greater Wellington Regional Council). This research was funded by the New Zealand Ministry of Business, Innovation and Employment Natural Hazards Research Platform under contract C05X0907/Subcontract 2017-NIW-03-NHRP; by NIWA through the Resilience to Hazards Research Programme. The authors wish to acknowledge the contribution of NeSI to the results of this research. New Zealand's national compute and analytics services and team are supported by the New Zealand eScience Infrastructure (NeSI) and funded jointly by NeSI's collaborator institutions and through the Ministry of Business, Innovation and Employment (http://www.nesi.org.nz).Figures in this paper were produced using the Gramm MATLAB package (Morel 2018). The editor and the two reviewers are gratefully acknowledged for their valuable and thoughtful feedback.</t>
  </si>
  <si>
    <t>1525-755X</t>
  </si>
  <si>
    <t>1525-7541</t>
  </si>
  <si>
    <t>J HYDROMETEOROL</t>
  </si>
  <si>
    <t>J. Hydrometeorol.</t>
  </si>
  <si>
    <t>10.1175/JHM-D-19-0246.1</t>
  </si>
  <si>
    <t>OS9FO</t>
  </si>
  <si>
    <t>WOS:000590462700014</t>
  </si>
  <si>
    <t>Lubin, D; Zhang, DM; Silber, I; Scott, RC; Kalogeras, P; Battaglia, A; Bromwich, DH; Cadeddu, M; Eloranta, E; Fridlind, A; Frossard, A; Hines, KM; Kneifel, S; Leaitch, WR; Lin, WY; Nicolas, J; Powers, H; Quinn, PK; Rowe, P; Russell, LM; Sharma, S; Verlinde, J; Vogelmann, AM</t>
  </si>
  <si>
    <t>Lubin, Dan; Zhang, Damao; Silber, Israel; Scott, Ryan C.; Kalogeras, Petros; Battaglia, Alessandro; Bromwich, David H.; Cadeddu, Maria; Eloranta, Edwin; Fridlind, Ann; Frossard, Amanda; Hines, Keith M.; Kneifel, Stefan; Leaitch, W. Richard; Lin, Wuyin; Nicolas, Julien; Powers, Heath; Quinn, Patricia K.; Rowe, Penny; Russell, Lynn M.; Sharma, Sangeeta; Verlinde, Johannes; Vogelmann, Andrew M.</t>
  </si>
  <si>
    <t>The Atmospheric Radiation Measurement (ARM) West Antarctic Radiation Experiment</t>
  </si>
  <si>
    <t>BULLETIN OF THE AMERICAN METEOROLOGICAL SOCIETY</t>
  </si>
  <si>
    <t>ROSS ICE SHELF; CLOUD; CLIMATE; AEROSOL; SHEET; MARINE; SEA; GREENLAND; ISLAND; CONFIGURATION</t>
  </si>
  <si>
    <t>The U.S. Department of Energy Atmospheric Radiation Measurement (ARM) West Antarctic Radiation Experiment (AWARE) performed comprehensive meteorological and aerosol measurements and ground-based atmospheric remote sensing at two Antarctic stations using the most advanced instrumentation available. A suite of cloud research radars, lidars, spectral and broadband radiometers, aerosol chemical and microphysical sampling equipment, and meteorological instrumentation was deployed at McMurdo Station on Ross Island from December 2015 through December 2016. A smaller suite of radiometers and meteorological equipment, including radiosondes optimized for surface energy budget measurement, was deployed on the West Antarctic Ice Sheet between 4 December 2015 and 17 January 2016. AWARE provided Antarctic atmospheric data comparable to several well-instrumented high Arctic sites that have operated for many years and that reveal numerous contrasts with the Arctic in aerosol and cloud microphysical properties. These include persistent differences in liquid cloud occurrence, cloud height, and cloud thickness. Antarctic aerosol properties are also quite different from the Arctic in both seasonal cycle and composition, due to the continent's isolation from lower latitudes by Southern Ocean storm tracks. Antarctic aerosol number and mass concentrations are not only non-negligible but perhaps play a more important role than previously recognized because of the higher sensitivities of clouds at the very low concentrations caused by the large-scale dynamical isolation. Antarctic aerosol chemical composition, particularly organic components, has implications for local cloud microphysics. The AWARE dataset, fully available online in the ARM Program data archive, offers numerous case studies for unique and rigorous evaluation of mixed-phase cloud parameterization in climate models.</t>
  </si>
  <si>
    <t>[Lubin, Dan; Russell, Lynn M.] Scripps Inst Oceanog, La Jolla, CA 92037 USA; [Scott, Ryan C.] NASA, Langley Res Ctr, Hampton, VA 23665 USA; [Zhang, Damao; Lin, Wuyin; Vogelmann, Andrew M.] Brookhaven Natl Lab, Upton, NY 11973 USA; [Silber, Israel; Verlinde, Johannes] Penn State Univ, University Pk, PA 16802 USA; [Kalogeras, Petros; Battaglia, Alessandro] Univ Leicester, Leicester, Leics, England; [Bromwich, David H.; Hines, Keith M.] Byrd Polar &amp; Climate Res Ctr, Columbus, OH USA; [Cadeddu, Maria] Argonne Natl Lab, Lemont, IL USA; [Eloranta, Edwin] Univ Wisconsin, Madison, WI USA; [Fridlind, Ann] NASA, Goddard Inst Space Studies, New York, NY USA; [Frossard, Amanda] Univ Georgia, Athens, GA 30602 USA; [Kneifel, Stefan] Univ Cologne, Cologne, Germany; [Leaitch, W. Richard; Sharma, Sangeeta] Environm &amp; Climate Change Canada, Toronto, ON, Canada; [Nicolas, Julien] European Ctr Medium Range Weather Forecasts, Reading, Berks, England; [Powers, Heath] Los Alamos Natl Lab, Los Alamos, NM USA; [Quinn, Patricia K.] NOAA, Pacific Marine Environm Lab, 7600 Sand Point Way Ne, Seattle, WA 98115 USA; [Rowe, Penny] NorthWest Res Associates, Redmond, WA USA; [Rowe, Penny] Univ Santiago, Santiago, Chile</t>
  </si>
  <si>
    <t>University of California System; University of California San Diego; Scripps Institution of Oceanography; National Aeronautics &amp; Space Administration (NASA); NASA Langley Research Center; United States Department of Energy (DOE); Brookhaven National Laboratory; Pennsylvania Commonwealth System of Higher Education (PCSHE); Pennsylvania State University; Pennsylvania State University - University Park; University of Leicester; United States Department of Energy (DOE); Argonne National Laboratory; University of Wisconsin System; University of Wisconsin Madison; National Aeronautics &amp; Space Administration (NASA); NASA Goddard Space Flight Center; Goddard Institute for Space Studies; University System of Georgia; University of Georgia; University of Cologne; Environment &amp; Climate Change Canada; European Centre for Medium-Range Weather Forecasts (ECMWF); United States Department of Energy (DOE); Los Alamos National Laboratory; National Oceanic Atmospheric Admin (NOAA) - USA; NorthWest Research Associates; Universidad de Santiago de Chile</t>
  </si>
  <si>
    <t>Lubin, D (corresponding author), Scripps Inst Oceanog, La Jolla, CA 92037 USA.</t>
  </si>
  <si>
    <t>dlubin@ucsd.edu</t>
  </si>
  <si>
    <t>Fridlind, Ann/E-1495-2012; Verlinde, Johannes/H-8351-2017; Zhang, Damao/JVD-9442-2023; UzK, IGMK/HGU-4003-2022; Kneifel, Stefan/A-2044-2015; Zhang, Damao/A-2900-2016; Vogelmann, Andrew/M-8779-2014</t>
  </si>
  <si>
    <t>Fridlind, Ann/0000-0002-9020-0852; Rowe, Penny/0000-0002-7594-0553; Leaitch, Warren Richard/0000-0003-1503-5639; Battaglia, Alessandro/0000-0001-9243-3484; Silber, Israel/0000-0001-6588-2145; Zhang, Damao/0000-0002-3518-292X; Scott, Ryan/0000-0002-9182-0834; Vogelmann, Andrew/0000-0003-1918-5423; Frossard, Amanda/0000-0002-5728-0854</t>
  </si>
  <si>
    <t>U.S. Department of Energy Atmospheric Radiation Measurement (ARM) Program; National Science Foundation via the United States Antarctic Program; U.S. Department of Energy [DE-SC0017981, DE-SC0012704, DE-SC0017967, DE-AC02-06CH11357]; NSF [PLR-1443549, PLR-1543236, ARC-0714052]; NASA Earth and Space Science Fellowship [NNX15AN45H]; German Research Foundation (DFG) via the Emmy-Noether Program [KN 1112/2-1]; NASA Radiation Science Program; NASA Modeling, Analysis and Prediction Program; Environment Canada; NASA [798512, NNX15AN45H] Funding Source: Federal RePORTER; U.S. Department of Energy (DOE) [DE-SC0017981, DE-SC0017967] Funding Source: U.S. Department of Energy (DOE); NERC [nceo020006] Funding Source: UKRI</t>
  </si>
  <si>
    <t>U.S. Department of Energy Atmospheric Radiation Measurement (ARM) Program; National Science Foundation via the United States Antarctic Program; U.S. Department of Energy(United States Department of Energy (DOE)); NSF(National Science Foundation (NSF)); NASA Earth and Space Science Fellowship; German Research Foundation (DFG) via the Emmy-Noether Program(German Research Foundation (DFG)); NASA Radiation Science Program(National Aeronautics &amp; Space Administration (NASA)); NASA Modeling, Analysis and Prediction Program(National Aeronautics &amp; Space Administration (NASA)); Environment Canada(CGIAR); NASA(National Aeronautics &amp; Space Administration (NASA)); U.S. Department of Energy (DOE)(United States Department of Energy (DOE)); NERC(UK Research &amp; Innovation (UKRI)Natural Environment Research Council (NERC))</t>
  </si>
  <si>
    <t>AWARE was jointly sponsored and supported by the U.S. Department of Energy Atmospheric Radiation Measurement (ARM) Program and the National Science Foundation via the United States Antarctic Program. AWARE data are available online at the ARM data archive. DL, DHB, KH, IS, JV, and LMR were supported by U.S. Department of Energy Grant DE-SC0017981 and NSF Grant PLR-1443549. DZ and AMV were supported by the U.S. Department of Energy under Grant DE-SC0012704. RCS was supported by NASA Earth and Space Science Fellowship Grant NNX15AN45H. AB and SK were supported by U.S. Department of Energy Grant DE-SC0017967, with additional support for SK by the German Research Foundation (DFG) via the Emmy-Noether Program (Grant KN 1112/2-1). MC is supported by the U.S. Department of Energy under contract DE-AC02-06CH11357. PR was supported by NSF Grant PLR-1543236. AMF was supported by the NASA Radiation Science Program and Modeling, Analysis and Prediction Program. Resources supporting this work were provided by the NASA High-End Computing (HEC) Program through the NASA Center for Climate Simulation (NCCS) at Goddard Space Flight Center. AMF and IS thank Andrew Ackerman and Maxwell Kelley for their assistance using ModleE3. The aerosol composition measurements used in this work are archived at https://doi.org/10.6075/J0GX493P, which includes the Alert aerosol composition measurements (https://doi.org/10.6075/J0959G22), which were supported by Environment Canada, and the Utqiagvik aerosol composition measurements (https://doi.org/10.6075/J01N7ZN2), which were funded by NSF (ARC-0714052) and are also available from the Arctic Data Center (https://doi.org/10.18739/A22Z12P9Z).The authors are thankful to the technicians, operators, and students who assisted with the aerosol measurements reported here, and in particular Patrick Shaw, Anne Jefferson, and Lelia Hawkins for Utqiagvik, Desiree Toom and the Department of Defense Canadian Forces staff at Alert, and Jun Liu for the FTIR and XRF analysis for AWARE (https://doi.org/10.6075/J0WM1BKV).Retrievals from the AERI instrument use CO2 concentrations from CarbonTracker (version CT2017, NOAA ESRL; http://carbontracker.noaa.gov; Peters et al. 2007), ozone, temperature, and pressure data from ERA-Interim. This paper is PMEL Contribution Number 4976. This paper is Contribution Number 1587 of the Byrd Polar and Climate Research Center.</t>
  </si>
  <si>
    <t>0003-0007</t>
  </si>
  <si>
    <t>1520-0477</t>
  </si>
  <si>
    <t>B AM METEOROL SOC</t>
  </si>
  <si>
    <t>Bull. Amer. Meteorol. Soc.</t>
  </si>
  <si>
    <t>E1069</t>
  </si>
  <si>
    <t>E1091</t>
  </si>
  <si>
    <t>10.1175/BAMS-D-18-0278.1</t>
  </si>
  <si>
    <t>OP8ZL</t>
  </si>
  <si>
    <t>Green Published, Bronze, Green Submitted</t>
  </si>
  <si>
    <t>WOS:000588379300008</t>
  </si>
  <si>
    <t>Proud, R; Mangeni-Sande, R; Kayanda, RJ; Cox, MJ; Nyamweya, C; Ongore, C; Natugonza, V; Everson, I; Elison, M; Hobbs, L; Kashindye, BB; Mlaponi, EW; Taabu-Munyaho, A; Mwainge, VM; Kagoya, E; Pegado, A; Nduwayesu, E; Brierley, AS</t>
  </si>
  <si>
    <t>Proud, Roland; Mangeni-Sande, Richard; Kayanda, Robert J.; Cox, Martin J.; Nyamweya, Chrisphine; Ongore, Collins; Natugonza, Vianny; Everson, Inigo; Elison, Mboni; Hobbs, Laura; Kashindye, Benedicto Boniphace; Mlaponi, Enock W.; Taabu-Munyaho, Anthony; Mwainge, Venny M.; Kagoya, Esther; Pegado, Antonio; Nduwayesu, Evarist; Brierley, Andrew S.</t>
  </si>
  <si>
    <t>Automated classification of schools of the silver cyprinid Rastrineobola argentea in Lake Victoria acoustic survey data using random forests</t>
  </si>
  <si>
    <t>ICES JOURNAL OF MARINE SCIENCE</t>
  </si>
  <si>
    <t>artificial intelligence; big data; dagaa; Lake Victoria; machine learning; Rastrineobola argentea; school analysis; species identification; stock assessment</t>
  </si>
  <si>
    <t>KRILL EUPHAUSIA-SUPERBA; PERCH LATES-NILOTICUS; SPECIES IDENTIFICATION; 3-DIMENSIONAL STRUCTURE; FISH SCHOOLS; DENSITY; BACKSCATTER; PARAMETERS; BEHAVIOR; SHAPES</t>
  </si>
  <si>
    <t>Biomass of the schooling fish Rastrineobola argentea (dagaa) is presently estimated in Lake Victoria by acoustic survey following the simple rule that dagaa is the source of most echo energy returned from the top third of the water column. Dagaa have, however, been caught in the bottom two-thirds, and other species occur towards the surface: a more robust discrimination technique is required. We explored the utility of a school-based random forest (RF) classifier applied to 120kHz data from a lake-wide survey. Dagaa schools were first identified manually using expert opinion informed by fishing. These schools contained a lake-wide biomass of 0.68 million tonnes (MT). Only 43.4% of identified dagaa schools occurred in the top third of the water column, and 37.3% of all schools in the bottom two-thirds were classified as dagaa. School metrics (e.g. length, echo energy) for 49081 manually classified dagaa and non-dagaa schools were used to build an RF school classifier. The best RF model had a classification test accuracy of 85.4%, driven largely by school length, and yielded a biomass of 0.71 MT, only c. 4% different from the manual estimate. The RF classifier offers an efficient method to generate a consistent dagaa biomass time series.</t>
  </si>
  <si>
    <t>[Proud, Roland; Mangeni-Sande, Richard; Cox, Martin J.; Ongore, Collins; Everson, Inigo; Brierley, Andrew S.] Univ St Andrews, Gatty Marine Lab, Scottish Oceans Inst, Pelag Ecol Res Grp,Sch Biol, St Andrews KY16 8LB, Fife, Scotland; [Mangeni-Sande, Richard; Natugonza, Vianny; Taabu-Munyaho, Anthony; Kagoya, Esther; Nduwayesu, Evarist] Natl Fisheries Resources Res Inst NaFiRRI, POB 343, Jinja, Uganda; [Kayanda, Robert J.; Taabu-Munyaho, Anthony] Lake Victoria Fisheries Org LVFO, POB 1625, Jinja, Uganda; [Cox, Martin J.] Australian Antarctic Div, 203 Channel Highway, Kingston, Tas 7050, Australia; [Nyamweya, Chrisphine; Ongore, Collins; Mwainge, Venny M.] Kenya Marine &amp; Fisheries Res Inst KMFRI, Mombasa, Kenya; [Everson, Inigo] Univ East Anglia, Sch Environm Sci, Norwich Res Pk, Norwich NR4 7TJ, Norfolk, England; [Elison, Mboni; Kashindye, Benedicto Boniphace; Mlaponi, Enock W.] Tanzania Fisheries Res Inst TaFiRI, POB 475, Mwanza, Tanzania; [Hobbs, Laura] Scottish Assoc Marine Sci, Oban PA37 1QA, Argyll, Scotland; [Hobbs, Laura] Univ Strathclyde, Dept Math &amp; Stat, Glasgow G1 1XH, Lanark, Scotland; [Pegado, Antonio] Inst Invest Pesqueira IIP, Maputo, Mozambique</t>
  </si>
  <si>
    <t>University of St Andrews; Australian Antarctic Division; University of East Anglia; UHI Millennium Institute; University of Strathclyde</t>
  </si>
  <si>
    <t>Proud, R (corresponding author), Univ St Andrews, Gatty Marine Lab, Scottish Oceans Inst, Pelag Ecol Res Grp,Sch Biol, St Andrews KY16 8LB, Fife, Scotland.</t>
  </si>
  <si>
    <t>rp43@st-andrews.ac.uk</t>
  </si>
  <si>
    <t>ONGORE, COLLINS/AAA-5003-2021; Brierley, Andrew/G-8019-2011</t>
  </si>
  <si>
    <t>Brierley, Andrew/0000-0002-6438-6892; Hobbs, Laura/0000-0002-2964-6310; Proud, Roland/0000-0002-8647-5562; Kayanda, Robert/0000-0002-6085-1267</t>
  </si>
  <si>
    <t>Scottish Funding Council Global Challenge Research Fund (GCRF) grants from the University of St Andrews; University of Strathclyde; UK Academy of Medical Sciences [GCRFNG\100371]; Royal Society International Collaboration Award; Rhoda Tumwebaze, LVFO [ICA\R1\180123]</t>
  </si>
  <si>
    <t>Scottish Funding Council Global Challenge Research Fund (GCRF) grants from the University of St Andrews; University of Strathclyde; UK Academy of Medical Sciences; Royal Society International Collaboration Award(Royal Society); Rhoda Tumwebaze, LVFO</t>
  </si>
  <si>
    <t>Acoustic assessments of fish stocks in Lake Victoria have been supported by multiple funders over the years. The dagaa classification reported here was supported specifically by several Scottish Funding Council Global Challenge Research Fund (GCRF) grants from the University of St Andrews and the University of Strathclyde, by a GCRF Networking Grant to ASB and RJK from the UK Academy of Medical Sciences (GCRFNG\100371), and a Royal Society International Collaboration Award to ASB and Rhoda Tumwebaze, LVFO (ICA\R1\180123).</t>
  </si>
  <si>
    <t>1054-3139</t>
  </si>
  <si>
    <t>1095-9289</t>
  </si>
  <si>
    <t>ICES J MAR SCI</t>
  </si>
  <si>
    <t>ICES J. Mar. Sci.</t>
  </si>
  <si>
    <t>JUL-AUG</t>
  </si>
  <si>
    <t>10.1093/icesjms/fsaa052</t>
  </si>
  <si>
    <t>OH6QD</t>
  </si>
  <si>
    <t>WOS:000582718700011</t>
  </si>
  <si>
    <t>Bashirova, LD; Sivkov, VV; Kuleshova, LA; Ponomarenko, EP; Matul, AG; Dudkov, IY; Krechik, VA; Kapustina, MV; Bubnova, ES; Shakhovskoy, IB; Kondrashov, AA</t>
  </si>
  <si>
    <t>Bashirova, L. D.; Sivkov, V. V.; Kuleshova, L. A.; Ponomarenko, E. P.; Matul, A. G.; Dudkov, I. Yu.; Krechik, V. A.; Kapustina, M. V.; Bubnova, E. S.; Shakhovskoy, I. B.; Kondrashov, A. A.</t>
  </si>
  <si>
    <t>Complex Oceanological Research during the 44th Cruise of the Research Vessel Akademik Nikolaj Strakhovin the Eastern Tropical Atlantic</t>
  </si>
  <si>
    <t>OCEANOLOGY</t>
  </si>
  <si>
    <t>News Item</t>
  </si>
  <si>
    <t>Atlantic Ocean; contourite drift; Antarctic Bottom Water; Kane Gap; Canary Basin</t>
  </si>
  <si>
    <t>Geological, hydrological, hydrochemical, and biological research has been carried out in the eastern tropical Atlantic. Based on the multibeam echo-sounding and seismic profiling north of the Kane Gap (Sierra Leone Rise), an extensive sedimentary body (contourite fan) has been identified. Data of hydrophysical sounding allows assuming the existence of an overflow of the Antarctic Bottom Water (AABW) through the Kane Gap and its northward penetration. In the sediment cores (Middle Pleistocene to Holocene age), an influence of the AABW is reflected in the alternation of the high and medium carbonate dissolution rates.</t>
  </si>
  <si>
    <t>[Bashirova, L. D.; Sivkov, V. V.; Kuleshova, L. A.; Ponomarenko, E. P.; Matul, A. G.; Dudkov, I. Yu.; Krechik, V. A.; Kapustina, M. V.; Bubnova, E. S.; Shakhovskoy, I. B.; Kondrashov, A. A.] Russian Acad Sci, Shirshov Inst Oceanol, Moscow, Russia; [Bashirova, L. D.; Sivkov, V. V.; Dudkov, I. Yu.; Kapustina, M. V.] Immanuel Kant Baltic Fed Univ, Kaliningrad, Russia</t>
  </si>
  <si>
    <t>Russian Academy of Sciences; Shirshov Institute of Oceanology; Immanuel Kant Baltic Federal University</t>
  </si>
  <si>
    <t>Bashirova, LD (corresponding author), Russian Acad Sci, Shirshov Inst Oceanol, Moscow, Russia.;Bashirova, LD (corresponding author), Immanuel Kant Baltic Fed Univ, Kaliningrad, Russia.</t>
  </si>
  <si>
    <t>bas_leila@mail.ru</t>
  </si>
  <si>
    <t>Ponomarenko, Ekaterina P/J-9599-2017; Bubnova, Ekaterina S/L-2612-2016; Kuleshova, Liubov A/L-2672-2016; Bashirova, Leyla D/L-1546-2016; Krechik, Viktor/J-9941-2016; Kapustina, Mariia/L-2625-2016</t>
  </si>
  <si>
    <t>Bubnova, Ekaterina S/0000-0002-8168-2984; Kuleshova, Liubov A/0000-0002-8511-225X; Bashirova, Leyla D/0000-0003-3083-0649; Krechik, Viktor/0000-0001-6440-060X; Dudkov, Ivan/0000-0002-1102-6973; Kapustina, Mariia/0000-0002-7507-3170</t>
  </si>
  <si>
    <t>IO RAS [0149-2019-0013, 0149-2019-0009]; RSF [19-17-00246]</t>
  </si>
  <si>
    <t>IO RAS; RSF(Russian Science Foundation (RSF))</t>
  </si>
  <si>
    <t>The expedition was financed by the IO RAS state assignment no. 0149-2019-0013 (Canary Basin: development of a digital elevation model of the bottom topography based on multibeam echo-sounder data, lithological description of the sediment core; Kane Gap: collection and analysis of aeolian particles, hydrochemical research) and no. 0149-2019-0009 (biological studies).; The analysis of hydrological and hydrophysical data in the area of the Kane Gap, the development of a digital elevation model of the bottom topography based on multibeam echo-sounder data, as well as paleoceanographic studies were carried out as part of the RSF project no. 19-17-00246.</t>
  </si>
  <si>
    <t>PLEIADES PUBLISHING INC</t>
  </si>
  <si>
    <t>PLEIADES HOUSE, 7 W 54 ST, NEW YORK, NY, UNITED STATES</t>
  </si>
  <si>
    <t>0001-4370</t>
  </si>
  <si>
    <t>1531-8508</t>
  </si>
  <si>
    <t>OCEANOLOGY+</t>
  </si>
  <si>
    <t>Oceanology</t>
  </si>
  <si>
    <t>10.1134/S0001437020040025</t>
  </si>
  <si>
    <t>NY6ZC</t>
  </si>
  <si>
    <t>WOS:000576533800015</t>
  </si>
  <si>
    <t>Vlasov, DY; Kirtsideli, IY; Abakumov, EV; Novozhilov, YK; Zelenskaya, MS; Barantsevich, EP</t>
  </si>
  <si>
    <t>Vlasov, D. Yu.; Kirtsideli, I. Yu.; Abakumov, E. V.; Novozhilov, Yu. K.; Zelenskaya, M. S.; Barantsevich, E. P.</t>
  </si>
  <si>
    <t>Anthropogenic Invasion of Micromycetes to Undisturbed Ecosystems of the Larsemann Hills Oasis (East Antarctica)</t>
  </si>
  <si>
    <t>RUSSIAN JOURNAL OF BIOLOGICAL INVASIONS</t>
  </si>
  <si>
    <t>Antarctic ecosystems; anthropogenic impact; microscopic fungi; invasive species; soil mycobiota; potential pathogens</t>
  </si>
  <si>
    <t>ROSS SEA REGION; FUNGAL DIVERSITY; SOILS; ADAPTATION; BACTERIAL; EVOLUTION; BIOMASS; ISLAND</t>
  </si>
  <si>
    <t>The Progress Station is the largest Russian Antarctic station. The anthropogenic impact on primary soils in the area of this station is reflected in the chemical structure of soils and structure of microbial communities. The article shows a multiple increase in the number of microorganisms (especially microscopic fungi) in contaminated soils around the Progress Station. The anthropogenic impact changes the structure of complexes of soil microorganisms. The proportion of mesophilic microorganisms significantly increases under these conditions. Fifty-three micromycete species of 28 genera have been identified in samples of primary soils and anthropogenic substrates. Their diversity decreases from the anthropogenic soils and anthropogenic substrates to the control (clean) soils. It is shown that an increase in the number of micromycete species in the area of the polar station results from the invasion of new micromycete species due to human activities. Some native species of micromycetes can adapt to anthropogenic substrates and can be destructors of different introduced materials. Over 56 and 70% among micromycetes from the contaminated soils and anthropogenic substrates, respectively, can be considered potentially pathogenic species. Therefore, invasive processes change the structure of complexes of soil micromycetes, which can serve as an indicator of anthropogenic impact on ecosystems in the Larsemann Hills oasis in East Antarctica.</t>
  </si>
  <si>
    <t>[Vlasov, D. Yu.; Abakumov, E. V.; Zelenskaya, M. S.] St Petersburg State Univ, St Petersburg 199034, Russia; [Vlasov, D. Yu.; Kirtsideli, I. Yu.; Novozhilov, Yu. K.] Russian Acad Sci, Komarov Bot Inst, St Petersburg 197376, Russia; [Barantsevich, E. P.] Minist Hlth Russia, Almazov Northwestern Fed Med Res Ctr, St Petersburg 197341, Russia</t>
  </si>
  <si>
    <t>Saint Petersburg State University; Russian Academy of Sciences; Komarov Botanical Institute, Russian Academy of Sciences; Almazov National Medical Research Centre; Ministry of Health of the Russian Federation</t>
  </si>
  <si>
    <t>Vlasov, DY (corresponding author), St Petersburg State Univ, St Petersburg 199034, Russia.;Vlasov, DY (corresponding author), Russian Acad Sci, Komarov Bot Inst, St Petersburg 197376, Russia.</t>
  </si>
  <si>
    <t>Dmitry.Vlasov@mail.ru</t>
  </si>
  <si>
    <t>Zelenskaya, Marina/M-9845-2015; Abakumov, e_abakumov@mail.ru/ADJ-1297-2022; Abakumov, Evgeny/AAO-8580-2020; Kirtsideli, Irina Yu/K-2072-2018; Vlasov, Dmitry Yurievich/J-8866-2013</t>
  </si>
  <si>
    <t>Zelenskaya, Marina/0000-0003-3588-8583; Abakumov, e_abakumov@mail.ru/0000-0002-5248-9018; Abakumov, Evgeny/0000-0002-5248-9018; Vlasov, Dmitry/0000-0001-9763-9078</t>
  </si>
  <si>
    <t>Russian Foundation for Basic Research [18-04-00900]; St. Petersburg State University (Measure 1. Urban Ecosystems of the Arctic Belt of the Russian Federation: Dynamics, State, and Stable Development); Basic Research Program of the Presidium of the Russian Academy of Sciences (project Biodiversity of Natural Systems and Biological Resources of Russia)</t>
  </si>
  <si>
    <t>Russian Foundation for Basic Research(Russian Foundation for Basic Research (RFBR)Spanish Government); St. Petersburg State University (Measure 1. Urban Ecosystems of the Arctic Belt of the Russian Federation: Dynamics, State, and Stable Development); Basic Research Program of the Presidium of the Russian Academy of Sciences (project Biodiversity of Natural Systems and Biological Resources of Russia)</t>
  </si>
  <si>
    <t>This study was partially supported by the Russian Foundation for Basic Research (project 18-04-00900. Ornithogenic Antarctic Soils: Formation, Geography, Biogeochemistry, and Bioindication), St. Petersburg State University (Measure 1. Urban Ecosystems of the Arctic Belt of the Russian Federation: Dynamics, State, and Stable Development), as well as by the Basic Research Program of the Presidium of the Russian Academy of Sciences (project Biodiversity of Natural Systems and Biological Resources of Russia).</t>
  </si>
  <si>
    <t>2075-1117</t>
  </si>
  <si>
    <t>2075-1125</t>
  </si>
  <si>
    <t>RUSS J BIOL INVASION</t>
  </si>
  <si>
    <t>Russ. J. Biol. Invasion</t>
  </si>
  <si>
    <t>10.1134/S2075111720030121</t>
  </si>
  <si>
    <t>NW1CE</t>
  </si>
  <si>
    <t>WOS:000574744500003</t>
  </si>
  <si>
    <t>Miller, CV; O'Gorman, JP; Salisbury, SW; Coria, RA; Roberts, EM; O'Connor, PM; Reguero, MA; Lamanna, MWC</t>
  </si>
  <si>
    <t>Miller, Case, V; O'Gorman, Jose P.; Salisbury, Steven W.; Coria, Rodolfo A.; Roberts, Eric M.; O'Connor, Patrick M.; Reguero, Marcelo A.; Lamanna, Matthe W. C.</t>
  </si>
  <si>
    <t>A NEW PLESIOSAUR (REPTILIA: SAUROPTERYGIA) SPECIMEN FROM THE UPPER CRETACEOUS OF WEST ANTARCTICA, WITH COMMENTS ON THE ONTOGENY AND MORPHOLOGICAL DIVERSITY OF THE ELASMOSAURID PELVIC GIRDLE</t>
  </si>
  <si>
    <t>ANNALS OF CARNEGIE MUSEUM</t>
  </si>
  <si>
    <t>Antarctic Peninsula; Elasmosauridae; James Ross Basin; Lopez de Bertodano Formation; Maastrichtian; Plesiosauria; Sandwich Bluff Member; Vega Island</t>
  </si>
  <si>
    <t>JAMES-ROSS-BASIN; REAPPRAISAL; STRATIGRAPHY; PATAGONIA; HECTOR; ISLAND</t>
  </si>
  <si>
    <t>Although knowledge of Mesozoic marine reptiles from Antarctica has improved considerably in recent years, associated and well-preserved skeletal material of these animals remains uncommon. Here we describe a largely complete, closely associated plesiosaur pelvic girdle recovered from the uppermost Cretaceous (Maastrichtian) Sandwich Bluff Member of the Lopez de Bertodano Formation of Vega Island, in the James Ross Basin of the northernmost Antarctic Peninsula. The new specimen exhibits characters that allow its referral to Elasmosauridae, but its incompleteness precludes a more precise taxonomic determination. Ontogenetically variable and systematically useful features of the clasmosaurid pelvis are reviewed and discussed. The new specimen improves knowledge of Southern Hemisphere clasmosaurids just prior to the K/Pg extinction event.</t>
  </si>
  <si>
    <t>[Miller, Case, V] Univ Hong Kong, Vertebrate Palaeontol Lab, Pok Fu Lam, Hong Kong, Peoples R China; [O'Gorman, Jose P.; Reguero, Marcelo A.] Univ Nacl La Plata, Museo La Plata, Div Paleontol Vertebrados, Paseo Bosque S-N,B1900FWA, La Plata, Buenos Aires, Argentina; [O'Gorman, Jose P.] CONICET Consejo Nacl Invest Cient &amp; Tecn, Godoy Cruz 2290,C1425FQB, Buenos Aires, Buenos Aires, Argentina; [Salisbury, Steven W.] Univ Queensland, Sect Vertebrate Paleontol, Carnegie Museum Nat Hist, UQ Dinosaur Lab,Sch Biol Sci, Brisbane, Qld 4072, Australia; [Coria, Rodolfo A.] Museo Carmen Funes, CONICET, Subsecretaria Cultura Neuquen, Cordoba 55,8318 Plaza Huincul, Neuquen, Argentina; [Roberts, Eric M.] James Cook Univ, Coll Sci &amp; Engn, Townsville, Qld 4811, Australia; [O'Connor, Patrick M.] Ohio Ctr Ecol &amp; Evolutionary Studies, Sect Vertebrate Paleontol, Carnegie Museum Nat Hist, 228 Irvine Hall, Athens, OH 45701 USA; [O'Connor, Patrick M.] Ohio Univ, Dept Biomed Sci, Heritage Coll Osteopath Med, 228 Irvine Hall, Athens, OH 45701 USA; [Reguero, Marcelo A.] Inst Antarti Argentina, 25 Mayo 1143,B1650HMK, Buenos Aires, Buenos Aires, Argentina; [Lamanna, Matthe W. C.] Carnegie Museum Nat Hist, Sect Vertebrate Paleontol, 4400 Forbes Ave, Pittsburgh, PA 15213 USA</t>
  </si>
  <si>
    <t>University of Hong Kong; National University of La Plata; Museo La Plata; Consejo Nacional de Investigaciones Cientificas y Tecnicas (CONICET); University of Queensland; Consejo Nacional de Investigaciones Cientificas y Tecnicas (CONICET); James Cook University; University System of Ohio; Ohio University</t>
  </si>
  <si>
    <t>Miller, CV (corresponding author), Univ Hong Kong, Vertebrate Palaeontol Lab, Pok Fu Lam, Hong Kong, Peoples R China.</t>
  </si>
  <si>
    <t>case.miller@connect.hku.hk; joseogorman@fcnym.unlp.edu.ar; s.salisbury@uq.edu.au; rcoria@turn.edu.ar; eric.roberts@jcu.edu.au; oconnorp@ohio.edu; regui@fcnym.unlp.edu.ar; lamannam@carnegiemnh.org</t>
  </si>
  <si>
    <t>O’Gorman, José/AAK-6096-2021; Reguero, Marcelo A./JHS-4893-2023; Coria, Rodolfo/JXM-9875-2024; Miller, Case Vincent/JAX-4219-2023; Miller, Case Vincent/AAA-5605-2022; Roberts, Eric M/J-1836-2014; OConnor, Patrick/I-9383-2012</t>
  </si>
  <si>
    <t>Miller, Case Vincent/0000-0002-6467-0199; OConnor, Patrick/0000-0002-6762-3806</t>
  </si>
  <si>
    <t>Direccion Nacional del Antartico, IAA project [PICTO 2010-0093]; University of Hong Kong Graduate School PGS; NSF [ANT-1142129, ANT-1142104, ANT-1141820, ANT-1142052]</t>
  </si>
  <si>
    <t>Direccion Nacional del Antartico, IAA project; University of Hong Kong Graduate School PGS; NSF(National Science Foundation (NSF))</t>
  </si>
  <si>
    <t>We are grateful to M. Cardenas, L. Chornogubsky, G. Lopez, and T. Mors for field assistance in the 2015 IAA field expedition that first discovered the specimen. For additional field assistance, we thank the remaining members of the 2016 AP3 expedition (which took place as part of cruise R/V Nathaniel B. Palmer [NBP] 16-02), namely K. Claeson, J. Clarke, E. Gorscak, Z. Jinnah, M. Koshmrl, R. MacPhee, J. Meng, C. Torres, and A. West. We also acknowledge the extensive logistical assistance the AP3 expedition received from personnel from the National Science Foundation (NSF) (e.g., A. Isern, M. Kurz, T. Wilch), the United States Antarctic Program (e.g., T. McGovern), the Lockheed Martin Antarctic Support Contract (P. Austin, S. Bercaw, B. Bjork, J. Carlton, C. Ferrier, C. Linden, M. Louis, A. Nunn, B. Pickering, R. Thompson, K. Tyburski, K. Vicknair, V. Warner, and A. Westman), Air Center Helicopters (K. Campbell, J. Fanjoy, B. Grantham, A. Hite, R. Koleser, and J. Toal), and Edison Chouest Offshore (e.g., B. Bell, R. Weimken). Special thanks to J. Carlton for assisting SWS, E. Gorscak, A. West, and MCL with the excavation of CM 93780, and to J. Fanjoy for transporting the specimen by helicopter from the excavation site to the NBP. D. Pickering prepared CM 93780 with his usual skill and care. A. McAfee provided assistance with figures and K. Gigler aided in assembling and formatting the bibliography. The research was supported by the Direccion Nacional del Antartico, IAA project PICTO 2010-0093 to MAR, the University of Hong Kong Graduate School PGS to CVM, and NSF grants ANT-1142129 to MCL, ANT-1142104 to PMO, ANT-1141820 to J. Clarke, and ANT-1142052 to R. MacPhee.</t>
  </si>
  <si>
    <t>CARNEGIE MUSEUM NATURAL HISTORY</t>
  </si>
  <si>
    <t>PITTSBURGH</t>
  </si>
  <si>
    <t>4400 FORBES AVE, PITTSBURGH, PA 15213 USA</t>
  </si>
  <si>
    <t>0097-4463</t>
  </si>
  <si>
    <t>1943-6300</t>
  </si>
  <si>
    <t>ANN CARNEGIE MUS</t>
  </si>
  <si>
    <t>Ann. Carnegie Mus.</t>
  </si>
  <si>
    <t>10.2992/007.086.0201</t>
  </si>
  <si>
    <t>Paleontology; Zoology</t>
  </si>
  <si>
    <t>NK4SE</t>
  </si>
  <si>
    <t>WOS:000566721000001</t>
  </si>
  <si>
    <t>Bashmachnikov, IL; Kozlov, IE; Petrenko, LA; Glok, NI; Wekerle, C</t>
  </si>
  <si>
    <t>Bashmachnikov, Igor L.; Kozlov, Igor E.; Petrenko, Larisa A.; Glok, Natalia, I; Wekerle, Claudia</t>
  </si>
  <si>
    <t>Eddies in the North Greenland Sea and Fram Strait From Satellite Altimetry, SAR and High-Resolution Model Data</t>
  </si>
  <si>
    <t>eddies; FESOM model; Fram Strait; SAR; satellite altimetry; the North Greenland Sea</t>
  </si>
  <si>
    <t>MEDITERRANEAN WATER EDDIES; WEST SPITSBERGEN CURRENT; MESOSCALE EDDY FIELD; MARGINAL ICE-ZONE; LOFOTEN BASIN; ATLANTIC WATER; NORDIC SEAS; BAROCLINIC INSTABILITY; SURFACE CIRCULATION; OCEAN CIRCULATION</t>
  </si>
  <si>
    <t>In this study, we investigate eddy dynamics in the northern Greenland Sea and the Fram Strait using AVISO altimetry, spaceborne synthetic aperture radar (SAR), and Finite Element Sea ice-Ocean Model (FESOM) high-resolution numerical model data. In the region, eddies are thought to play an important role in the redistribution of the warmer and saltier Atlantic Water between the Arctic Ocean and the areas of deep convection in the central Greenland Sea. We found that eddies detected in AVISO and in SAR form two complementary data sets of large mesoscale eddies (with typical radii of 30-50 km) and of small mesoscale/submesoscale eddies (with typical radii of 1-5 km and not exceeding 30 km), respectively. For large mesoscale eddies, the number of cyclones and anticyclones is approximately the same, while for submesoscale eddies, cyclones are strongly dominating. The limitations and possible biases in each of the data sets are discussed and cross-validated against FESOM results. It is noted that the most energetic eddies are concentrated along the major currents and in the northern part of the region. Eddy translations follow the mean currents in their overall cyclonic circulation around the northern Greenland Sea. A convergence of the eddies toward the Nordbukta area is detected. On seasonal time scale, a higher number of more intense mesoscale eddies is observed during winter, associated with a quasi-simultaneous intensification of the mean currents. Model results also show an increase in the number of small eddies in spring-early summer attributed to the decay of large eddies, while in late autumn, the opposite tendency suggests eddy merger.</t>
  </si>
  <si>
    <t>[Bashmachnikov, Igor L.] St Petersburg State Univ, Dept Oceanog, St Petersburg, Russia; [Bashmachnikov, Igor L.] Nansen Int Environm &amp; Remote Sensing Ctr, St Petersburg, Russia; [Kozlov, Igor E.; Petrenko, Larisa A.] RAS, Marine Hydrophys Inst, Sevastopol, Russia; [Glok, Natalia, I] Arctic &amp; Antarctic Res Inst, St Petersburg, Russia; [Wekerle, Claudia] Helmholtz Ctr Polar &amp; Marine Res, Alfred Wegener Inst, Climate Dynam, Bremerhaven, Germany</t>
  </si>
  <si>
    <t>Saint Petersburg State University; Nansen Environmental &amp; Remote Sensing Center (NERSC); Russian Academy of Sciences; Marine Hydrophysical Institute of RAS; Arctic &amp; Antarctic Research Institute; Helmholtz Association; Alfred Wegener Institute, Helmholtz Centre for Polar &amp; Marine Research</t>
  </si>
  <si>
    <t>Bashmachnikov, IL (corresponding author), St Petersburg State Univ, Dept Oceanog, St Petersburg, Russia.;Bashmachnikov, IL (corresponding author), Nansen Int Environm &amp; Remote Sensing Ctr, St Petersburg, Russia.</t>
  </si>
  <si>
    <t>igorh1969@mail.ru</t>
  </si>
  <si>
    <t>Bashmachnikov, Igor/B-2879-2012; Petrenko, Larisa/AAY-6398-2020; Kozlov, Igor E./GSN-3401-2022; Wekerle, Claudia/U-7054-2017; Kozlov, Igor/G-1103-2014</t>
  </si>
  <si>
    <t>Bashmachnikov, Igor/0000-0002-1257-4197; Wekerle, Claudia/0000-0001-9985-0950; Kozlov, Igor/0000-0001-6378-8956; Petrenko, Larisa/0000-0001-7246-9885</t>
  </si>
  <si>
    <t>Russian Foundation for Basic Research (RFBR) [18-35-20078 mol_a_ved]; AWI FRontiers in Arctic marine Monitoring program (FRAM)</t>
  </si>
  <si>
    <t>Russian Foundation for Basic Research (RFBR)(Russian Foundation for Basic Research (RFBR)); AWI FRontiers in Arctic marine Monitoring program (FRAM)</t>
  </si>
  <si>
    <t>I.L.B., I.E.K, and L.A.P. acknowledge the support of the Russian Foundation for Basic Research (RFBR) project no. 18-35-20078 mol_a_ved. C.W. acknowledges the funding by the AWI FRontiers in Arctic marine Monitoring program (FRAM). The authors acknowledge AVISO altimetry data.</t>
  </si>
  <si>
    <t>e2019JC015832</t>
  </si>
  <si>
    <t>10.1029/2019JC015832</t>
  </si>
  <si>
    <t>NA7QJ</t>
  </si>
  <si>
    <t>WOS:000560011100009</t>
  </si>
  <si>
    <t>Bull, CYS; Kiss, AE; Sen Gupta, A; Jourdain, NC; Argüeso, D; Di Luca, A; Sérazin, G</t>
  </si>
  <si>
    <t>Bull, Christopher Y. S.; Kiss, Andrew E.; Sen Gupta, Alex; Jourdain, Nicolas C.; Argueso, Daniel; Di Luca, Alejandro; Serazin, Guillaume</t>
  </si>
  <si>
    <t>Regional Versus Remote Atmosphere-Ocean Drivers of the Rapid Projected Intensification of the East Australian Current</t>
  </si>
  <si>
    <t>East Australia Current; CMIP5 projections; RCP85; western boundary currents; ocean circulation; ocean modeling</t>
  </si>
  <si>
    <t>WESTERN BOUNDARY CURRENTS; DEPTH-INTEGRATED FLOW; AGULHAS LEAKAGE; CLIMATE-CHANGE; POLEWARD SHIFT; SOUTHERN-OCEAN; CMIP5 MODELS; VARIABILITY; CIRCULATION; WIND</t>
  </si>
  <si>
    <t>Like many western boundary currents, the East Australian Current (EAC) extension is projected to get stronger and warmer in the future. The CMIP5 multimodel mean (MMM) projection suggests up to 5 degrees C of warming under an RCP85 scenario by 2100. Previous studies employed Sverdrup balance to associate a trend in basin wide zonally integrated wind stress curl (resulting from the multidecadal poleward intensification in the westerly winds over the Southern Ocean) with enhanced transport in the EAC extension. Possible regional drivers are yet to be considered. Here we introduce the NEMO-OASIS-WRF coupled regional climate model as a framework to improve our understanding of CMIP5 projections. We analyze a hierarchy of simulations in which the regional atmosphere and ocean circulations are allowed to freely evolve subject to boundary conditions that represent present-day and CMIP5 RCP8.5 climate change anomalies. Evaluation of the historical simulation shows an EAC extension that is stronger than similar ocean-only models and observations. This bias is not explained by a linear response to differences in wind stress. The climate change simulations show that regional atmospheric CMIP5 MMM anomalies drive 73% of the projected 12 Sv increase in EAC extension transport whereas the remote ocean boundary conditions and regional radiative forcing (greenhouse gases within the domain) play a smaller role. The importance of regional changes in wind stress curl in driving the enhanced EAC extension is consistent with linear theory where the NEMO-OASIS-WRF response is closer to linear transport estimates compared to the CMIP5 MMM.</t>
  </si>
  <si>
    <t>[Bull, Christopher Y. S.] British Antarctic Survey, Cambridge, England; [Bull, Christopher Y. S.; Kiss, Andrew E.; Sen Gupta, Alex; Di Luca, Alejandro; Serazin, Guillaume] Univ New South Wales, ARC Ctr Excellence Climate Extremes, Sydney, NSW, Australia; [Kiss, Andrew E.] Australian Natl Univ, Res Sch Earth Sci, Canberra, ACT, Australia; [Sen Gupta, Alex; Di Luca, Alejandro; Serazin, Guillaume] Univ New South Wales, Climate Change Res Ctr, Sydney, NSW, Australia; [Jourdain, Nicolas C.] Univ Grenoble Alpes, CNRS, IRD, G INP,IGE, Grenoble, France; [Argueso, Daniel] Univ Balearic Isl, Phys Dept, Palma De Mallorca, Spain; [Bull, Christopher Y. S.] Northumbria Univ, Dept Geog &amp; Environm Sci, Newcastle Upon Tyne, Tyne &amp; Wear, England</t>
  </si>
  <si>
    <t>UK Research &amp; Innovation (UKRI); Natural Environment Research Council (NERC); NERC British Antarctic Survey; University of New South Wales Sydney; Australian National University; University of New South Wales Sydney; Communaute Universite Grenoble Alpes; Universite Grenoble Alpes (UGA); Centre National de la Recherche Scientifique (CNRS); Institut de Recherche pour le Developpement (IRD); Universitat de les Illes Balears; Northumbria University</t>
  </si>
  <si>
    <t>Bull, CYS (corresponding author), British Antarctic Survey, Cambridge, England.;Bull, CYS (corresponding author), Univ New South Wales, ARC Ctr Excellence Climate Extremes, Sydney, NSW, Australia.;Bull, CYS (corresponding author), Northumbria Univ, Dept Geog &amp; Environm Sci, Newcastle Upon Tyne, Tyne &amp; Wear, England.</t>
  </si>
  <si>
    <t>christopher.bull@northumbria.ac.uk</t>
  </si>
  <si>
    <t>Kiss, Andrew E/E-7733-2016; Argüeso, Daniel/G-1970-2012; Sen Gupta, Alexander/B-7995-2011; Jourdain, Nicolas/B-6899-2015</t>
  </si>
  <si>
    <t>Kiss, Andrew E/0000-0001-8960-9557; Argüeso, Daniel/0000-0002-4792-162X; Bull, Christopher/0000-0001-8362-3446; Di Luca, Alejandro/0000-0002-1481-2961; Sen Gupta, Alexander/0000-0001-5226-871X; Jourdain, Nicolas/0000-0002-1372-2235</t>
  </si>
  <si>
    <t>Australian Research Council [DP180101251]; ARC Centre of Excellence in Climate System Science [CE110001028]; Filchner Ice Shelf System (FISS) project [NE/L013770/1]; European Union's Horizon 2020 programme through a Marie Sklodowska-Curie Individual Fellowship [H2020-MSCA-IF-2016-743547]; Australian Government; NERC [bas0100033, NE/L013770/1] Funding Source: UKRI</t>
  </si>
  <si>
    <t>Australian Research Council(Australian Research Council); ARC Centre of Excellence in Climate System Science(Australian Research Council); Filchner Ice Shelf System (FISS) project; European Union's Horizon 2020 programme through a Marie Sklodowska-Curie Individual Fellowship; Australian Government(Australian Government); NERC(UK Research &amp; Innovation (UKRI)Natural Environment Research Council (NERC))</t>
  </si>
  <si>
    <t>For their roles in producing, coordinating, and making available CMIP5 model output (Table S1), we acknowledge the climate modeling groups, the World Climate Research Programme's Working Group on Coupled Modeling and the Global Organization for Earth System Science Portals. The altimeter products were produced and distributed by Aviso+ (https://www.aviso.altimetry.fr/), as part of the Ssalto ground processing segment. The AVISO product used is the daily, delayed time, all satellite, Mapped Absolute Dynamic Topography (DT-MADT) product consisting of the mean dynamic topography from MDT CNES-CLS13 (Rio et al., 2014) and Mapped Sea Level Anomalies from DUACS DT2014 (Pujol et al., 2016). This work was supported by the Australian Research Council (DP180101251) and the ARC Centre of Excellence in Climate System Science (CE110001028). Christopher Bull is supported through the Filchner Ice Shelf System (FISS) project NE/L013770/1. Daniel Argueso is funded by the European Union's Horizon 2020 programme through a Marie Sklodowska-Curie Individual Fellowship (H2020-MSCA-IF-2016-743547). This research was undertaken with the assistance of resources from the National Computational Infrastructure (NCI), which is supported by the Australian Government. All model output generated in this study is archived in the UNSW Data Archive (https://dataarchive.unsw.edu.au).The scripts used to prepare the model configurations and the model components are available online (http://doi.org/10.5281/zenodo.3760905).The authors also acknowledge the comments of two anonymous reviewers which led to improvements in the manuscript.</t>
  </si>
  <si>
    <t>e2019JC015889</t>
  </si>
  <si>
    <t>10.1029/2019JC015889</t>
  </si>
  <si>
    <t>WOS:000560011100006</t>
  </si>
  <si>
    <t>Mortenson, E; Steiner, N; Monahan, AH; Hayashida, H; Sou, T; Shao, A</t>
  </si>
  <si>
    <t>Mortenson, Eric; Steiner, Nadja; Monahan, Adam H.; Hayashida, Hakase; Sou, Tessa; Shao, Andrew</t>
  </si>
  <si>
    <t>Modeled Impacts of Sea Ice Exchange Processes on Arctic Ocean Carbon Uptake and Acidification (1980-2015)</t>
  </si>
  <si>
    <t>Arctic Ocean; Biogeochemical model; Carbon</t>
  </si>
  <si>
    <t>INORGANIC CARBON; BIOGEOCHEMICAL MODEL; PHYTOPLANKTON BLOOMS; FRESH-WATER; CO2 UPTAKE; SYSTEM; ATMOSPHERE; DYNAMICS; ATLANTIC; SEAWATER</t>
  </si>
  <si>
    <t>A regional Arctic ice ocean model incorporating biogeochemical processes occurring inside the sea ice and water column is used to assess changes to the Arctic Ocean's carbon system, including oceanic carbon uptake and ocean acidification, over the recent period of Arctic sea ice decline (1980-2015). Two novel modifications are the following: (1) incorporation of carbon uptake by sea ice algae and (2) modification of the sea ice carbon pump to allow for vertical transport by brine plumes with high concentrations of dissolved inorganic carbon (DIC) and total alkalinity (TA) to the bottom of the mixed layer. The simulated carbon uptake north of 66.5 degrees N increases by 20%, from 110 to 135 Tg C yr(-1)from 1980-2015, and the mean pan-Arctic sea surface pH decreases from 8.1 to 8.0. There is substantial regional and seasonal variability, highlighting potential problems with interpolating sparse measurements. Two sensitivity studies assess the effects of modifications to the near-surface carbonate system. First, excluding the sea ice carbon pump results in a marked decrease in seasonal variability of pan-Arctic-mean sea surface DIC (similar to 25% less than the standard run) and TA (similar to 10% less), suggesting that neglecting the ice carbon pump results in models overestimating the saturation state in summer. Second, neglecting the sea ice algae results in an underestimation of the Arctic Ocean's annual carbon uptake (similar to 3% per year), indicating that the accumulating year-on-year underestimation of annual carbon uptake, as a result of neglecting sea ice algae, would lead to increasing error over multidecadal runs of polar ocean models.</t>
  </si>
  <si>
    <t>[Mortenson, Eric] CSIRO, Hobart, Tas, Australia; [Mortenson, Eric; Steiner, Nadja; Monahan, Adam H.; Hayashida, Hakase; Sou, Tessa; Shao, Andrew] Univ Victoria, Dept Sch Earth &amp; Ocean Sci, Victoria, BC, Canada; [Steiner, Nadja] Fisheries &amp; Oceans Canada, Sidney, BC, Canada; [Hayashida, Hakase] Univ Tasmania, Inst Marine &amp; Antarctic Studies, Hobart, Tas, Australia</t>
  </si>
  <si>
    <t>Commonwealth Scientific &amp; Industrial Research Organisation (CSIRO); University of Victoria; Fisheries &amp; Oceans Canada; University of Tasmania</t>
  </si>
  <si>
    <t>Mortenson, E (corresponding author), CSIRO, Hobart, Tas, Australia.;Mortenson, E (corresponding author), Univ Victoria, Dept Sch Earth &amp; Ocean Sci, Victoria, BC, Canada.</t>
  </si>
  <si>
    <t>eric.mortenson@csiro.au</t>
  </si>
  <si>
    <t>Hayashida, Hakase/AAY-4151-2020</t>
  </si>
  <si>
    <t>Hayashida, Hakase/0000-0002-6349-4947; Mortenson, Eric/0000-0002-3282-4974; Steiner, Nadja/0000-0001-7456-3437</t>
  </si>
  <si>
    <t>NSERC-NETCARE; ArcticNet; University of Victoria; CSIRO; Natural Sciences and Engineering Research Council of Canada; Fisheries and Oceans Canada; Compute Canada; Environment and Climate Change Canada</t>
  </si>
  <si>
    <t>NSERC-NETCARE; ArcticNet; University of Victoria; CSIRO(Commonwealth Scientific &amp; Industrial Research Organisation (CSIRO)); Natural Sciences and Engineering Research Council of Canada(Natural Sciences and Engineering Research Council of Canada (NSERC)CGIAR); Fisheries and Oceans Canada; Compute Canada; Environment and Climate Change Canada</t>
  </si>
  <si>
    <t>This work was supported by NSERC-NETCARE, ArcticNet, the University of Victoria, Compute Canada, and CSIRO. It is a contribution to BEPSII. A. H. M acknowledges support from the Discovery Grant Program of the Natural Sciences and Engineering Research Council of Canada. N. S. acknowledges support from Fisheries and Oceans and Environment and Climate Change Canada. We would like to express appreciation to Lisa Miller, Debby Ianson, and Frederic Maps for their input and helpful comments in the development of this paper. We would like to thank Arlan Dirkson for help arranging PIOMAS data onto the same domain as that of our model analysis. Finally, we would like to acknowledge the valuable comments and feedback from the anonymous reviewers.</t>
  </si>
  <si>
    <t>e2019JC015782</t>
  </si>
  <si>
    <t>10.1029/2019JC015782</t>
  </si>
  <si>
    <t>WOS:000560011100017</t>
  </si>
  <si>
    <t>Waugh, DW; Haine, TWN</t>
  </si>
  <si>
    <t>Waugh, Darryn W.; Haine, Thomas W. N.</t>
  </si>
  <si>
    <t>How Rapidly Do the Southern Subtropical Oceans Respond to Wind Stress Changes?</t>
  </si>
  <si>
    <t>ANTARCTIC CIRCUMPOLAR CURRENT; HEMISPHERE WESTERLIES; OZONE DEPLETION; CLIMATE-CHANGE; SPIN-UP; VENTILATION; CIRCULATION; WATER; SIMULATIONS; SCALES</t>
  </si>
  <si>
    <t>The response time of the southern subtropical oceans to an increase in the wind stress is examined in a climate model simulation where there is an abrupt increase in the wind stress. The ocean response time is shown to vary among fields: The intensification of the gyres and vertical movement of isopycnals happens over 5-10 years, while the change in ideal age, temperature, and salinity in mode and intermediate waters occurs much slower, with the response time exceeding 100 years at depths of 500-1,000 m. While the response time for ideal age is longer than that for the surface circulation, it is notable that it is much younger than the ideal age itself. The different response times indicate that changes in the winds over the southern oceans and in the horizontal circulation/density structure will occur near simultaneously, but there may be a substantial lag in subsurface changes from wind changes, and these changes may persist for decades even if no further changes in the winds occur.</t>
  </si>
  <si>
    <t>[Waugh, Darryn W.; Haine, Thomas W. N.] Johns Hopkins Univ, Dept Earth &amp; Planetary Sci, Baltimore, MD 21218 USA; [Waugh, Darryn W.] Univ New South Wales, Sch Math &amp; Stat, Sydney, NSW, Australia</t>
  </si>
  <si>
    <t>Johns Hopkins University; University of New South Wales Sydney</t>
  </si>
  <si>
    <t>Waugh, DW (corresponding author), Johns Hopkins Univ, Dept Earth &amp; Planetary Sci, Baltimore, MD 21218 USA.;Waugh, DW (corresponding author), Univ New South Wales, Sch Math &amp; Stat, Sydney, NSW, Australia.</t>
  </si>
  <si>
    <t>waugh@jhu.edu</t>
  </si>
  <si>
    <t>Waugh, Darryn/K-3688-2016</t>
  </si>
  <si>
    <t>Waugh, Darryn/0000-0001-7692-2798; Haine, Thomas/0000-0001-8231-2419</t>
  </si>
  <si>
    <t>e2020JC016236</t>
  </si>
  <si>
    <t>10.1029/2020JC016236</t>
  </si>
  <si>
    <t>WOS:000560011100050</t>
  </si>
  <si>
    <t>Xu, XB; Chassignet, EP; Firing, YL; Donohue, K</t>
  </si>
  <si>
    <t>Xu, Xiaobiao; Chassignet, Eric P.; Firing, Yvonne L.; Donohue, Kathleen</t>
  </si>
  <si>
    <t>Antarctic Circumpolar Current Transport Through Drake Passage: What Can We Learn From Comparing High-Resolution Model Results to Observations?</t>
  </si>
  <si>
    <t>ACC; Drake Passage; volume transport; high-resolution model</t>
  </si>
  <si>
    <t>OVERTURNING CIRCULATION; VOLUME TRANSPORT; TIME-SERIES; IN-SITU; VARIABILITY; PRESSURE; SCOTLAND; EXCHANGE; CLOSURE; FRONTS</t>
  </si>
  <si>
    <t>Uncertainty exists in the time-mean total transport of the Antarctic Circumpolar Current (ACC), the world's strongest ocean current. The two most recent observational programs in Drake Passage, DRAKE and cDrake, yielded transports of 141 and 173.3 Sv, respectively. In this paper, we use a realistic 1/12 degrees global ocean simulation to interpret these observational estimates and reconcile their differences. We first show that the modeled ACC transport in the upper 1,000 m is in excellent agreement with repeat shipboard acoustic Doppler current profiler (SADCP) transects and that the exponentially decaying transport profile in the model is consistent with the profile derived from repeat hydrographic data. By further comparing the model results to the cDrake and DRAKE observations, we argue that the modeled 157.3 Sv transport, that is, approximately the average of the cDrake and DRAKE estimates, is actually representative of the time-mean ACC transport through the Drake Passage. The cDrake experiment overestimated the barotropic contribution in part because the array undersampled the deep recirculation southwest of the Shackleton Fracture Zone, whereas the surface geostrophic currents used in the DRAKE estimate yielded a weaker near-surface transport than implied by the SADCP data. We also find that the modeled baroclinic and barotropic transports are not correlated; thus, monitoring either baroclinic or barotropic transport alone may be insufficient to assess the temporal variability of the total ACC transport.</t>
  </si>
  <si>
    <t>[Xu, Xiaobiao; Chassignet, Eric P.] Florida State Univ, Ctr Ocean Atmospher Predict Studies, Tallahassee, FL 32306 USA; [Firing, Yvonne L.] Natl Oceanog Ctr, Southampton, Hants, England; [Donohue, Kathleen] Univ Rhode Isl, Grad Sch Oceanog, Narragansett, RI 02882 USA</t>
  </si>
  <si>
    <t>State University System of Florida; Florida State University; NERC National Oceanography Centre; University of Rhode Island</t>
  </si>
  <si>
    <t>Xu, XB (corresponding author), Florida State Univ, Ctr Ocean Atmospher Predict Studies, Tallahassee, FL 32306 USA.</t>
  </si>
  <si>
    <t>xxu3@fsu.edu</t>
  </si>
  <si>
    <t>Chassignet, Eric/0000-0003-4710-7502; Xu, Xiaobiao/0000-0001-8902-7645; Firing, Yvonne/0000-0002-3640-3974</t>
  </si>
  <si>
    <t>U.S. National Science Foundation Physical Oceanography Program [1537136]; Office of Naval Research [N00014-19-12717]; U.K. Natural Environment Research Council [NE/N018095/1]; Directorate For Geosciences; Division Of Ocean Sciences [1537136] Funding Source: National Science Foundation; NERC [NE/N018095/1] Funding Source: UKRI</t>
  </si>
  <si>
    <t>U.S. National Science Foundation Physical Oceanography Program; Office of Naval Research(Office of Naval Research); U.K. Natural Environment Research Council(UK Research &amp; Innovation (UKRI)Natural Environment Research Council (NERC)); Directorate For Geosciences; Division Of Ocean Sciences(National Science Foundation (NSF)NSF - Directorate for Geosciences (GEO)); NERC(UK Research &amp; Innovation (UKRI)Natural Environment Research Council (NERC))</t>
  </si>
  <si>
    <t>X.X. and E.P.C. are supported by the U.S. National Science Foundation Physical Oceanography Program (award 1537136) and by the Office of Naval Research (N00014-19-12717). Y.L.F. is supported by U.K. Natural Environment Research Council grant NE/N018095/1. The global ocean-sea ice simulation was performed on supercomputers at the U.S. Army Engineer Research and Development Center (ERDC) in Vicksburg, Mississippi, and the U.S. Navy DoD Supercomputing Resource Center (DSRC) in Stennis Space Center, Mississippi, using computer time provided by the U.S. DoD High Performance Computing Modernization Program.</t>
  </si>
  <si>
    <t>e2020JC016365</t>
  </si>
  <si>
    <t>10.1029/2020JC016365</t>
  </si>
  <si>
    <t>WOS:000560011100002</t>
  </si>
  <si>
    <t>Pakhomov, EA; Pshenichnov, LK; Krot, A; Paramonov, V; Slypko, I; Zabroda, P</t>
  </si>
  <si>
    <t>Pakhomov, Evgeny A.; Pshenichnov, Leonid K.; Krot, Anatoly; Paramonov, Valery; Slypko, Ilia; Zabroda, Pavel</t>
  </si>
  <si>
    <t>Zooplankton Distribution and Community Structure in the Pacific and Atlantic Sectors of the Southern Ocean during Austral Summer 2017-18: A Pilot Study Conducted from Ukrainian Long-Liners</t>
  </si>
  <si>
    <t>JOURNAL OF MARINE SCIENCE AND ENGINEERING</t>
  </si>
  <si>
    <t>zooplankton; Southern Ocean; abundance; biomass; distribution; community composition; ships of opportunity</t>
  </si>
  <si>
    <t>LUTZOW-HOLM BAY; THEMISTO-GAUDICHAUDI; HYPERIID AMPHIPOD; WEDDELL SEA; ICE-ZONE; ROSS SEA; MESOZOOPLANKTON; BIOMASS; ABUNDANCE; COPEPOD</t>
  </si>
  <si>
    <t>Preliminary results of the pilot study of the zooplankton in the region between the Ross and Scotia Seas from November 2017 to April 2018 are presented. In total, 53 zooplankton samples were collected in the top 100 m water layer using vertical tows of a 0.1 m(2)Juday net from four Ukrainian longliners operating during the Antarctic toothfish fishery. Total zooplankton abundance ranged from 3 to 2836 ind m(-3)with a global mean of 360 +/- 550 (+/- 1 SD) ind m(-3). The highest abundances were recorded at the northeastern Ross Sea. At those stations, small copepods (mainlyOithonaspp.,Oncaeaspp.,Ctenocalanusspp. and copepod nauplii) numerically dominated the samples. Total biomass ranged from 0.3 to 85 mg DW m(-3)with a mean of 10.9 +/- 14.5 mg DW m(-3). The highest biomasses were recorded at the eastern Ross Sea, where pelagic tunicatesSalpa thompsoni, siphonophores and ctenophoraCallianirasp. accounted for &gt;90% of total zooplankton biomass. At other stations, zooplankton biomass generally ranged from 5 to 20 mg DW m(-3)with no clear pattern in distribution. The community composition was driven by the sampling latitude and/or season rather than longitudinally. This pilot study emphasized the unique opportunity to investigate zooplankton dynamics in the regions traditionally not sampled during the oceanographic surveys. It also created unprecedented opportunities to increase the seasonal and geographical zooplankton sampling coverage using ships of opportunity at a fraction of a dedicated oceanographic survey costs. The potential of such surveys are enormous in both providing invaluable information, contributing to existing long-term databases and enhancing an international collaboration in the Southern Ocean, particularly in light of recent modeling initiatives of the whole Antarctic system undertaken by the Commission for the Conservation of Antarctic Marine Living Resources.</t>
  </si>
  <si>
    <t>[Pakhomov, Evgeny A.] Univ British Columbia, Dept Earth Ocean &amp; Atmospher Sci, 2207 Main Mall, Vancouver, BC V6T 1Z4, Canada; [Pakhomov, Evgeny A.] Univ British Columbia, Inst Oceans &amp; Fisheries, 2202 Main Mall, Vancouver, BC V6T 1Z4, Canada; [Pakhomov, Evgeny A.] Hakai Inst, POB 309, Heriot Bay, BC V0P 1H0, Canada; [Pshenichnov, Leonid K.; Krot, Anatoly; Paramonov, Valery; Slypko, Ilia; Zabroda, Pavel] Inst Fisheries &amp; Ecol Sea IFES, 8 Konsulskaya St, UA-71118 Berdyansk, Zaporozhe Regio, Ukraine</t>
  </si>
  <si>
    <t>University of British Columbia; University of British Columbia; Hakai Institute</t>
  </si>
  <si>
    <t>Pakhomov, EA (corresponding author), Univ British Columbia, Dept Earth Ocean &amp; Atmospher Sci, 2207 Main Mall, Vancouver, BC V6T 1Z4, Canada.;Pakhomov, EA (corresponding author), Univ British Columbia, Inst Oceans &amp; Fisheries, 2202 Main Mall, Vancouver, BC V6T 1Z4, Canada.;Pakhomov, EA (corresponding author), Hakai Inst, POB 309, Heriot Bay, BC V0P 1H0, Canada.</t>
  </si>
  <si>
    <t>epakhomov@eoas.ubc.ca; lkpbikentnet@gmail.com; krotanatoliy1@gmail.com; vparamonov@i.ua; i.v.slipko@gmail.com; pavlo.zabroda@ukr.net</t>
  </si>
  <si>
    <t>Slypko, Illia/0000-0002-7012-3925</t>
  </si>
  <si>
    <t>University of British Columbia (Canada); Institute of Fisheries and Ecology (Ukraine)</t>
  </si>
  <si>
    <t>This research has been carried out as a collaboration between the University of British Columbia (Canada) and the Institute of Fisheries and Ecology (Ukraine). Both institutions contributed financially to the collection, analysis, and MS preparation.</t>
  </si>
  <si>
    <t>MDPI</t>
  </si>
  <si>
    <t>BASEL</t>
  </si>
  <si>
    <t>ST ALBAN-ANLAGE 66, CH-4052 BASEL, SWITZERLAND</t>
  </si>
  <si>
    <t>2077-1312</t>
  </si>
  <si>
    <t>J MAR SCI ENG</t>
  </si>
  <si>
    <t>J. Mar. Sci. Eng.</t>
  </si>
  <si>
    <t>10.3390/jmse8070488</t>
  </si>
  <si>
    <t>Engineering, Marine; Engineering, Ocean; Oceanography</t>
  </si>
  <si>
    <t>Engineering; Oceanography</t>
  </si>
  <si>
    <t>MY8MD</t>
  </si>
  <si>
    <t>WOS:000558670300001</t>
  </si>
  <si>
    <t>McCarthy, A; Falloon, TJ; Sauermilch, I; Whittaker, JM; Niida, K; Green, DH</t>
  </si>
  <si>
    <t>McCarthy, A.; Falloon, T. J.; Sauermilch, I; Whittaker, J. M.; Niida, K.; Green, D. H.</t>
  </si>
  <si>
    <t>Revisiting the Australian-Antarctic Ocean-Continent Transition Zone Using Petrological and Geophysical Characterization of Exhumed Subcontinental Mantle</t>
  </si>
  <si>
    <t>GEOCHEMISTRY GEOPHYSICS GEOSYSTEMS</t>
  </si>
  <si>
    <t>ocean-continent transition; subcontinental mantle; Australian-Antarctic margins; rifting; ultra-slow spreading</t>
  </si>
  <si>
    <t>OLIVINE-RICH TROCTOLITES; MELT-ROCK INTERACTION; SLOW-SPREADING RIDGE; MAGMA-POOR; MAGNETIC-ANOMALIES; RIFTED MARGINS; LITHOSPHERIC MANTLE; SPINEL-LHERZOLITE; MIDOCEAN RIDGE; TRACE-ELEMENT</t>
  </si>
  <si>
    <t>The final lithospheric breakup of the Australian-Antarctic rift system remains controversial due to sparse geological constraints on the nature of the basement along the ocean-continent transition (OCT) zones. We present new interpretations of multichannel seismic reflection transects and new petrological data of dredged mantle rocks along the East Antarctic margin (Seamount B, offshore Terre Adelie). By combining both data sets, we show that a 50-100 km wide domain of cold and fertile subcontinental mantle was exhumed along the magma-poor Antarctic margin. This study represents only the second locality, along with the Iberia-Newfoundland margins, where the importance of exhumed mantle domains along OCTs can be clearly identified. The dredged peridotites preserve characteristics similar to mantle xenoliths found in syn- to post-rift volcanism at the eastern end of the Australian margin (Victoria and Tasmania), indicating the exhumation of fertile subcontinental mantle during rifting between Australia and Antarctica. Seamount B represents the initial stages of exhumation of cold subcontinental lithosphere along an OCT during rifting. This thick mantle domain was likely affected by melt impregnation at high pressure (8 kbar), leading to the formation of plagioclase-pyroxenites. The combination of continental rifted blocks, a wide domain of volcanic-poor subcontinental mantle and (ultra-) slow spreading is analogous to OCTs from the Jurassic Western Tethys and Iberia-Newfoundland rifted margins. Additionally, evidence of melt stagnation at high pressure suggests that magmatism along the Australian-Antarctic rifted margins was sufficient to form magnetic anomalies that can be used as isochrons despite their formation in lithosphere other than mature, steady-state ocean crust.</t>
  </si>
  <si>
    <t>[McCarthy, A.] Univ Bristol, Sch Earth Sci, Clifton, England; [McCarthy, A.; Sauermilch, I; Whittaker, J. M.] Univ Tasmania, Inst Marine &amp; Antarctic Studies, Hobart, Tas, Australia; [Falloon, T. J.; Green, D. H.] Univ Tasmania, Sch Nat Sci, CODES, Hobart, Tas, Australia; [Falloon, T. J.; Green, D. H.] Univ Tasmania, Sch Nat Sci, Earth Sci, Hobart, Tas, Australia; [Niida, K.] Hokkaido Univ Museum, Sapporo, Hokkaido, Japan</t>
  </si>
  <si>
    <t>University of Bristol; University of Tasmania; University of Tasmania; University of Tasmania; Hokkaido University</t>
  </si>
  <si>
    <t>McCarthy, A (corresponding author), Univ Bristol, Sch Earth Sci, Clifton, England.;McCarthy, A (corresponding author), Univ Tasmania, Inst Marine &amp; Antarctic Studies, Hobart, Tas, Australia.</t>
  </si>
  <si>
    <t>anders.mccarthy@bristol.ac.uk</t>
  </si>
  <si>
    <t>McCarthy, Anders/J-3619-2017; Whittaker, Joanne/B-3695-2010</t>
  </si>
  <si>
    <t>McCarthy, Anders/0000-0002-8018-2048; Whittaker, Joanne/0000-0002-3170-3935</t>
  </si>
  <si>
    <t>Swiss National Science Foundation [P2LAP2_171819]; Australian Research Council's Special Research Initiative for Antarctic Gateway Partnership [SR140300001]; Australian Research Council [DP180102280]; SCAR community; Swiss National Science Foundation (SNF) [P2LAP2_171819] Funding Source: Swiss National Science Foundation (SNF)</t>
  </si>
  <si>
    <t>Swiss National Science Foundation(Swiss National Science Foundation (SNSF)); Australian Research Council's Special Research Initiative for Antarctic Gateway Partnership(Australian Research Council); Australian Research Council(Australian Research Council); SCAR community; Swiss National Science Foundation (SNF)(Swiss National Science Foundation (SNSF))</t>
  </si>
  <si>
    <t>A. M. acknowledge the support of Swiss National Science Foundation grant P2LAP2_171819. I. S. was supported under Australian Research Council's Special Research Initiative for Antarctic Gateway Partnership (Project ID SR140300001). J. M. W. acknowledges support from Australian Research Council grant DP180102280. We are also grateful to the support from the SCAR community as well as to Dr. M. Yuasa of the Geological Survey of Japan for having carried out the initial studies on Seamount B.</t>
  </si>
  <si>
    <t>1525-2027</t>
  </si>
  <si>
    <t>GEOCHEM GEOPHY GEOSY</t>
  </si>
  <si>
    <t>Geochem. Geophys. Geosyst.</t>
  </si>
  <si>
    <t>e2020GC009040</t>
  </si>
  <si>
    <t>10.1029/2020GC009040</t>
  </si>
  <si>
    <t>MW7YF</t>
  </si>
  <si>
    <t>WOS:000557248500007</t>
  </si>
  <si>
    <t>Mukherjee, I; Deb, M; Large, RR; Halpin, J; Meffre, S; Avila, J; Belousov, I</t>
  </si>
  <si>
    <t>Mukherjee, Indrani; Deb, Mihir; Large, Ross R.; Halpin, Jacqueline; Meffre, Sebastien; Avila, Janaina; Belousov, Ivan</t>
  </si>
  <si>
    <t>Pyrite Textures, Trace Elements and Sulfur Isotope Chemistry of Bijaigarh Shales, Vindhyan Basin, India and Their Implications</t>
  </si>
  <si>
    <t>MINERALS</t>
  </si>
  <si>
    <t>Bijaigarh Shale; pyrite; Middle Proterozoic; SHRIMP-SI; LA-ICP-MS</t>
  </si>
  <si>
    <t>BLACK SHALES; ATMOSPHERIC OXYGENATION; MCARTHUR BASIN; BILLION YEARS; KAIMUR GROUP; SON VALLEY; AGE; SUPERGROUP; EVOLUTION; AMJHORE</t>
  </si>
  <si>
    <t>The Vindhyan Basin in central India preserves a thick (similar to 5 km) sequence of sedimentary and lesser volcanic rocks that provide a valuable archive of a part of the Proterozoic (similar to 1800-900 Ma) in India. Here, we present an analysis of key sedimentary pyrite textures and their trace element and sulfur isotope compositions in the Bijaigarh Shale (1210 +/- 52 Ma) in the Vindhyan Supergroup, using reflected light microscopy, LA-ICP-MS and SHRIMP-SI, respectively. A variety of sedimentary pyrite textures (fine-grained disseminated to aggregates, framboids, lags, and possibly microbial pyrite textures) are observed reflecting quiet and strongly anoxic water column conditions punctuated by occasional high-energy events (storm incursions). Key redox sensitive or sensitive to oxidative weathering trace elements (Co, Ni, Zn, Mo, Se) and ratios of (Se/Co, Mo/Co, Zn/Co) measured in sedimentary pyrites from the Bijaigarh Shale are used to infer atmospheric redox conditions during its deposition. Most trace elements are depleted relative to Proterozoic mean values. Sulfur isotope compositions of pyrite, measured using SHRIMP-SI, show an increase in delta S-34 as we move up stratigraphy with positive delta S-34 values ranging from 5.9 parts per thousand (lower) to 26.08 parts per thousand (upper). We propose limited sulphate supply caused the pyrites to incorporate the heavier isotope. Overall, we interpret these low trace element signatures and heavy sulfur isotope compositions to indicate relatively suppressed oxidative weathering on land during the deposition of the Bijaigarh Shale.</t>
  </si>
  <si>
    <t>[Mukherjee, Indrani; Large, Ross R.; Meffre, Sebastien; Belousov, Ivan] Univ Tasmania, Ctr Ore Deposit &amp; Earth Sci CODES, Hobart, Tas 7001, Australia; [Deb, Mihir] Univ Delhi, Dept Geol, New Delhi 110021, India; [Halpin, Jacqueline] Univ Tasmania, Inst Marine &amp; Antarctic Studies, Battery Point, Tas 7004, Australia; [Avila, Janaina] Australian Natl Univ, Res Sch Earth Sci, Canberra, ACT 2601, Australia</t>
  </si>
  <si>
    <t>University of Tasmania; University of Delhi; University of Tasmania; Australian National University</t>
  </si>
  <si>
    <t>Mukherjee, I (corresponding author), Univ Tasmania, Ctr Ore Deposit &amp; Earth Sci CODES, Hobart, Tas 7001, Australia.</t>
  </si>
  <si>
    <t>indrani.mukherjee@utas.edu.au; mihirdeb@gmail.com; ross.large@utas.edu.au; jacqueline.halpin@utas.edu.au; sebastien.meffre@utas.edu.au; janaina.avila@anu.edu.au; ivan.belousov@utas.edu.au</t>
  </si>
  <si>
    <t>Belousov, Ivan A/A-5462-2008; Large, Ross R/C-5365-2009; Meffre, Sebastien/J-8700-2014</t>
  </si>
  <si>
    <t>Belousov, Ivan/0000-0002-9224-6408; Mukherjee, Indrani/0000-0002-2808-1821; Meffre, Sebastien/0000-0003-2741-6076</t>
  </si>
  <si>
    <t>Australian Research Council (ARC) [DP 150102578]</t>
  </si>
  <si>
    <t>Australian Research Council (ARC)(Australian Research Council)</t>
  </si>
  <si>
    <t>This research was funded by Australian Research Council (ARC) project DP 150102578 awarded to RRL.</t>
  </si>
  <si>
    <t>2075-163X</t>
  </si>
  <si>
    <t>MINERALS-BASEL</t>
  </si>
  <si>
    <t>Minerals</t>
  </si>
  <si>
    <t>10.3390/min10070588</t>
  </si>
  <si>
    <t>Geochemistry &amp; Geophysics; Mineralogy; Mining &amp; Mineral Processing</t>
  </si>
  <si>
    <t>MX2KR</t>
  </si>
  <si>
    <t>WOS:000557555400001</t>
  </si>
  <si>
    <t>Meier, WN; Stewart, JS</t>
  </si>
  <si>
    <t>Meier, Walter N.; Stewart, J. Scott</t>
  </si>
  <si>
    <t>Assessment of the Stability of Passive Microwave Brightness Temperatures for NASA Team Sea Ice Concentration Retrievals</t>
  </si>
  <si>
    <t>REMOTE SENSING</t>
  </si>
  <si>
    <t>sea ice; passive microwave; remote sensing; Arctic; Antarctic</t>
  </si>
  <si>
    <t>ALGORITHMS; FORECASTS</t>
  </si>
  <si>
    <t>Gridded passive microwave brightness temperatures (TB) from special sensor microwave imager and sounder (SSMIS) instruments on three different satellite platforms are compared in different years to investigate the consistency between the sensors over time. The orbits of the three platforms have drifted over their years of operation, resulting in changing relative observing times that could cause biases in TB estimates and near-real-time sea ice concentrations derived from the NASA Team algorithm that are produced at the National Snow and Ice Data Center. Comparisons of TB histograms and concentrations show that there are small mean differences between sensors, but variability within an individual sensor is much greater. There are some indications of small changes due to orbital drift, but these are not consistent across different frequencies. Further, the overall effect of the drift, while not definitive, is small compared to the intra- and interannual variability in individual sensors. These results suggest that, for near-real-time use, the differences in the sensors are not critical. However, for long-term time series, even the small biases should be corrected for. The strong day-to-day, seasonal, and interannual variability in TB distributions indicate that time-varying algorithm coefficients in the NASA team algorithm would lead to improved, more consistent sea ice concentration estimates.</t>
  </si>
  <si>
    <t>[Meier, Walter N.; Stewart, J. Scott] Univ Colorado, Cooperat Inst Res Environm Sci, Natl Snow &amp; Ice Data Ctr, Boulder, CO 80309 USA</t>
  </si>
  <si>
    <t>University of Colorado System; University of Colorado Boulder</t>
  </si>
  <si>
    <t>Meier, WN (corresponding author), Univ Colorado, Cooperat Inst Res Environm Sci, Natl Snow &amp; Ice Data Ctr, Boulder, CO 80309 USA.</t>
  </si>
  <si>
    <t>walt@nsidc.org; scotts@colorado.edu</t>
  </si>
  <si>
    <t>Meier, Walter/AAI-9583-2021</t>
  </si>
  <si>
    <t>Meier, Walter/0000-0003-2857-0550</t>
  </si>
  <si>
    <t>NASA Earth Science Data Information System (ESDIS) Project through the NASA Snow and Ice Distributed Active Archive Center (DAAC) at NSIDC [80GSFC18C0102]</t>
  </si>
  <si>
    <t>NASA Earth Science Data Information System (ESDIS) Project through the NASA Snow and Ice Distributed Active Archive Center (DAAC) at NSIDC</t>
  </si>
  <si>
    <t>This research was funded by the NASA Earth Science Data Information System (ESDIS) Project through the NASA Snow and Ice Distributed Active Archive Center (DAAC) at NSIDC, grant number 80GSFC18C0102.</t>
  </si>
  <si>
    <t>2072-4292</t>
  </si>
  <si>
    <t>REMOTE SENS-BASEL</t>
  </si>
  <si>
    <t>Remote Sens.</t>
  </si>
  <si>
    <t>10.3390/rs12142197</t>
  </si>
  <si>
    <t>Environmental Sciences; Geosciences, Multidisciplinary; Remote Sensing; Imaging Science &amp; Photographic Technology</t>
  </si>
  <si>
    <t>Environmental Sciences &amp; Ecology; Geology; Remote Sensing; Imaging Science &amp; Photographic Technology</t>
  </si>
  <si>
    <t>MX1ZB</t>
  </si>
  <si>
    <t>WOS:000557524700001</t>
  </si>
  <si>
    <t>Allanson, O; Watt, CEJ; Ratcliffe, H; Allison, HJ; Meredith, NP; Bentley, SN; Ross, JPJ; Glauert, SA</t>
  </si>
  <si>
    <t>Allanson, O.; Watt, C. E. J.; Ratcliffe, H.; Allison, H. J.; Meredith, N. P.; Bentley, S. N.; Ross, J. P. J.; Glauert, S. A.</t>
  </si>
  <si>
    <t>Particle-in-Cell Experiments Examine Electron Diffusion by Whistler-Mode Waves: 2. Quasi-Linear and Nonlinear Dynamics</t>
  </si>
  <si>
    <t>JOURNAL OF GEOPHYSICAL RESEARCH-SPACE PHYSICS</t>
  </si>
  <si>
    <t>nonlinear theory; particle-in-cell; quasi-linear theory; radiation belts; wave-particle interaction; whistler wave</t>
  </si>
  <si>
    <t>COHERENT VLF WAVES; RADIATION BELT; MAGNETIC-FIELD; ANOMALOUS DIFFUSION; ENERGETIC ELECTRONS; PITCH-ANGLE; CHORUS; SIMULATIONS; PACKET</t>
  </si>
  <si>
    <t>Test particle codes indicate that electron dynamics due to interactions with low amplitude incoherent whistler mode-waves can be adequately described by quasi-linear theory. However there is significant evidence indicating that higher amplitude waves cause electron dynamics not adequately described using quasi-linear theory. Using the method that was introduced in Allanson et al. (2019, ), we track the dynamical response of electrons due to interactions with incoherent whistler-mode waves, across all energy and pitch angle space. We conduct five experiments each with different values of the electromagnetic wave amplitude. We find that the electron dynamics agree well with the quasi-linear theory diffusion coefficients for low amplitude incoherent waves with (B-w,B-rms/B-0)(2)approximate to 3.7 center dot 10(-10), over a time scaleTof the order of 1,000 gyroperiods. However, the resonant interactions with higher amplitude waves cause significant nondiffusive dynamics as well as diffusive dynamics. When electron dynamics are extracted and analyzed over time scales shorter thanT, we are able to isolate both the diffusive and nondiffusive (advective) dynamics. Interestingly, when considered over these appropriately shorter time scales (of the order of hundreds or tens of gyroperiods), the diffusive component of the dynamics agrees well with the predictions of quasi-linear theory, even for wave amplitudes up to (B-w,B-rms/B-0)(2)approximate to 5.8 center dot 10(-6). Quasi-linear theory is based on fundamentally diffusive dynamics, but the evidence presented herein also indicates the existence of a distinct advective component. Therefore, the proper description of electron dynamics in response to wave-particle interactions with higher amplitude whistler-mode waves may require Fokker-Planck equations that incorporate diffusive and advective terms.</t>
  </si>
  <si>
    <t>[Allanson, O.; Watt, C. E. J.; Bentley, S. N.] Univ Reading, Dept Meteorol, Reading, Berks, England; [Ratcliffe, H.] Univ Warwick, Dept Phys, Ctr Fus Space &amp; Astrophys, Coventry, W Midlands, England; [Allison, H. J.] GEZ German Res Ctr Geosci, Helmholtz Ctr Potsdam, Potsdam, Germany; [Meredith, N. P.; Ross, J. P. J.; Glauert, S. A.] British Antarctic Survey, Nat Environm Res Council, Cambridge, England</t>
  </si>
  <si>
    <t>University of Reading; University of Warwick; Helmholtz Association; Helmholtz-Center Potsdam GFZ German Research Center for Geosciences; UK Research &amp; Innovation (UKRI); Natural Environment Research Council (NERC); NERC British Antarctic Survey</t>
  </si>
  <si>
    <t>Allanson, O (corresponding author), Univ Reading, Dept Meteorol, Reading, Berks, England.</t>
  </si>
  <si>
    <t>o.allanson@reading.ac.uk</t>
  </si>
  <si>
    <t>Allanson, Oliver/GLT-2725-2022; Ross, Johnathan/AAX-3204-2020; Allanson, Oliver/AAM-8744-2020; Watt, Clare/C-5218-2008</t>
  </si>
  <si>
    <t>Ross, Johnathan/0000-0001-5282-3293; Allanson, Oliver/0000-0003-2353-8586; Allison, Hayley/0000-0002-6665-2023; Bentley, Sarah N/0000-0002-0095-1979; Watt, Clare/0000-0003-3193-8993; Meredith, Nigel/0000-0001-5032-3463</t>
  </si>
  <si>
    <t>Natural Environment Research Council (NERC) Highlight Topic Grants [NE/P017274/1, NE/P01738X/1, NE/L002566/1]; STFC [ST/R505031/1, ST/R000921/1, ST/R00689X/1]; UK EPSRC [EP/G054950/1, EP/G056803/1, EP/G055165/1, EP/M022463/1]; BEIS capital funding via STFC capital grants [ST/P002307/1, ST/R002452/1]; NERC [NE/P017274/1, NE/P017274/2, NE/V002759/1, bas0100031] Funding Source: UKRI; STFC [ST/R001014/1, ST/P003400/1, ST/V002384/1, ST/M006530/1, ST/P002447/1, ST/P000673/1, ST/J005673/1, ST/R001049/1, ST/M007618/1, ST/T00049X/1, ST/W002078/1, ST/R000921/1, ST/V002635/1, ST/R000832/1, ST/K00333X/1, ST/T001348/1, ST/R00689X/1, ST/T001372/1, ST/M007065/1, ST/M007006/1, ST/S003762/1, ST/R001006/1, ST/S003916/1, ST/M007073/1, ST/M006948/1, ST/V002376/1, ST/T001569/1, ST/L000636/1, ST/T001550/1, ST/S003800/1] Funding Source: UKRI</t>
  </si>
  <si>
    <t>Natural Environment Research Council (NERC) Highlight Topic Grants(UK Research &amp; Innovation (UKRI)Natural Environment Research Council (NERC)); STFC(UK Research &amp; Innovation (UKRI)Science &amp; Technology Facilities Council (STFC)); UK EPSRC(UK Research &amp; Innovation (UKRI)Engineering &amp; Physical Sciences Research Council (EPSRC)); BEIS capital funding via STFC capital grants(UK Research &amp; Innovation (UKRI)Science &amp; Technology Facilities Council (STFC)); NERC(UK Research &amp; Innovation (UKRI)Natural Environment Research Council (NERC)); STFC(UK Research &amp; Innovation (UKRI)Science &amp; Technology Facilities Council (STFC))</t>
  </si>
  <si>
    <t>The authors would like to thank the anonymous reviewers, whose comments have improved the manuscript. This research was supported by the Natural Environment Research Council (NERC) Highlight Topic Grants #NE/P017274/1 (Rad-Sat) and #NE/P01738X/1 (Rad-Sat), and also #NE/L002566/1. The research was also supported by STFC grants #ST/R505031/1 and #ST/R000921/1. This work was in part funded by the UK EPSRC grants EP/G054950/1, EP/G056803/1, EP/G055165/1 and EP/M022463/1. This work was in part performed using the Cambridge Service for Data Driven Discovery (CSD3), part of which is operated by the University of Cambridge Research Computing on behalf of the STFC DiRAC HPC Facility (www.dirac.ac.uk).The DiRAC component of CSD3 was funded by BEIS capital funding via STFC capital grants ST/P002307/1 and ST/R002452/1 and STFC operations grant ST/R00689X/1. DiRAC is part of the National e-Infrastructure. This work was in part performed using the Reading Academic Computing Cluster (RACC) at the University of Reading. This work used the ARCHER UK National Supercomputing Service (http://www.archer.ac.uk).</t>
  </si>
  <si>
    <t>2169-9380</t>
  </si>
  <si>
    <t>2169-9402</t>
  </si>
  <si>
    <t>J GEOPHYS RES-SPACE</t>
  </si>
  <si>
    <t>J. Geophys. Res-Space Phys.</t>
  </si>
  <si>
    <t>e2020JA027949</t>
  </si>
  <si>
    <t>10.1029/2020JA027949</t>
  </si>
  <si>
    <t>MW2NM</t>
  </si>
  <si>
    <t>WOS:000556880400037</t>
  </si>
  <si>
    <t>Blagoveshchenskaya, NF; Borisova, TD; Kalishin, AS; Yeoman, TK; Haggstrom, I</t>
  </si>
  <si>
    <t>Blagoveshchenskaya, N. F.; Borisova, T. D.; Kalishin, A. S.; Yeoman, T. K.; Haggstrom, I</t>
  </si>
  <si>
    <t>Distinctive Features of Langmuir and Ion-Acoustic Turbulences Induced by O- and X-Mode HF Pumping at EISCAT</t>
  </si>
  <si>
    <t>active experiments; powerful HF radio waves; plasma turbulence; EISCAT</t>
  </si>
  <si>
    <t>ENHANCED PLASMA LINES; IONOSPHERIC F-REGION; HEATING EXPERIMENTS; RADIO-WAVES; INSTABILITIES; FREQUENCIES; CUTLASS</t>
  </si>
  <si>
    <t>We report experimental results regarding the distinctive features and behaviors of high-frequency (HF)-induced Langmuir and ion-acoustic turbulences induced by ordinary (O-mode) and extraordinary (X-mode) polarized powerful HF radio waves injected into the high-latitude ionosphereFregion toward the magnetic zenith at EISCAT (European Incoherent SCATter). Alternating O-/X-mode pumping was produced at high heater frequencies in the rangef(H) = 6-8 MHz during magnetically quiet background geophysical conditions. An effective radiated power of 450-600 MW was utilized. The radical distinction between the temporal evolution of the O- and X-mode Langmuir and ion-acoustic plasma waves after the HF heater is switched on in conjunction with the development of artificial field-aligned irregularities (FAIs) was analyzed. It was found that the excitation thresholds of the Langmuir and ion-acoustic turbulences significantly differed for the O- and X-mode HF pumping. We have revealed that the X-mode excitation thresholds for HF-induced plasma and ion line backscatter are 0.47 and 0.61 V/m, respectively. The persistent O-mode plasma and ion line backscatters that coexisted with FAIs showed excitation thresholds of 0.62 and 0.73 V/m, respectively, which exceeded the thresholds for the X-mode plasma and ion lines, while their intensity was 2 orders of magnitude less. For the same background conditions, the classic resonance parametric decay instability and modulation instability, excited as the momentary response to the O-mode HF pump wave switching on (the so-called overshoot), have thresholds of 0.17 and 0.25 V/m, respectively, which are much below the excitation thresholds of persistent O-mode plasma and ion lines.</t>
  </si>
  <si>
    <t>[Blagoveshchenskaya, N. F.; Borisova, T. D.; Kalishin, A. S.] Arctic &amp; Antarctic Res Inst, St Petersburg, Russia; [Yeoman, T. K.] Univ Leicester, Sch Phys &amp; Astron, Leicester, Leics, England; [Haggstrom, I] EISCAT Sci Assoc, Kiruna, Sweden</t>
  </si>
  <si>
    <t>Arctic &amp; Antarctic Research Institute; University of Leicester</t>
  </si>
  <si>
    <t>Blagoveshchenskaya, NF (corresponding author), Arctic &amp; Antarctic Res Inst, St Petersburg, Russia.</t>
  </si>
  <si>
    <t>nataly@aari.nw.ru</t>
  </si>
  <si>
    <t>Blagoveshchenskaya, Nataly/AAE-4093-2022; Blagoveshchenskaya, Nataly F./S-4342-2017; Yeoman, Timothy k/L-9105-2014</t>
  </si>
  <si>
    <t>Blagoveshchenskaya, Nataly/0000-0003-1752-3273; Blagoveshchenskaya, Nataly F./0000-0003-1752-3273; Yeoman, Timothy k/0000-0002-8434-4825; Haggstrom, Ingemar/0000-0003-1070-6915; Kalishin, Alexey/0000-0001-7299-6546</t>
  </si>
  <si>
    <t>Arctic and Antarctic Research Institute; Science and Technology Facilities Council [ST/H002480/1]; China (CRIRP); Finland (SA); Japan (NIPR); Japan (STEL); Norway (NFR); Sweden (VR); United Kingdom (NERC); STFC [ST/H002480/1] Funding Source: UKRI</t>
  </si>
  <si>
    <t>Arctic and Antarctic Research Institute; Science and Technology Facilities Council(UK Research &amp; Innovation (UKRI)Science &amp; Technology Facilities Council (STFC)); China (CRIRP); Finland (SA); Japan (NIPR); Japan (STEL); Norway (NFR)(Research Council of Norway); Sweden (VR)(Swedish Research Council); United Kingdom (NERC)(UK Research &amp; Innovation (UKRI)Natural Environment Research Council (NERC)); STFC(UK Research &amp; Innovation (UKRI)Science &amp; Technology Facilities Council (STFC))</t>
  </si>
  <si>
    <t>EISCAT is an international scientific association supported by research organizations in China (CRIRP), Finland (SA), Japan (NIPR and STEL), Norway (NFR), Sweden (VR), and the United Kingdom (NERC). The authors acknowledge the use of SuperDARN data. SuperDARN is a collection of radars funded by the national scientific funding agencies of Australia, Canada, China, France, Italy, Japan, Norway, South Africa, the United Kingdom, and the United States. The authors are thankful to Dr. M. Rietveld for the calculations of effective radiated powers under O-and X-mode HF pumping. N. B., T. B. and A. K. are supported by the Arctic and Antarctic Research Institute. T. K. Y. is supported by the Science and Technology Facilities Council Grant ST/H002480/1.</t>
  </si>
  <si>
    <t>e2020JA028203</t>
  </si>
  <si>
    <t>10.1029/2020JA028203</t>
  </si>
  <si>
    <t>WOS:000556880400041</t>
  </si>
  <si>
    <t>Newnham, DA; Rodger, CJ; Marsh, DR; Hervig, ME; Clilverd, MA</t>
  </si>
  <si>
    <t>Newnham, D. A.; Rodger, C. J.; Marsh, D. R.; Hervig, M. E.; Clilverd, M. A.</t>
  </si>
  <si>
    <t>Spatial Distributions of Nitric Oxide in the Antarctic Wintertime Middle Atmosphere During Geomagnetic Storms</t>
  </si>
  <si>
    <t>nitric oxide; geomagnetic storm; mesosphere; lower thermosphere; energetic electrons; Dregion</t>
  </si>
  <si>
    <t>ENERGETIC ELECTRON-PRECIPITATION; COMMUNITY CLIMATE MODEL; LOWER THERMOSPHERE; SOLAR OCCULTATION; UPPER MESOSPHERE; EMPIRICAL-MODEL; CHEMISTRY; OZONE; WIND; TEMPERATURE</t>
  </si>
  <si>
    <t>Energetic electron precipitation leads to increased nitric oxide (NO) production in the mesosphere and lower thermosphere. NO distributions in the wintertime, high-latitude Southern Hemisphere atmosphere during geomagnetic storms are investigated. NO partial columns in the upper mesosphere at altitudes 70-90 km and in the lower thermosphere at 90-110 km have been derived from observations made by the Solar Occultation For Ice Experiment (SOFIE) on board the Aeronomy of Ice in the Mesosphere (AIM) satellite. The SOFIE NO measurements during 17 geomagnetic storms in 2008-2014 have been binned into selected geomagnetic latitude and geographic latitude/longitude ranges. The regions above Antarctica showing the largest instantaneous NO increases coincide with high fluxes of 30-300 keV precipitating electrons from measurements by the second-generation Space Environment Monitor (SEM-2) Medium Energy Proton and Electron Detector (MEPED) instrument on the Polar-orbiting Operational Environmental Satellites (POES). Significant NO increases over the Antarctic Peninsula are likely due to precipitation of &gt;30 keV electrons from the radiation belt slot region. NO transport is estimated using Horizontal Wind Model (HWM14) calculations. In the upper mesosphere strong eastward winds (daily mean zonal wind speed similar to 20-30 m s(-1) at 80 km) during winter transport NO-enriched air away from source regions 1-3 days following the storms. Mesospheric winds also introduce NO-poor air into the source regions, quenching initial NO increases. Higher up, in the lower thermosphere, weaker eastward winds (similar to 5-10 m s(-1) at 100 km) are less effective at redistributing NO zonally.</t>
  </si>
  <si>
    <t>[Newnham, D. A.; Clilverd, M. A.] British Antarctic Survey, Cambridge, England; [Rodger, C. J.] Univ Otago, Dept Phys, Dunedin, New Zealand; [Marsh, D. R.] Natl Ctr Atmospher Res, Atmospher Chem Div, POB 3000, Boulder, CO 80307 USA; [Marsh, D. R.] Univ Leeds, Priestley Int Ctr Climate, Leeds, W Yorkshire, England; [Hervig, M. E.] GATS, Driggs, ID USA</t>
  </si>
  <si>
    <t>UK Research &amp; Innovation (UKRI); Natural Environment Research Council (NERC); NERC British Antarctic Survey; University of Otago; National Center Atmospheric Research (NCAR) - USA; University of Leeds</t>
  </si>
  <si>
    <t>Newnham, DA (corresponding author), British Antarctic Survey, Cambridge, England.</t>
  </si>
  <si>
    <t>dawn@bas.ac.uk</t>
  </si>
  <si>
    <t>Rodger, Craig/A-1501-2011; Marsh, Daniel/A-8406-2008</t>
  </si>
  <si>
    <t>Marsh, Daniel/0000-0001-6699-494X; Newnham, David/0000-0001-8422-1289; Rodger, Craig J./0000-0002-6770-2707</t>
  </si>
  <si>
    <t>UK Research and Innovation Natural Environment Research Council [NE/J022187/1, NE/R016038/1]; New Zealand Marsden Fund; NASA Living With a Star Grant [NNX14AH54G]; U.S. National Science Foundation (NSF); NERC [bas0100031, NE/J022187/1] Funding Source: UKRI; NASA [NNX14AH54G, 683491] Funding Source: Federal RePORTER</t>
  </si>
  <si>
    <t>UK Research and Innovation Natural Environment Research Council(UK Research &amp; Innovation (UKRI)Natural Environment Research Council (NERC)); New Zealand Marsden Fund(Royal Society of New ZealandMarsden Fund (NZ)); NASA Living With a Star Grant; U.S. National Science Foundation (NSF)(National Science Foundation (NSF)); NERC(UK Research &amp; Innovation (UKRI)Natural Environment Research Council (NERC)); NASA(National Aeronautics &amp; Space Administration (NASA))</t>
  </si>
  <si>
    <t>This work was supported in part by the UK Research and Innovation Natural Environment Research Council (Grant References NE/J022187/1 and NE/R016038/1) and the New Zealand Marsden Fund. D. R. M. was supported in part by NASA Living With a Star Grant NNX14AH54G. The National Center for Atmospheric Research (NCAR) is sponsored by the U.S. National Science Foundation (NSF). Aaron Hendry is thanked for providing computer code (GEO2CGM) for converting spherical geographic coordinates to spherical corrected geomagnetic coordinates. NOAA's National Geophysical Data Center is acknowledged for providing the NOAA POES data (available from https://www.ngdc.noaa.gov/stp/satellite/poes/index.html).</t>
  </si>
  <si>
    <t>e2020JA027846</t>
  </si>
  <si>
    <t>10.1029/2020JA027846</t>
  </si>
  <si>
    <t>Green Accepted, Green Published</t>
  </si>
  <si>
    <t>WOS:000556880400023</t>
  </si>
  <si>
    <t>Sotomayor-Garcia, A; Sala, MM; Ferrera, I; Estrada, M; Vázquez-Domínguez, E; Emelianov, M; Cortés, P; Marrasé, C; Ortega-Retuerta, E; Nunes, S; Castillo, YM; Cuerva, MS; Sebastián, M; Dall'Osto, M; Simó, R; Vaqué, D</t>
  </si>
  <si>
    <t>Sotomayor-Garcia, Ana; Montserrat Sala, Maria; Ferrera, Isabel; Estrada, Marta; Vazquez-Dominguez, Evaristo; Emelianov, Mikhail; Cortes, Pau; Marrase, Celia; Ortega-Retuerta, Eva; Nunes, Sdena; Castillo, Yaiza M.; Serrano Cuerva, Maria; Sebastian, Marta; Dall'Osto, Manuel; Simo, Rafel; Vaque, Dolors</t>
  </si>
  <si>
    <t>Assessing Viral Abundance and Community Composition in Four Contrasting Regions of the Southern Ocean</t>
  </si>
  <si>
    <t>LIFE-BASEL</t>
  </si>
  <si>
    <t>viral abundance; viral community composition; prokaryotes; phytoplankton; environmental variables; secondary metabolic compounds; Southern Ocean; Antarctic Ocean; Antarctic Peninsula</t>
  </si>
  <si>
    <t>MARINE-PHYTOPLANKTON; DIMETHYLSULFIDE DMS; ATMOSPHERIC SULFUR; DISSOLVED DMSP; ROSS SEA; VIRUSES; ISOPRENE; IRON; BACTERIAL; RELEASE</t>
  </si>
  <si>
    <t>We explored how changes of viral abundance and community composition among four contrasting regions in the Southern Ocean relied on physicochemical and microbiological traits. During January-February 2015, we visited areas north and south of the South Orkney Islands (NSO and SSO) characterized by low temperature and salinity and high inorganic nutrient concentration, north of South Georgia Island (NSG) and west of Anvers Island (WA), which have relatively higher temperatures and lower inorganic nutrient concentrations. Surface viral abundance (VA) was highest in NSG (21.50 +/- 10.70 x 10(6)viruses mL(-1)) and lowest in SSO (2.96 +/- 1.48 x 10(6)viruses mL(-1)). VA was positively correlated with temperature, prokaryote abundance and prokaryotic heterotrophic production, chlorophyll a, diatoms, haptophytes, fluorescent organic matter, and isoprene concentration, and was negatively correlated with inorganic nutrients (NO3-, SiO42-, PO43-), and dimethyl sulfide (DMS) concentrations. Viral communities determined by randomly amplified polymorphic DNA-polymerase chain reaction (RAPD-PCR) were grouped according to the sampling location, being more similar within them than among regions. The first two axes of a canonical correspondence analysis, including physicochemical (temperature, salinity, inorganic nutrients-NO3-, SiO42-, and dimethyl sulfoniopropionate -DMSP- and isoprene concentrations) and microbiological (chlorophyll a, haptophytes and diatom, and prokaryote abundance and prokaryotic heterotrophic production) factors accounted for 62.9% of the variance. The first axis, temperature-related, accounted for 33.8%; the second one, salinity-related, accounted for 29.1%. Thus, different environmental situations likely select different hosts for viruses, leading to distinct viral communities.</t>
  </si>
  <si>
    <t>[Sotomayor-Garcia, Ana; Montserrat Sala, Maria; Estrada, Marta; Emelianov, Mikhail; Cortes, Pau; Marrase, Celia; Castillo, Yaiza M.; Serrano Cuerva, Maria; Sebastian, Marta; Dall'Osto, Manuel; Simo, Rafel; Vaque, Dolors] CSIC, Inst Ciencies Mar, Passeig Maritim Barceloneta 37-49, Barcelona 08003, Catalonia, Spain; [Ferrera, Isabel] Ctr Oceanog Malaga, Inst Espanol Oceanog IEO, Fuengirola 29640, Spain; [Vazquez-Dominguez, Evaristo] C Condi de la Canada S-N, Acebo 10857, Caceres, Spain; [Ortega-Retuerta, Eva] CNRS, UMR7621, Lab Oceanog Microbienne, F-66650 Banyuls Sur Mer, France; [Nunes, Sdena] King Abdullah Univ Sci &amp; Technol KAUST, Red Sea Res Ctr RSRC, Thuwal 23955, Saudi Arabia; [Sebastian, Marta] Univ Las Palmas de Gran Canaria ULPGC, Inst Oceanog &amp; Global Change IOCAG, Telde 35214, Spain</t>
  </si>
  <si>
    <t>Consejo Superior de Investigaciones Cientificas (CSIC); CSIC - Centro Mediterraneo de Investigaciones Marinas y Ambientales (CMIMA); CSIC - Instituto de Ciencias del Mar (ICM); Spanish Institute of Oceanography; Sorbonne Universite; Centre National de la Recherche Scientifique (CNRS); CNRS - National Institute for Earth Sciences &amp; Astronomy (INSU); King Abdullah University of Science &amp; Technology; Universidad de Las Palmas de Gran Canaria</t>
  </si>
  <si>
    <t>Sotomayor-Garcia, A; Vaqué, D (corresponding author), CSIC, Inst Ciencies Mar, Passeig Maritim Barceloneta 37-49, Barcelona 08003, Catalonia, Spain.</t>
  </si>
  <si>
    <t>asotomag@gmail.com; msala@icm.csic.es; isabel.ferrera@ieo.es; marta@icm.csic.es; ristovazquez@gmail.com; Mikhail@icm.csic.es; paucortes@icm.csic.es; celia@icm.csic.es; ortegaretuerta@obs-banyuls.fr; sdena923@hotmail.com; yaiza@icm.csic.es; mserracu@gmail.com; msebastian@icm.csic.es; dallosto@icm.csic.es; rsimo@icm.csic.es; dolors@icm.csic.es</t>
  </si>
  <si>
    <t>Estrada, Marta/L-6207-2014; SALA, Maria Montserrat/O-4726-2014; , Maria Montserrat/AAW-7487-2021; Sebastian, Marta/ABE-2946-2021; Sebastian, Marta/J-9856-2014; Emelianov, Mikhail/M-1400-2014; Ortega-Retuerta, Eva/I-2432-2015; Marrase, Celia/I-1166-2015; Vaque, Dolors/H-6973-2018; dallosto, manuel/G-3584-2016</t>
  </si>
  <si>
    <t>Estrada, Marta/0000-0001-5769-9498; SALA, Maria Montserrat/0000-0002-3804-5680; Sebastian, Marta/0000-0001-7175-8941; Emelianov, Mikhail/0000-0002-1459-2911; Simo, Rafel/0000-0003-3276-7663; Ortega-Retuerta, Eva/0000-0003-0780-8347; Marrase, Celia/0000-0002-5097-4829; Vaque, Dolors/0000-0002-0420-5914; Castillo, Yaiza M./0000-0002-1319-2975; Sotomayor, Ana/0000-0003-1994-9067; Vazquez-Dominguez, Evaristo/0000-0001-5669-8127; dallosto, manuel/0000-0003-4203-894X</t>
  </si>
  <si>
    <t>Spanish Ministry of Economy [CTM2012-37615, CGL2013-49020-R]</t>
  </si>
  <si>
    <t>Spanish Ministry of Economy(Spanish Government)</t>
  </si>
  <si>
    <t>The study was supported by the Spanish Ministry of Economy through projects PEGASO (CTM2012-37615) to R. Simo, and BIO-NUC (CGL2013-49020-R) to M. Dall'Osto.</t>
  </si>
  <si>
    <t>2075-1729</t>
  </si>
  <si>
    <t>Life-Basel</t>
  </si>
  <si>
    <t>10.3390/life10070107</t>
  </si>
  <si>
    <t>Biology; Microbiology</t>
  </si>
  <si>
    <t>Life Sciences &amp; Biomedicine - Other Topics; Microbiology</t>
  </si>
  <si>
    <t>MW6QM</t>
  </si>
  <si>
    <t>WOS:000557158700001</t>
  </si>
  <si>
    <t>Mdutyana, M; Thomalla, SJ; Philibert, R; Ward, BB; Fawcett, SE</t>
  </si>
  <si>
    <t>Mdutyana, Mhlangabezi; Thomalla, Sandy J.; Philibert, Raissa; Ward, Bess B.; Fawcett, Sarah E.</t>
  </si>
  <si>
    <t>The Seasonal Cycle of Nitrogen Uptake and Nitrification in the Atlantic Sector of the Southern Ocean</t>
  </si>
  <si>
    <t>GLOBAL BIOGEOCHEMICAL CYCLES</t>
  </si>
  <si>
    <t>POLAR FRONTAL ZONE; FRACTIONATED PRIMARY PRODUCTION; MARINE NITRIFYING BACTERIA; SUB-ANTARCTIC ZONE; NITRATE UPTAKE; HETEROTROPHIC BACTERIA; PHYTOPLANKTON BLOOMS; COMMUNITY STRUCTURE; AMMONIA OXIDATION; AUSTRAL SUMMER</t>
  </si>
  <si>
    <t>Net primary production (NPP) fueled by nitrate is often equated with carbon export, providing a metric for CO(2)removal to the deep ocean. This new production paradigm assumes that nitrification, the oxidation of regenerated ammonium to nitrate, is negligible in the sunlit upper ocean. While surface layer nitrification has been measured in other oceanic regions, very few data exist for the Southern Ocean. We measured NPP, nitrogen (N) uptake, and nitrification in the upper 200 m across the Atlantic Southern Ocean in winter and summer. Rates of winter mixed-layer nitrate uptake were low, while ammonium uptake was surprisingly high. NPP was also low, such that NPP and total N (nitrate+ammonium) uptake were decoupled; we attribute this to ammonium consumption by heterotrophic bacteria. By contrast, NPP and total N uptake were strongly coupled in summer except at two stations where an additional regenerated N source, likely dissolved organic N, apparently supported 30-45% of NPP. Summertime nitrate uptake rates were fairly high and nitrate fueled &gt;50% of NPP, indicating the potential for significant carbon export. Nitrification supplied &lt;10% of the nitrate consumed in summertime surface waters, while in winter, mixed-layer nitrification was on average 16 times higher than nitrate uptake. Despite the near-zero nitrification rates measured in the summer mixed layer, the classically definedfratio does not well-represent Southern Ocean carbon export potential annually. This is because some fraction of the nitrate regenerated in the winter mixed layer is likely supplied to phytoplankton in summer; its consumption cannot, therefore, be equated with export.</t>
  </si>
  <si>
    <t>[Mdutyana, Mhlangabezi; Fawcett, Sarah E.] Univ Cape Town, Dept Oceanog, Cape Town, South Africa; [Mdutyana, Mhlangabezi; Thomalla, Sandy J.] CSIR, Southern Ocean Carbon &amp; Climate Observ SOCCO, Cape Town, South Africa; [Thomalla, Sandy J.] Univ Cape Town, Marine Res Inst Ma Re, Cape Town, South Africa; [Philibert, Raissa] Hatfield Consultants, Vancouver, BC, Canada; [Ward, Bess B.] Princeton Univ, Dept Geosci, Princeton, NJ 08544 USA</t>
  </si>
  <si>
    <t>University of Cape Town; Council for Scientific &amp; Industrial Research (CSIR) - South Africa; University of Cape Town; Princeton University</t>
  </si>
  <si>
    <t>Mdutyana, M (corresponding author), Univ Cape Town, Dept Oceanog, Cape Town, South Africa.;Mdutyana, M (corresponding author), CSIR, Southern Ocean Carbon &amp; Climate Observ SOCCO, Cape Town, South Africa.</t>
  </si>
  <si>
    <t>mdtmhl001@myuct.ac.za</t>
  </si>
  <si>
    <t>Thomalla, Sandy/AAS-4133-2021</t>
  </si>
  <si>
    <t>Thomalla, Sandy/0000-0002-6802-520X; Ward, Bess/0000-0001-7870-2684</t>
  </si>
  <si>
    <t>South African National Research Foundation [112380, 105177]; South African National Antarctic Programme [105539, 110735, 93076]; SANCOR-NRF postdoctoral fellowship [94915]; Department of Science and Innovation Biogeochemistry Research Infrastructure Platform (BIOGRIP); UCT through a Harry Crossley Foundation Research Fellowship; University Research Council Launching Grant; College of Fellows Emerging Researcher Award; CSIR's Parliamentary Grant</t>
  </si>
  <si>
    <t>South African National Research Foundation(National Research Foundation - South Africa); South African National Antarctic Programme; SANCOR-NRF postdoctoral fellowship; Department of Science and Innovation Biogeochemistry Research Infrastructure Platform (BIOGRIP); UCT through a Harry Crossley Foundation Research Fellowship; University Research Council Launching Grant; College of Fellows Emerging Researcher Award; CSIR's Parliamentary Grant</t>
  </si>
  <si>
    <t>We thank the Captain and crew of the R/V S.A. Agulhas II for their professional support throughout the cruises, as well as the Marine Biogeochemistry Lab team at the University of Cape Town (UCT) for their assistance (R. Flynn, H. Little, R. Parrott, L. Stirnimann, and S. Smith), R. Roman for the onboard analysis of nutrients during the winter cruise, C. Karriem for extensive administrative support, and I. Newton from the Stable Light Isotope Laboratory at UCT for PM analyses. The nitrification measurements were made possible through the Princeton University Visiting Student Research Collaborator program; we are grateful to X. Sun, J. Qixing, and S. Oleynik in the Department of Geosciences for expert assistance during the first author's visits. This work was supported by the South African National Research Foundation through an Innovation Doctoral Scholarship to M. M. (112380), an Equipment-related Travel and Training Grant to S. E. F. (105177), South African National Antarctic Programme Grants to S. E. F. (105539 and 110735) and S.J.T. (93076), and a SANCOR-NRF postdoctoral fellowship to R. P. (94915); the Department of Science and Innovation Biogeochemistry Research Infrastructure Platform (BIOGRIP); UCT through a Harry Crossley Foundation Research Fellowship to M. M., a Postgraduate Travel Grant to M. M., a University Research Council Launching Grant to S. E. F. and a College of Fellows Emerging Researcher Award to S. E. F.; and by the CSIR's Parliamentary Grant.</t>
  </si>
  <si>
    <t>0886-6236</t>
  </si>
  <si>
    <t>1944-9224</t>
  </si>
  <si>
    <t>GLOBAL BIOGEOCHEM CY</t>
  </si>
  <si>
    <t>Glob. Biogeochem. Cycle</t>
  </si>
  <si>
    <t>e2019GB006363</t>
  </si>
  <si>
    <t>10.1029/2019GB006363</t>
  </si>
  <si>
    <t>MV8JH</t>
  </si>
  <si>
    <t>WOS:000556596500003</t>
  </si>
  <si>
    <t>Behrens, E; Williams, J; Morgenstern, O; Sutton, P; Rickard, G; Williams, MJM</t>
  </si>
  <si>
    <t>Behrens, Erik; Williams, Jonny; Morgenstern, Olaf; Sutton, Phil; Rickard, Graham; Williams, Michael J. M.</t>
  </si>
  <si>
    <t>Local Grid Refinement in New Zealand's Earth System Model: Tasman Sea Ocean Circulation Improvements and Super-Gyre Circulation Implications</t>
  </si>
  <si>
    <t>Earth system model; AGRIF; Tasman Sea; refined ocean grid; model bias; super-gyre</t>
  </si>
  <si>
    <t>EAST AUSTRALIAN CURRENT; CLIMATE-CHANGE; SURFACE TEMPERATURE; VARIABILITY; TRENDS; SOUTH; TRANSPORT; SECTION; LEAKAGE; VERSION</t>
  </si>
  <si>
    <t>This paper describes the development of New Zealand's Earth System Model (NZESM) and evaluates its performance against its parent model (United Kingdom Earth System Model, UKESM) and observations. The main difference between the two earth system models is an embedded high-resolution (1/5 degrees) nested region over the oceans around New Zealand in the NZESM. Due to this finer ocean model mesh, currents such as the East Australian Current, East Australian Current Extension, Tasman Front, and Tasman Leakage, and their volume and heat transports are better simulated in the NZESM. The improved oceanic transports have led to a reduction in upper ocean temperature and salinity biases over the nested region. In addition, net transports through the Tasman Sea of volume, heat and salt in the NZESM agree better with previously reported estimates. A consequence of the increased cross-Tasman Sea transports in the NZESM is increased temperatures and salinity west of Australia and in the Southern Ocean reducing the meridional sea surface temperature gradient between the subtropics and sub-Antarctic. This also leads to a weakening of the westerly winds between 60 degrees S and 45 degrees S over large parts of the Southern Ocean, which reduces the northward Ekman transport, reduces the formation of Antarctic Intermediate Water, and allows for a southward expansion of the Super-Gyre in all ocean basins. Connecting an improved oceanic circulation around New Zealand to a basin-wide Super-Gyre response is an important step forward in our current understanding of how local scales can influence global scales in a fully coupled earth system model.</t>
  </si>
  <si>
    <t>[Behrens, Erik; Williams, Jonny; Morgenstern, Olaf; Sutton, Phil; Rickard, Graham; Williams, Michael J. M.] Natl Inst Water &amp; Atmospher Res NIWA, Wellington, New Zealand; [Sutton, Phil] Univ Auckland, Sch Environm, Auckland, New Zealand</t>
  </si>
  <si>
    <t>National Institute of Water &amp; Atmospheric Research (NIWA) - New Zealand; University of Auckland</t>
  </si>
  <si>
    <t>Behrens, E (corresponding author), Natl Inst Water &amp; Atmospher Res NIWA, Wellington, New Zealand.</t>
  </si>
  <si>
    <t>erik.behrens@niwa.co.nz</t>
  </si>
  <si>
    <t>Behrens, Erik/B-9631-2013</t>
  </si>
  <si>
    <t>Williams, Jonny/0000-0002-0680-0098; Morgenstern, Olaf/0000-0002-9967-9740; rickard, graham/0000-0002-0169-4361</t>
  </si>
  <si>
    <t>Ministry of Business Innovation and Employment Deep South National Science Challenge projects [C01X1412]; Royal Society Marsden Fund [NIW1701]; New Zealand Ministry of Business, Innovation &amp; Employment (MBIE) [C01X1412] Funding Source: New Zealand Ministry of Business, Innovation &amp; Employment (MBIE)</t>
  </si>
  <si>
    <t>Ministry of Business Innovation and Employment Deep South National Science Challenge projects(New Zealand Ministry of Business, Innovation and Employment (MBIE)); Royal Society Marsden Fund(Royal Society of New ZealandMarsden Fund (NZ)); New Zealand Ministry of Business, Innovation &amp; Employment (MBIE)(New Zealand Ministry of Business, Innovation and Employment (MBIE))</t>
  </si>
  <si>
    <t>This paper obtained funding and support through the Ministry of Business Innovation and Employment Deep South National Science Challenge projects (C01X1412) and Royal Society Marsden Fund (NIW1701). We would like to acknowledge the NeSI High Performance Computing Facility team for their technical support. In addition, we would like to acknowledge the technical guidance of Jerome Chanut (IPSL, France), Pat Hyder (MetOffice, UK), Jan Harla beta (GEOMAR, Germany), Torge Martin (GEOMAR, Germany), and the support of Frances Boyson and my son with this project. Furthermore, we acknowledge the time, effort, and constructive comments of all three reviewers to help us improve our manuscript.</t>
  </si>
  <si>
    <t>e2019MS001996</t>
  </si>
  <si>
    <t>10.1029/2019MS001996</t>
  </si>
  <si>
    <t>MW0NN</t>
  </si>
  <si>
    <t>WOS:000556744300014</t>
  </si>
  <si>
    <t>Moreno-Chamarro, E; Ferreira, D; Marshall, J</t>
  </si>
  <si>
    <t>Moreno-Chamarro, E.; Ferreira, D.; Marshall, J.</t>
  </si>
  <si>
    <t>Polar Phasing and Cross-Equatorial Heat Transfer Following a Simulated Abrupt NH Warming of a Glacial Climate</t>
  </si>
  <si>
    <t>PALEOCEANOGRAPHY AND PALEOCLIMATOLOGY</t>
  </si>
  <si>
    <t>Dansgaard-Oeschger; polar temperature phasing; abrupt warming; MITgcm; cross-equatorial heat transport; AMOC</t>
  </si>
  <si>
    <t>OCEAN CIRCULATION; MODEL; VARIABILITY; TRANSITIONS; TRANSPORT; MONSOON</t>
  </si>
  <si>
    <t>A 150- to 220-year lag between abrupt Greenland warming and maximum Antarctic warming characterizes past glacial Dansgaard-Oeschger events. In a modeling study, we investigate how the cross-equatorial oceanic heat transport (COHT) might drive this phasing during an abrupt Northern Hemisphere (NH) warming. We use the MITgcm in an idealized continental configuration with two ocean basins, one wider, one narrower, under glacial-like conditions with sea ice reaching midlatitudes. An exaggerated eccentricity-related solar radiation anomaly is imposed over 100 years to trigger an abrupt NH warming and sea-ice melting. The Hadley circulation shifts northward in response, weakening the NH trade winds, subtropical cells, and COHT in both ocean basins. This induces heat convergence in the Southern Hemisphere (SH) ocean subsurface, from where upward heat release melts sea ice and warms SH high latitudes. Although the small-basin meridional overturning circulation also weakens, driven by NH ice melting, it contributes at most one-third to the total COHT anomaly, hence playing a subsidiary role in the SH and NH initial warming. Switching off the forcing cools the NH; yet heat release continues from the SH ocean subsurface via isopycnal advection-diffusion and vertical mixing, driving further sea ice melting and high latitude warming for similar to 50-70 more years. A phasing in polar temperatures resembling reconstructions thus emerges, linked to changes in the subtropical cells' COHT, and SH ocean heat storage and surface fluxes. Our results highlight the potential role of the atmosphere circulation and wind-driven global ocean circulation in the NH-SH phasing seen in DO events.</t>
  </si>
  <si>
    <t>[Moreno-Chamarro, E.; Marshall, J.] MIT, Dept Earth Atmospher &amp; Planetary Sci, Cambridge, MA 02139 USA; [Moreno-Chamarro, E.] Barcelona Supercomp Ctr BSC, Barcelona, Spain; [Ferreira, D.] Univ Reading, Dept Meteorol, Reading, Berks, England</t>
  </si>
  <si>
    <t>Massachusetts Institute of Technology (MIT); Universitat Politecnica de Catalunya; Barcelona Supercomputer Center (BSC-CNS); University of Reading</t>
  </si>
  <si>
    <t>Moreno-Chamarro, E (corresponding author), MIT, Dept Earth Atmospher &amp; Planetary Sci, Cambridge, MA 02139 USA.;Moreno-Chamarro, E (corresponding author), Barcelona Supercomp Ctr BSC, Barcelona, Spain.</t>
  </si>
  <si>
    <t>eduardo.moreno@bsc.es</t>
  </si>
  <si>
    <t>Moreno-Chamarro, Eduardo/ABF-9676-2021; Ferreira, David/JJD-6133-2023; Ferreira, David/JNR-2354-2023</t>
  </si>
  <si>
    <t>Moreno-Chamarro, Eduardo/0000-0002-7931-5149;</t>
  </si>
  <si>
    <t>NOAA [NA16OAR4310177]</t>
  </si>
  <si>
    <t>NOAA(National Oceanic Atmospheric Admin (NOAA) - USA)</t>
  </si>
  <si>
    <t>E.M.-C. and J.M. acknowledge support from NOAA award NA16OAR4310177. Data and code to reproduce the authors' work can be obtained from https://doi. org/10.7910/DVN/QJ6VS3.</t>
  </si>
  <si>
    <t>2572-4517</t>
  </si>
  <si>
    <t>2572-4525</t>
  </si>
  <si>
    <t>PALEOCEANOGR PALEOCL</t>
  </si>
  <si>
    <t>Paleoceanogr. Paleoclimatology</t>
  </si>
  <si>
    <t>e2019PA003810</t>
  </si>
  <si>
    <t>10.1029/2019PA003810</t>
  </si>
  <si>
    <t>Geosciences, Multidisciplinary; Oceanography; Paleontology</t>
  </si>
  <si>
    <t>Geology; Oceanography; Paleontology</t>
  </si>
  <si>
    <t>MV9CM</t>
  </si>
  <si>
    <t>Green Published, Green Accepted</t>
  </si>
  <si>
    <t>WOS:000556646600002</t>
  </si>
  <si>
    <t>Toyos, MH; Lamy, F; Lange, CB; Lembke-Jene, L; Saavedra-Pellitero, M; Esper, O; Arz, HW</t>
  </si>
  <si>
    <t>Toyos, Maria H.; Lamy, Frank; Lange, Carina B.; Lembke-Jene, Lester; Saavedra-Pellitero, Mariem; Esper, Oliver; Arz, Helge W.</t>
  </si>
  <si>
    <t>Antarctic Circumpolar Current Dynamics at the Pacific Entrance to the Drake Passage Over the Past 1.3 Million Years</t>
  </si>
  <si>
    <t>Drake Passage; Antarctic Circumpolar Current; orbital-scale variations; sortable silt; Zr; Rb</t>
  </si>
  <si>
    <t>LAST GLACIAL MAXIMUM; SOUTHERN-OCEAN; ATLANTIC SECTOR; SORTABLE SILT; EQUATORIAL PACIFIC; CARBON-CYCLE; POLAR FRONT; STAGE 11; CIRCULATION; WATER</t>
  </si>
  <si>
    <t>The Antarctic Circumpolar Current (ACC) is the world's largest current system connecting all three major basins of the global ocean. Our knowledge of glacial-interglacial changes in ACC dynamics in the southeast Pacific is not well constrained and presently only based on reconstructions covering the last glacial cycle. Here we use a combination of mean sortable silt grain size of the terrigenous sediment fraction (10-63 mu m,SS over bar ) and X-ray fluorescence scanner-derived Zr/Rb ratios as flow strength proxies to examine ACC variations at the Pacific entrance to the Drake Passage (DP) in the vicinity of the Subantarctic Front. Our results indicate that at the DP entrance, ACC strength varied by similar to 6-16% on glacial-interglacial time scales, yielding higher current speeds during interglacial times and reduced current speeds during glacials. We provide evidence that previous observations of a reduction in DP throughflow during the last glacial period are part of a consistent pattern extending for at least the last 1.3 Ma. The orbital-scale cyclicity follows well-known global climate changes from prevailing ca. 41-kyr cycles in the early part of the record (1.3 Ma to 850 ka; marine isotope stage 21) across the mid-Pleistocene transition into the middle and late Pleistocene 100-kyr world. A comparison to a bottom water flow record from the deep western boundary current off New Zealand (Ocean Drilling Program Site 1123) reveals anti-phased changes between the two sites. The enhanced supply of deep water along the DP and into the Atlantic Ocean during interglacials corresponds to a weakened flow of the SW Pacific deep western boundary current.</t>
  </si>
  <si>
    <t>[Toyos, Maria H.] Univ Concepcion, Programa Postgrad Oceanog, Dept Oceanog, Fac Ciencias Nat &amp; Oceanog, Concepcion, Chile; [Toyos, Maria H.; Lange, Carina B.] Univ Austral Chile, Ctr Invest Dinam Ecosistemas Marinos Altas Latitu, Valdivia, Chile; [Lamy, Frank; Lembke-Jene, Lester; Esper, Oliver] Helmholtz Zentrum Polar &amp; Meeresforsch, Alfred Wegener Inst, Bremerhaven, Germany; [Lange, Carina B.] Univ Concepcion, Ctr Oceanog COPAS Sur Austral, Concepcion, Chile; [Lange, Carina B.] Univ Concepcion, Dept Oceanog, Concepcion, Chile; [Lange, Carina B.] Scripps Inst Oceanog, La Jolla, CA USA; [Saavedra-Pellitero, Mariem] Univ Bremen, Geowissensch, Bremen, Germany; [Saavedra-Pellitero, Mariem] Univ Birmingham, Sch Geog Earth &amp; Environm Sci, Birmingham, W Midlands, England; [Arz, Helge W.] Leibniz Inst Ostseeforsch Warnemunde, Rostock, Germany</t>
  </si>
  <si>
    <t>Universidad de Concepcion; Universidad Austral de Chile; Helmholtz Association; Alfred Wegener Institute, Helmholtz Centre for Polar &amp; Marine Research; Universidad de Concepcion; Universidad de Concepcion; University of California System; University of California San Diego; Scripps Institution of Oceanography; University of Bremen; University of Birmingham; Leibniz Institut fur Ostseeforschung Warnemunde</t>
  </si>
  <si>
    <t>Toyos, MH (corresponding author), Univ Concepcion, Programa Postgrad Oceanog, Dept Oceanog, Fac Ciencias Nat &amp; Oceanog, Concepcion, Chile.;Toyos, MH (corresponding author), Univ Austral Chile, Ctr Invest Dinam Ecosistemas Marinos Altas Latitu, Valdivia, Chile.</t>
  </si>
  <si>
    <t>mtoyos@udec.cl</t>
  </si>
  <si>
    <t>Lange, Carina/AHC-2015-2022; Arz, Helge W/A-6659-2013; Saavedra-Pellitero, Mariem/I-7468-2019; Lembke-Jene, Lester/ABC-6275-2020; Lembke-Jene, Lester/F-5084-2013</t>
  </si>
  <si>
    <t>Lange, Carina/0000-0002-2916-4207; Saavedra-Pellitero, Mariem/0000-0003-0621-7932; Arz, Helge Wolfgang/0000-0002-1997-1718; Lembke-Jene, Lester/0000-0002-6873-8533; Toyos, Maria H/0000-0001-5827-6753</t>
  </si>
  <si>
    <t>AWI Helmholtz-Zentrum fur Polar- und Meeresforschung; Chilean oceanographic centers FONDAP-IDEAL [1500003]; COPAS Sur-Austral [AFB170006]; Deutsche Forschungsgemeinschaft (DFG) [BA 1648/30-1]; scholarship CONICYT-PCHA/Doctorado Nacional [2016-21160454]</t>
  </si>
  <si>
    <t>AWI Helmholtz-Zentrum fur Polar- und Meeresforschung; Chilean oceanographic centers FONDAP-IDEAL; COPAS Sur-Austral(Comision Nacional de Investigacion Cientifica y Tecnologica (CONICYT)CONICYT PIA/BASAL); Deutsche Forschungsgemeinschaft (DFG)(German Research Foundation (DFG)); scholarship CONICYT-PCHA/Doctorado Nacional</t>
  </si>
  <si>
    <t>This work was funded by AWI Helmholtz-Zentrum fur Polar- und Meeresforschung. Additional support was provided by the Chilean oceanographic centers FONDAP-IDEAL (project 1500003) and COPAS Sur-Austral (project AFB170006 to C. B. L. and M. H. T.) and the Deutsche Forschungsgemeinschaft (DFG project BA 1648/30-1 to M. S-P). M. H. T. acknowledges support from scholarship CONICYT-PCHA/Doctorado Nacional/2016-21160454. We thank Dr. David Wilson and two anonymous reviewers for their comments and suggestions that helped improve the revised version of this manuscript. We wish to thank the captain, crew, and scientific party of R/V Polarstern for a successful PS97 cruise. We acknowledge S. Wiebe, R. Frohlking, and V. Schumacher for technical support at AWI. We also thank M. Wengler, L. Dumm, S. Wu, and G. Kuhn for fruitful discussions during the development of this work.</t>
  </si>
  <si>
    <t>e2019PA003773</t>
  </si>
  <si>
    <t>10.1029/2019PA003773</t>
  </si>
  <si>
    <t>WOS:000556646600003</t>
  </si>
  <si>
    <t>Drews, R; Schannwell, C; Ehlers, TA; Gladstone, R; Pattyn, F; Matsuoka, K</t>
  </si>
  <si>
    <t>Drews, R.; Schannwell, C.; Ehlers, T. A.; Gladstone, R.; Pattyn, F.; Matsuoka, K.</t>
  </si>
  <si>
    <t>Atmospheric and Oceanographic Signatures in the Ice Shelf Channel Morphology of Roi Baudouin Ice Shelf, East Antarctica, Inferred From Radar Data</t>
  </si>
  <si>
    <t>JOURNAL OF GEOPHYSICAL RESEARCH-EARTH SURFACE</t>
  </si>
  <si>
    <t>glaciology; geophysics; Antarctica; ice shelves; ice-ocean interaction; ice shelf channels</t>
  </si>
  <si>
    <t>PINE ISLAND GLACIER; SURFACE MASS-BALANCE; DRONNING MAUD LAND; BASAL CHANNELS; MODEL; SHEET; VARIABILITY; BENEATH; CORE; MELTWATER</t>
  </si>
  <si>
    <t>Ice shelves around Antarctica can provide back stress for outlet glaciers and control ice sheet mass loss. They often contain narrow bands of thin ice termed ice shelf channels. Ice shelf channel morphology can be interpreted through surface depressions and exhibits junctions and deflections from flowlines. Using ice flow modeling and radar, we investigate ice shelf channels in the Roi Baudouin Ice Shelf. These are aligned obliquely to the prevailing easterly winds. In the shallow radar stratigraphy, syncline and anticline stacks occur beneath the upwind and downwind side, respectively. The structures are horizontally and vertically coherent, except near an ice shelf channel junction where patterns change structurally with depth. Deeper layers truncate near basal incisions. Using ice flow modeling, we show that the stratigraphy is similar to 9 times more sensitive to atmospheric variability than to oceanic variability. This is due to the continual adjustment toward flotation. We propose that syncline-anticline pairs in the shallow stratigraphy are caused by preferential snow deposition on the windward side and wind erosion at the downwind side. This drives downwind deflection of ice shelf channels of several meters per year. The depth variable structures indicate formation of an ice shelf channel junction by basal melting. We conclude that many ice shelf channels are seeded at the grounding line. Their morphology farther seaward is shaped on different length scales by ice dynamics, the ocean, and the atmosphere. These processes act on finer (subkilometer) scales than are captured by most ice, atmosphere, and ocean models, yet the dynamics of ice shelf channels may have broader implications for ice shelf stability.</t>
  </si>
  <si>
    <t>[Drews, R.; Schannwell, C.; Ehlers, T. A.] Univ Tubingen, Dept Geosci, Tubingen, Germany; [Gladstone, R.] Univ Lapland, Arctic Ctr, Rovaniemi, Finland; [Pattyn, F.] Univ Libre Bruxelles, Lab Glaciol, Brussels, Belgium; [Matsuoka, K.] Norwegian Polar Res Inst, Tromso, Norway</t>
  </si>
  <si>
    <t>Eberhard Karls University of Tubingen; University of Lapland; Universite Libre de Bruxelles; Norwegian Polar Institute</t>
  </si>
  <si>
    <t>Drews, R (corresponding author), Univ Tubingen, Dept Geosci, Tubingen, Germany.</t>
  </si>
  <si>
    <t>reinhard.drews@uni-tuebingen.de</t>
  </si>
  <si>
    <t>Drews, reinhard/AAP-4134-2021; Pattyn, Frank/AAA-9640-2019; Gladstone, Rupert/C-1086-2013; Matsuoka, Kenichi/B-7298-2017</t>
  </si>
  <si>
    <t>Drews, reinhard/0000-0002-2328-294X; Pattyn, Frank/0000-0003-4805-5636; Ehlers, Todd/0000-0001-9436-0303; Gladstone, Rupert/0000-0002-1582-3857; Matsuoka, Kenichi/0000-0002-3587-3405</t>
  </si>
  <si>
    <t>InBev Baillet Latour Antarctica Fellowship; ICECON project of the Belgian Science Policy Office (BELSPO) [SD/CA/96A]; Emmy Noether Grant of the Deutsche Forschungsgemeinschaft [DR 822/3-1]; Academy of Finland [286587, 322430]; Deutsche Forschungsgemeinschaft [EH 329/13-1]; Academy of Finland (AKA) [322430, 286587] Funding Source: Academy of Finland (AKA)</t>
  </si>
  <si>
    <t>InBev Baillet Latour Antarctica Fellowship; ICECON project of the Belgian Science Policy Office (BELSPO); Emmy Noether Grant of the Deutsche Forschungsgemeinschaft(German Research Foundation (DFG)); Academy of Finland(Research Council of Finland); Deutsche Forschungsgemeinschaft(German Research Foundation (DFG)); Academy of Finland (AKA)(Research Council of Finland)</t>
  </si>
  <si>
    <t>We thank the reviewers, the Associate Editor, and the Editor for extensive, detailed, and constructive feedback that has significantly improved the paper. Fieldwork in 2012 and 2014 was funded by the InBev Baillet Latour Antarctica Fellowship and the ICECON project of the Belgian Science Policy Office (BELSPO; Project SD/CA/96A). R. Drews was supported by an Emmy Noether Grant of the Deutsche Forschungsgemeinschaft (DR 822/3-1). Rupert Gladstone's contribution was supported by Academy of Finland Grants 286587 and 322430. C. Schannwell was supported by the Deutsche Forschungsgemeinschaft in the framework of the priority programme Antarctic Research with comparative investigations in Arctic ice areas by the Grant EH 329/13-1. We thank J. T. Lenaerts and B. Van Liefferinge for collecting the 400 MHz data in 2014. We acknowledge the efficient logistical support from the International Polar Foundation, Antarctic, and the Belgian Military during all fieldwork. We also thank the Elmer/Ice developers for making their code available, C. Martin for helping out with details in the Age Solver, and P. Bons for constructive discussions. We gratefully acknowledge the Generic Mapping Tool as well as the compute and data resources provided by the Leibniz Supercomputing Centre (www.lrz.de).The authors declare no conflict of interest. Radar data are available at the Pangaea Data Archive (https://doi.pangaea.de/10.1594/PANGAEA.907146).Surface elevation, hydrostatic ice thickness, and net basal melt/freezing rates of the Roi Baudouin Ice Shelf are available online (https://doi.org/10.1594/PANGAEA.883285).</t>
  </si>
  <si>
    <t>2169-9003</t>
  </si>
  <si>
    <t>2169-9011</t>
  </si>
  <si>
    <t>J GEOPHYS RES-EARTH</t>
  </si>
  <si>
    <t>J. Geophys. Res.-Earth Surf.</t>
  </si>
  <si>
    <t>e2020JF005587</t>
  </si>
  <si>
    <t>10.1029/2020JF005587</t>
  </si>
  <si>
    <t>MU1PI</t>
  </si>
  <si>
    <t>WOS:000555444100019</t>
  </si>
  <si>
    <t>Tian, LX; Xie, HJ; Ackley, SF; Tinto, KJ; Bell, RE; Zappa, CJ; Gao, YL; Mestas-Nuñez, AM</t>
  </si>
  <si>
    <t>Tian, Liuxi; Xie, Hongjie; Ackley, Stephen F.; Tinto, Kirsty J.; Bell, Robin E.; Zappa, Christopher J.; Gao, Yongli; Mestas-Nunez, Alberto M.</t>
  </si>
  <si>
    <t>Sea Ice Freeboard in the Ross Sea from Airborne Altimetry IcePod 2016-2017 and a Comparison with IceBridge 2013 and ICESat 2003-2008</t>
  </si>
  <si>
    <t>Antarctic; polynya; ice production; local sea level; laser altimetry</t>
  </si>
  <si>
    <t>THICKNESS; VARIABILITY; ATMOSPHERE; POLYNYAS</t>
  </si>
  <si>
    <t>As part of the Polynyas and Ice Production in the Ross Sea (PIPERS) project, the IcePod system onboard the LC-130 aircraft based at McMurdo Station was flown over the Ross Sea, Antarctica in November 2016 and 2017, with the purpose of repeating the same lines that NASA's Operation IceBridge (OIB) aircraft flew over in 2013. We resampled the lidar data into 70 m pixels (similar to the footprint size of OIB L2 and ICESat data) and took the mean of the lowest 2% elevation values of 25 km (50 km) length along a flight track as the local sea level of the central 25 km (50 km). Most of the IcePod data were over the same flight lines taken by OIB in 2013, so the total freeboard changes from 2013 to 2016 and 2017 were examined. Combining with the ICESat (2003-2008), we obtained a better picture of total freeboard and its interannual variability in the Ross Sea. The pattern of the sea ice distribution supports that new ice produced in coastal polynyas was transported northward by katabatic winds off the ice shelf. Compared to ICESat years, sea ice near the coast was thicker, while sea ice offshore was thinner in the more recent OIB/IcePod years. The results also showed that, in general, sea ice was thicker in 2017 compared to 2013 or 2016-0.02-0.55 m thicker in total freeboard.</t>
  </si>
  <si>
    <t>[Tian, Liuxi; Xie, Hongjie; Ackley, Stephen F.; Gao, Yongli; Mestas-Nunez, Alberto M.] Univ Texas San Antonio, Dept Geol Sci, San Antonio, TX 78249 USA; [Tian, Liuxi; Xie, Hongjie; Ackley, Stephen F.; Gao, Yongli; Mestas-Nunez, Alberto M.] Univ Texas San Antonio, NASA, Ctr Adv Measurements Extreme Environm, San Antonio, TX 78249 USA; [Tinto, Kirsty J.; Bell, Robin E.; Zappa, Christopher J.] Columbia Univ, Lamont Doherty Earth Observ, New York, NY 10964 USA</t>
  </si>
  <si>
    <t>University of Texas System; University of Texas at San Antonio (UTSA); National Aeronautics &amp; Space Administration (NASA); University of Texas System; University of Texas at San Antonio (UTSA); Columbia University</t>
  </si>
  <si>
    <t>Xie, HJ (corresponding author), Univ Texas San Antonio, Dept Geol Sci, San Antonio, TX 78249 USA.;Xie, HJ (corresponding author), Univ Texas San Antonio, NASA, Ctr Adv Measurements Extreme Environm, San Antonio, TX 78249 USA.</t>
  </si>
  <si>
    <t>liuxi.tian@my.utsa.edu; hongjie.xie@utsa.edu; stephen.ackley@utsa.edu; tinto@ldeo.columbia.edu; robinb@ldeo.columbia.edu; zappa@ldeo.columbia.edu; yongli.gao@utsa.edu; alberto.mestas@utsa.edu</t>
  </si>
  <si>
    <t>Mestas-Nunez, Alberto/AAL-5678-2020; Xie, Hongjie/B-5845-2009</t>
  </si>
  <si>
    <t>Mestas-Nunez, Alberto/0000-0002-3546-3668; Xie, Hongjie/0000-0003-3516-1210; Gao, Yongli/0000-0001-9063-4792; Zappa, Christopher J/0000-0003-0041-2913</t>
  </si>
  <si>
    <t>NASA [80NSSC19M0194]; NSF [134717]</t>
  </si>
  <si>
    <t>NASA(National Aeronautics &amp; Space Administration (NASA)); NSF(National Science Foundation (NSF))</t>
  </si>
  <si>
    <t>This research was funded by NASA grant number 80NSSC19M0194 and NSF grant number 134717.</t>
  </si>
  <si>
    <t>10.3390/rs12142226</t>
  </si>
  <si>
    <t>MT2GM</t>
  </si>
  <si>
    <t>WOS:000554784400001</t>
  </si>
  <si>
    <t>Pomerleau, P; Royer, A; Langlois, A; Cliche, P; Courtemanche, B; Madore, JB; Picard, G; Lefebvre, É</t>
  </si>
  <si>
    <t>Pomerleau, Patrick; Royer, Alain; Langlois, Alexandre; Cliche, Patrick; Courtemanche, Bruno; Madore, Jean-Benoit; Picard, Ghislain; Lefebvre, Eric</t>
  </si>
  <si>
    <t>Low Cost and Compact FMCW 24 GHz Radar Applications for Snowpack and Ice Thickness Measurements</t>
  </si>
  <si>
    <t>SENSORS</t>
  </si>
  <si>
    <t>Frequency-Modulated Continuous-Wave (FMCW) radar; lake ice thickness; snow water equivalent; snow density; snow wetness; snow monitoring; snow boreal forest; subarctic snow taiga; Arctic snow tundra; Antarctica</t>
  </si>
  <si>
    <t>COMPLEX DIELECTRIC-CONSTANT; FRESH-WATER-ICE; DOME C; DENSITY; STRATIGRAPHY; VARIABILITY; DEPTH; SATELLITE; IMPACTS; METER</t>
  </si>
  <si>
    <t>Monitoring the evolution of snow on the ground and lake ice-two of the most important components of the changing northern environment-is essential. In this paper, we describe a lightweight, compact and autonomous 24 GHz frequency-modulated continuous-wave (FMCW) radar system for freshwater ice thickness and snow mass (snow water equivalent, SWE) measurements. Although FMCW radars have a long-established history, the novelty of this research lies in that we take advantage the availability of a new generation of low cost and low power requirement units that facilitates the monitoring of snow and ice at remote locations. Test performance (accuracy and limitations) is presented for five different applications, all using an automatic operating mode with improved signal processing: (1) In situ lake ice thickness measurements giving 2 cm accuracy up to approximate to 1 m ice thickness and a radar resolution of 4 cm; (2) remotely piloted aircraft-based lake ice thickness from low-altitude flight at 5 m; (3) in situ dry SWE measurements based on known snow depth, giving 13% accuracy (RMSE 20%) over boreal forest, subarctic taiga and Arctic tundra, with a measurement capability of up to 3 m in snowpack thickness; (4) continuous monitoring of surface snow density under particular Antarctic conditions; (5) continuous SWE monitoring through the winter with a synchronized and collocated snow depth sensor (ultrasonic or LiDAR sensor), giving 13.5% bias and 25 mm root mean square difference (RMSD) (10%) for dry snow. The need for detection processing for wet snow, which strongly absorbs radar signals, is discussed. An appendix provides 24 GHz simulated effective refractive index and penetration depth as a function of a wide range of density, temperature and wetness for ice and snow.</t>
  </si>
  <si>
    <t>[Pomerleau, Patrick; Royer, Alain; Langlois, Alexandre; Cliche, Patrick; Courtemanche, Bruno; Madore, Jean-Benoit] Univ Sherbrooke, Ctr Applicat &amp; Rech Teledetect CARTEL, Sherbrooke, PQ J1K 2R1, Canada; [Royer, Alain; Langlois, Alexandre] Ctr Etud Nord, Quebec City, PQ G1V 0A6, Canada; [Picard, Ghislain; Lefebvre, Eric] Univ Grenoble Alpes, Inst Geosci Environm IGE, CNRS, F-38058 Grenoble, France</t>
  </si>
  <si>
    <t>University of Sherbrooke; Centre National de la Recherche Scientifique (CNRS); Communaute Universite Grenoble Alpes; Universite Grenoble Alpes (UGA)</t>
  </si>
  <si>
    <t>Royer, A (corresponding author), Univ Sherbrooke, Ctr Applicat &amp; Rech Teledetect CARTEL, Sherbrooke, PQ J1K 2R1, Canada.;Royer, A (corresponding author), Ctr Etud Nord, Quebec City, PQ G1V 0A6, Canada.</t>
  </si>
  <si>
    <t>Patrick.Pomerleau@USherbrooke.ca; Alain.Royer@Usherbrooke.ca; Alexandre.Langlois2@USherbrooke.ca; Patrick.Cliche@USherbrooke.ca; BCourtem@Ubishops.ca; jean-benoit.madore@usherbrooke.ca; ghislain.picard@univ-grenoble-alpes.fr; eric.lefebvre@cnrs.fr</t>
  </si>
  <si>
    <t>Picard, Ghislain/D-4246-2013</t>
  </si>
  <si>
    <t>Picard, Ghislain/0000-0003-1475-5853; Royer, Alain/0000-0002-6593-2007</t>
  </si>
  <si>
    <t>Natural Sciences and Engineering Research Council of Canada (NSERC); Canadian Polar Knowledge program at the Canadian High Arctic Research Station at Cambridge Bay, Nu, Crown-Indigenous Relations and Northern Affairs Canada; French Polar Institute (IPEV) (NIVO project); Government of Quebec (Fonds de recherche du Quebec Nature et Technologie, FRQ-NT program)</t>
  </si>
  <si>
    <t>Natural Sciences and Engineering Research Council of Canada (NSERC)(Natural Sciences and Engineering Research Council of Canada (NSERC)); Canadian Polar Knowledge program at the Canadian High Arctic Research Station at Cambridge Bay, Nu, Crown-Indigenous Relations and Northern Affairs Canada; French Polar Institute (IPEV) (NIVO project); Government of Quebec (Fonds de recherche du Quebec Nature et Technologie, FRQ-NT program)</t>
  </si>
  <si>
    <t>This research was financed by the Natural Sciences and Engineering Research Council of Canada (NSERC). Logistical support for field campaigns was provided in part by the Centre d'Etudes Nordiques (CEN) du Quebec. The Arctic experiments were supported by the Canadian Polar Knowledge program at the Canadian High Arctic Research Station at Cambridge Bay, Nu, Crown-Indigenous Relations and Northern Affairs Canada. The Antarctic experiment was carried out in the frame work of a France-Quebec collaborative program (CFQCU), and made possible thanks to the financial support of the French Polar Institute (IPEV) (NIVO project) and the Government of Quebec (Fonds de recherche du Quebec Nature et Technologie, FRQ-NT program).</t>
  </si>
  <si>
    <t>1424-8220</t>
  </si>
  <si>
    <t>SENSORS-BASEL</t>
  </si>
  <si>
    <t>Sensors</t>
  </si>
  <si>
    <t>10.3390/s20143909</t>
  </si>
  <si>
    <t>Chemistry, Analytical; Engineering, Electrical &amp; Electronic; Instruments &amp; Instrumentation</t>
  </si>
  <si>
    <t>Chemistry; Engineering; Instruments &amp; Instrumentation</t>
  </si>
  <si>
    <t>MT2LE</t>
  </si>
  <si>
    <t>WOS:000554796600001</t>
  </si>
  <si>
    <t>Simoes, FL; Contador-Mejías, T; Rendoll-Cárcamo, J; Perez-Troncoso, C; Hayward, SAL; Turner, E; Convey, P</t>
  </si>
  <si>
    <t>Lorenz Simoes, Felipe; Contador-Mejias, Tamara; Rendoll-Carcamo, Javier; Perez-Troncoso, Carolina; Hayward, Scott A. L.; Turner, Edgar; Convey, Peter</t>
  </si>
  <si>
    <t>Distribution and Habitat Preferences of the Newly RediscoveredTelmatogeton magellanicus(Jacobs, 1900) (Diptera: Chironomidae) on Navarino Island, Chile</t>
  </si>
  <si>
    <t>INSECTS</t>
  </si>
  <si>
    <t>algae; brachypterous; flightless; intertidal; life history; Magellanic; non-biting midge; polar; sub-Antarctic</t>
  </si>
  <si>
    <t>SPATIAL-DISTRIBUTION; MIDGE; TERRESTRIAL; ADAPTATION; PHYLOGENY; ECOLOGY; GENUS</t>
  </si>
  <si>
    <t>The habitat of the intertidal flightless midgeTelmatogeton magellanicus(Jacobs, 1900) is described for the first time from the northern coast of Navarino Island, Tierra del Fuego, Chile. Additionally, we report the first observations of adult behaviour in the wild. We delineate the species' distribution across three tidal zones (high, mid and low), and identify substrate characteristics that favour the presence of the midge. The mid-tide zone was the key habitat utilized byT. magellanicus, with lower densities in the low-tide zone and no presence in the high-tide zone. There was a strong association between the presence of larvae and filamentous algae, especiallyBostrychiaspp. and, to a lesser extent,Ulvaspp., as well as between larvae and the presence of larger, more stable boulders. As a result, the species' overall distribution was widespread but patchy. We suggest that the main limiting factor is the relative humidity experienced in different habitats. One of the most striking features of the behavioural observations during data collection was the extremely active adults, which suggests high energy expenditure over a very short period of time. This may be due to the limited time available to find mates in a single low-tide period, when adults have about three hours after emerging from the pupa to complete mating and oviposition before inundation by the tide. The data presented here provide a baseline for future studies on this species' ecology, phenology, physiology and general biology.</t>
  </si>
  <si>
    <t>[Lorenz Simoes, Felipe; Convey, Peter] British Antarctic Survey, Cambridge CB3 0ET, England; [Lorenz Simoes, Felipe; Turner, Edgar] Univ Museum Cambridge, Dept Zool, Cambridge CB2 1TN, England; [Contador-Mejias, Tamara; Rendoll-Carcamo, Javier; Perez-Troncoso, Carolina] Univ Magallanes, Wankara Subantarctic &amp; Antarctic Freshwater Ecos, Subantarctic Biocultural Conservat Program, Puerto Williams 6350000, Chile; [Contador-Mejias, Tamara] INVASAL, Millennium Nucleus Invas Salmonids, Concepcion 4030000, Chile; [Hayward, Scott A. L.] Univ Birmingham, Sch Biosci, Birmingham B15 2TT, W Midlands, England</t>
  </si>
  <si>
    <t>UK Research &amp; Innovation (UKRI); Natural Environment Research Council (NERC); NERC British Antarctic Survey; Universidad de Magallanes; University of Birmingham</t>
  </si>
  <si>
    <t>Simoes, FL; Convey, P (corresponding author), British Antarctic Survey, Cambridge CB3 0ET, England.;Simoes, FL (corresponding author), Univ Museum Cambridge, Dept Zool, Cambridge CB2 1TN, England.</t>
  </si>
  <si>
    <t>flsimoes28@gmail.com; contador.tamara@gmail.com; javier.rendoll@gmail.com; ca.pereztroncoso@gmail.com; s.a.hayward@bham.ac.uk; ect23@cam.ac.uk; pcon@bas.ac.uk</t>
  </si>
  <si>
    <t>Contador, Tamara/AAC-2161-2021; Convey, Peter/AAV-5728-2020</t>
  </si>
  <si>
    <t>Contador, Tamara/0000-0002-0250-9877; Convey, Peter/0000-0001-8497-9903; Perez-Troncoso, Carolina/0000-0002-0185-5874; Rendoll, Javier/0000-0003-1928-0914</t>
  </si>
  <si>
    <t>Conselho Nacional de Desenvolvimento Cientifico e Tecnologico; Cambridge Trust [233923/2014-4]; Natural Environment Research Council; BAS 'Biodiversity, Evolution and Adaptation' team; Instituto Antartico Chileno [RT_48_16]; NERC [bas0100036] Funding Source: UKRI</t>
  </si>
  <si>
    <t>Conselho Nacional de Desenvolvimento Cientifico e Tecnologico(Conselho Nacional de Desenvolvimento Cientifico e Tecnologico (CNPQ)); Cambridge Trust; Natural Environment Research Council(UK Research &amp; Innovation (UKRI)Natural Environment Research Council (NERC)); BAS 'Biodiversity, Evolution and Adaptation' team; Instituto Antartico Chileno; NERC(UK Research &amp; Innovation (UKRI)Natural Environment Research Council (NERC))</t>
  </si>
  <si>
    <t>This research was funded by the Conselho Nacional de Desenvolvimento Cientifico e Tecnologico and the Cambridge Trust, PhD scholarship Process no. 233923/2014-4 (F.L.S.); Natural Environment Research Council core funding, BAS 'Biodiversity, Evolution and Adaptation' team (P.C.); and Instituto Antartico Chileno, RT_48_16 (T.C.-M. and F.L.S.)</t>
  </si>
  <si>
    <t>2075-4450</t>
  </si>
  <si>
    <t>Insects</t>
  </si>
  <si>
    <t>10.3390/insects11070442</t>
  </si>
  <si>
    <t>Entomology</t>
  </si>
  <si>
    <t>MS4TU</t>
  </si>
  <si>
    <t>WOS:000554271300001</t>
  </si>
  <si>
    <t>Ruprecht, U; Fernández-Mendoza, F; Türk, R; Fryday, AM</t>
  </si>
  <si>
    <t>Ruprecht, Ulrike; Fernandez-Mendoza, Fernando; Tuerk, Roman; Fryday, Alan M.</t>
  </si>
  <si>
    <t>High levels of endemism and local differentiation in the fungal and algal symbionts of saxicolous lecideoid lichens along a latitudinal gradient in southern South America</t>
  </si>
  <si>
    <t>LICHENOLOGIST</t>
  </si>
  <si>
    <t>glacial refugia; global distribution; pioneer vegetation on rock; subantarctic subregion</t>
  </si>
  <si>
    <t>GENUS PORPIDIA; SPECIES DELIMITATION; GENETIC DIVERSITY; FORMING FUNGI; ASCOMYCOTA; PARMELIACEAE; LECIDEACEAE; PHOTOBIONTS; REGION; MODEL</t>
  </si>
  <si>
    <t>Saxicolous, lecideoid lichenized fungi have a cosmopolitan distribution but, being mostly cold adapted, are especially abundant in polar and high-mountain regions. To date, little is known of their origin or the extent of their trans-equatorial dispersal. Several mycobiont genera and species are thought to be restricted to either the Northern or the Southern Hemisphere, whereas others are thought to be widely distributed and occur in both hemispheres. However, these assumptions often rely on morphological analyses and lack supporting molecular genetic data. Also unknown is the extent of regional differentiation in the southern polar regions. An extensive set of lecideoid lichens (185 samples) was collected along a latitudinal gradient at the southern end of South America. Subantarctic climate conditions were maintained by increasing the elevation of the collecting sites with decreasing latitude. The investigated specimens were placed in a global context by including Antarctic and cosmopolitan sequences from other studies. For each symbiont three markers were used to identify intraspecific variation (mycobiont: ITS, mtSSU,RPB1; photobiont: ITS, psbJ-L, COX2). For the mycobiont, the saxicolous generaLecidea,Porpidia,PoeltideaandLecidellawere phylogenetically re-evaluated, along with their photobiontsAsterochlorisandTrebouxia. For several globally distributed species groups, the results show geographically highly differentiated subclades, classified as operational taxonomical units (OTUs), which were assigned to the different regions of southern South America (sSA). Furthermore, several small endemic and well-supported clades apparently restricted to sSA were detected at the species level for both symbionts.</t>
  </si>
  <si>
    <t>[Ruprecht, Ulrike; Tuerk, Roman] Univ Salzburg, FB Biowissensch, Hellbrunnerstr 34, A-5020 Salzburg, Austria; [Fernandez-Mendoza, Fernando] Karl Franzens Univ Graz, Inst Biol, Holteigasse 6, A-8010 Graz, Austria; [Fryday, Alan M.] Michigan State Univ, Dept Plant Biol, E Lansing, MI 48824 USA</t>
  </si>
  <si>
    <t>Salzburg University; University of Graz; Michigan State University</t>
  </si>
  <si>
    <t>Ruprecht, U (corresponding author), Univ Salzburg, FB Biowissensch, Hellbrunnerstr 34, A-5020 Salzburg, Austria.</t>
  </si>
  <si>
    <t>ulrike.ruprecht@sbg.ac.at</t>
  </si>
  <si>
    <t>Ruprecht, Ulrike/0000-0002-0898-7677; Fryday, Alan/0000-0002-5310-9232</t>
  </si>
  <si>
    <t>Austrian Science Fund (FWF) [P26638]; Austrian Science Fund (FWF) [P26638] Funding Source: Austrian Science Fund (FWF)</t>
  </si>
  <si>
    <t>Austrian Science Fund (FWF)(Austrian Science Fund (FWF)); Austrian Science Fund (FWF)(Austrian Science Fund (FWF))</t>
  </si>
  <si>
    <t>We are grateful to M. Affenzeller, H. P. Comes, M. Wagner (University of Salzburg), C. Printzen (Senckenberg, Frankfurt) and L. Sancho (Universidad Complutense Madrid) for giving highly appreciated advice and support. G. Brunauer (University of Salzburg), A. Passo (University of Comahue), M. Andreev (Botanical Institute, St. Petersburg), British Antarctic Survey (Cambridge) and U. Sochting (University of Copenhagen) kindly helped with collecting and providing the lichen specimens. Finally, we would like to thank Sieglinde Ott and Nadine Determeyer-Wiedmann (University of Dusseldorf) for providing several Trebouxia-cultures. This study was financially supported by the Austrian Science Fund (FWF): P26638.</t>
  </si>
  <si>
    <t>CAMBRIDGE UNIV PRESS</t>
  </si>
  <si>
    <t>EDINBURGH BLDG, SHAFTESBURY RD, CB2 8RU CAMBRIDGE, ENGLAND</t>
  </si>
  <si>
    <t>0024-2829</t>
  </si>
  <si>
    <t>1096-1135</t>
  </si>
  <si>
    <t>Lichenologist</t>
  </si>
  <si>
    <t>PII S0024282920000225</t>
  </si>
  <si>
    <t>10.1017/S0024282920000225</t>
  </si>
  <si>
    <t>Plant Sciences; Mycology</t>
  </si>
  <si>
    <t>MQ7MR</t>
  </si>
  <si>
    <t>Green Submitted, hybrid, Green Published</t>
  </si>
  <si>
    <t>WOS:000553078100004</t>
  </si>
  <si>
    <t>Choi, SG; Chae, J; Chung, S; Oh, W; Yoon, E; Sung, G; Lee, K</t>
  </si>
  <si>
    <t>Choi, Seok-Gwan; Chae, Jinho; Chung, Sangdeuk; Oh, Wooseok; Yoon, Euna; Sung, Gunhee; Lee, Kyounghoon</t>
  </si>
  <si>
    <t>Density Estimation of Antarctic Krill in the South Shetland Island (Subarea 48.1) Using dB-Difference Method</t>
  </si>
  <si>
    <t>SUSTAINABILITY</t>
  </si>
  <si>
    <t>Antarctic krill; acoustic survey; scientific echosounder; dB difference; biomass</t>
  </si>
  <si>
    <t>EUPHAUSIA-SUPERBA; ACOUSTIC CHARACTERIZATION; ABUNDANCE; AGGREGATIONS; VARIABILITY; STRENGTH; VICINITY; PACIFIC; BIOMASS; GEORGIA</t>
  </si>
  <si>
    <t>This study is aimed to estimate the density of Antarctic krill that inhabit in the area around South Shetland Island by using a dB-difference method. An acoustic survey was conducted from 13 to 24 April in 2016 in the sea of South Shetland. Acoustic data on frequency 38 and 120 kHz were collected. The Antarctic krill echo was extracted for the S(V120-38 kHz)range of 0.4-14.3 dB, which was obtained by applying the size of the collected Antarctic krill in this study (25-60 mm). The mean Antarctic krill density across the survey area was 33.65 g m(-2)(CV = 45.97%).</t>
  </si>
  <si>
    <t>[Choi, Seok-Gwan; Chung, Sangdeuk] Natl Inst Fisheries Sci, Distant Water Fisheries Resources Res Div, Busan 46083, South Korea; [Chae, Jinho; Sung, Gunhee] Marine Environm Res &amp; Informat Lab, Gunpo 15850, South Korea; [Oh, Wooseok; Lee, Kyounghoon] Chonnam Natl Univ, Div Fisheries Sci, Yeosu 59626, South Korea; [Yoon, Euna] Natl Inst Fisheries Sci, Fisheries Resources Res Ctr, Tongyeong 53064, South Korea</t>
  </si>
  <si>
    <t>National Institute of Fisheries Science; Chonnam National University; National Institute of Fisheries Science</t>
  </si>
  <si>
    <t>Lee, K (corresponding author), Chonnam Natl Univ, Div Fisheries Sci, Yeosu 59626, South Korea.</t>
  </si>
  <si>
    <t>sgchoi@korea.kr; meril@meril.co.kr; sdchung@korea.kr; owsnice@gmail.com; Euna7979@nate.com; penguin@meril.co.kr; khlee71@jnu.ac.kr</t>
  </si>
  <si>
    <t>LEE, Kyounghoon/IWM-4396-2023</t>
  </si>
  <si>
    <t>Chae, Jinho/0000-0002-7229-0700</t>
  </si>
  <si>
    <t>Ministry of Oceans and Fisheries, Korea [20190518]; [R2020023]</t>
  </si>
  <si>
    <t>Ministry of Oceans and Fisheries, Korea;</t>
  </si>
  <si>
    <t>This study was financially part of a project titled Improvement of management strategies on marine disturbing and harmful organisms, grant number: 20190518, funded by the Ministry of Oceans and Fisheries, Korea, and was partially supported by the National Institute of Fisheries Science (R2020023).</t>
  </si>
  <si>
    <t>2071-1050</t>
  </si>
  <si>
    <t>SUSTAINABILITY-BASEL</t>
  </si>
  <si>
    <t>Sustainability</t>
  </si>
  <si>
    <t>10.3390/su12145701</t>
  </si>
  <si>
    <t>MS3HD</t>
  </si>
  <si>
    <t>WOS:000554170800001</t>
  </si>
  <si>
    <t>Fraser, WR; Ducklow, HW; Henley, SF</t>
  </si>
  <si>
    <t>Fraser, William R.; Ducklow, Hugh W.; Henley, Sian F.</t>
  </si>
  <si>
    <t>Variability and change in the west Antarctic Peninsula marine system: Research priorities and opportunities (vol 173, pg 208, 2019)</t>
  </si>
  <si>
    <t>PROGRESS IN OCEANOGRAPHY</t>
  </si>
  <si>
    <t>[Fraser, William R.] Polar Oceans Res Grp, Sheridan, MT USA; [Ducklow, Hugh W.] Columbia Univ, Lamont Doherty Earth Observ, Palisades, NY 10964 USA; [Henley, Sian F.] Univ Edinburgh, Sch GeoSci, Edinburgh, Midlothian, Scotland</t>
  </si>
  <si>
    <t>Columbia University; University of Edinburgh</t>
  </si>
  <si>
    <t>Ducklow, HW (corresponding author), Columbia Univ, Lamont Doherty Earth Observ, Palisades, NY 10964 USA.</t>
  </si>
  <si>
    <t>bfraser@3rivers.net; hducklow@ldeo.columbia.edu; s.f.henley@ed.ac.uk</t>
  </si>
  <si>
    <t>0079-6611</t>
  </si>
  <si>
    <t>PROG OCEANOGR</t>
  </si>
  <si>
    <t>Prog. Oceanogr.</t>
  </si>
  <si>
    <t>10.1016/j.pocean.2020.102350</t>
  </si>
  <si>
    <t>MP3RQ</t>
  </si>
  <si>
    <t>WOS:000552124300007</t>
  </si>
  <si>
    <t>Zhang, MM; Park, KT; Yan, JP; Park, K; Wu, YF; Jang, E; Gao, W; Tan, GB; Wang, JJ; Chen, LQ</t>
  </si>
  <si>
    <t>Zhang, Miming; Park, Ki-Tae; Yan, Jinpei; Park, Keyhong; Wu, Yanfang; Jang, Eunho; Gao, Wei; Tan, Guobin; Wang, Jianjun; Chen, Liqi</t>
  </si>
  <si>
    <t>Atmospheric dimethyl sulfide and its significant influence on the sea-to-air flux calculation over the Southern Ocean</t>
  </si>
  <si>
    <t>Dimethyl sulfide; Southern Ocean; Atmospheric DMS; Seawater DMS; DMS sea-to-air flux</t>
  </si>
  <si>
    <t>MARINE BOUNDARY-LAYER; EASTERN INDIAN-OCEAN; GAS-EXCHANGE; SPATIAL-DISTRIBUTION; SURFACE SEAWATER; SULFUR-COMPOUNDS; BIOGENIC SULFUR; PACIFIC-OCEAN; AMUNDSEN SEA; ARCTIC-OCEAN</t>
  </si>
  <si>
    <t>Our understanding about the atmospheric dimethyl sulfide (DMS) and its influence to sea-to-air flux calculation in the Southern Ocean is still limited due to insufficient investigations. Herein, high-resolution shipboard underway simultaneous surface seawater and atmospheric DMS measurements were conducted in the Southern Ocean from February 23 to March 31, 2018. A larger variation of DMS levels was found in atmosphere compared with that in seawater. Remarkably, a large-scale area with high seawater and atmospheric DMS concentrations up to 27.9 nM and 3.92 ppbv, respectively, was investigated outside of Ross Sea sector. Atmospheric DMS levels were strongly impacted by wind speed and air mass convection. The relationship between atmospheric DMS and air mass exposure to oceanic chlorophyll varied greatly depending on the area of investigation. Some other regions with high DMS production capacity were examined as well beside those along the cruise tracks based on the results of positive correlations with high slopes and back trajectories. Moreover, significant uncertainty of sea-to-air DMS flux over the Southern Ocean could be caused by follows: (1) the selecting of different gas transfer coefficients; (2) the negative flux values calculated under high atmospheric DMS levels together with low seawater DMS concentrations; and (3) the greatly overestimated flux, approximately 47.1-76.9%, without considering the atmospheric DMS. This study highlights the urgent demand of high-resolution observations of atmospheric DMS over the Southern Ocean to estimate DMS emission with high accuracy.</t>
  </si>
  <si>
    <t>[Zhang, Miming; Yan, Jinpei; Wang, Jianjun; Chen, Liqi] Minist Nat Resources, Key Lab Global Change &amp; Marine Atmospher Chem, Inst Oceanog 3, Xiamen 361005, Fujian, Peoples R China; [Park, Ki-Tae; Jang, Eunho] Korea Polar Res Inst, Div Polar Climate Sci, Incheon 21990, South Korea; [Park, Keyhong] Korea Polar Res Inst, Div Polar Ocean Sci, Incheon 21990, South Korea; [Wu, Yanfang] Univ New South Wales, Australian Ctr NanoMed, Sch Chem, Sydney, NSW 2052, Australia; [Wu, Yanfang] Univ New South Wales, Australian Res Council ARC, Sch Chem, Ctr Excellence Convergent Bionano Sci &amp; Technol, Sydney, NSW 2052, Australia; [Jang, Eunho] Univ Sci &amp; Technol, 217 Gajeong Ro, Daejeon 34113, South Korea; [Gao, Wei; Tan, Guobin] Jinan Univ, Inst Mass Spectrometry &amp; Atmospher Environm, Guangzhou 510632, Guangdong, Peoples R China; [Tan, Guobin] Guangzhou Hexin Instrument Co Ltd, Guangzhou 510663, Guangdong, Peoples R China</t>
  </si>
  <si>
    <t>Ministry of Natural Resources of the People's Republic of China; Third Institute of Oceanography, Ministry of Natural Resources; Korea Polar Research Institute (KOPRI); Korea Polar Research Institute (KOPRI); University of New South Wales Sydney; University of New South Wales Sydney; University of Science &amp; Technology (UST); Jinan University</t>
  </si>
  <si>
    <t>Zhang, MM (corresponding author), Minist Nat Resources, Key Lab Global Change &amp; Marine Atmospher Chem, Inst Oceanog 3, Xiamen 361005, Fujian, Peoples R China.</t>
  </si>
  <si>
    <t>zhangmiming@tio.org.cn</t>
  </si>
  <si>
    <t>Park, Ki-Tae/CAF-2480-2022; Wu, Yanfang/D-9918-2015</t>
  </si>
  <si>
    <t>Wu, Yanfang/0000-0003-4201-2061</t>
  </si>
  <si>
    <t>National Natural Science Foundation of China (NSFC) [41706104, 41941014]; NSFC [41911540471]; Qingdao National Laboratory for Marine Science and Technology Foundation [QNLM2016ORP0109]; Ministry of Science and Technology Program [2018YFC1406703]; Key Research &amp; Development Program [2018YFC1406703]; Chinese Projects for Investigations and Assessments of the Arctic and Antarctic [CHINARE2017-2020]; response and feedback of the Southern Ocean to climate change [RFSOCC2020-2025]; International Organizations and Conference and Bilateral Cooperation of Maritime Affairs; Scientific Research Foundation of Third Institute of Oceanography, at the Ministry of Natural Resources [2019009, 2018014]; Korean Polar Research Institute [PE20140, PE 20060]; [NRF-2019K2A9A2A06025329]</t>
  </si>
  <si>
    <t>National Natural Science Foundation of China (NSFC)(National Natural Science Foundation of China (NSFC)); NSFC(National Natural Science Foundation of China (NSFC)); Qingdao National Laboratory for Marine Science and Technology Foundation; Ministry of Science and Technology Program; Key Research &amp; Development Program; Chinese Projects for Investigations and Assessments of the Arctic and Antarctic; response and feedback of the Southern Ocean to climate change; International Organizations and Conference and Bilateral Cooperation of Maritime Affairs; Scientific Research Foundation of Third Institute of Oceanography, at the Ministry of Natural Resources; Korean Polar Research Institute;</t>
  </si>
  <si>
    <t>We thank the Chinese Arctic and Antarctic Administration (CAA) of Ministry of Natural Resources and the crew of R/V Xue Long for their support with field operations. This work was supported by the National Natural Science Foundation of China (NSFC) (41706104, 41941014), the international cooperation program managed by the National Research Foundation of South Korea (NRF-2019K2A9A2A06025329) and NSFC (41911540471), the Qingdao National Laboratory for Marine Science and Technology Foundation (No. QNLM2016ORP0109), the Ministry of Science and Technology and Key Research &amp; Development Programs (No. 2018YFC1406703), the Chinese Projects for Investigations and Assessments of the Arctic and Antarctic (CHINARE2017-2020), the response and feedback of the Southern Ocean to climate change (RFSOCC2020-2025), the International Organizations and Conference and Bilateral Cooperation of Maritime Affairs, the Scientific Research Foundation of Third Institute of Oceanography, at the Ministry of Natural Resources (under contract No. 2019009, No. 2018014), and the Korean Polar Research Institute (Grant PE20140, PE 20060).</t>
  </si>
  <si>
    <t>10.1016/j.pocean.2020.102392</t>
  </si>
  <si>
    <t>WOS:000552124300023</t>
  </si>
  <si>
    <t>Yao, ST; Shi, QQ; Guo, RL; Yao, ZH; Fu, HS; Degeling, AW; Zong, QG; Wang, XG; Russell, CT; Tian, AM; Xiao, YC; Zhang, H; Wang, SM; Hu, HQ; Liu, J; Liu, H; Li, B; Giles, BL</t>
  </si>
  <si>
    <t>Yao, S. T.; Shi, Q. Q.; Guo, R. L.; Yao, Z. H.; Fu, H. S.; Degeling, A. W.; Zong, Q. G.; Wang, X. G.; Russell, C. T.; Tian, A. M.; Xiao, Y. C.; Zhang, H.; Wang, S. M.; Hu, H. Q.; Liu, J.; Liu, H.; Li, B.; Giles, B. L.</t>
  </si>
  <si>
    <t>Kinetic-scale Flux Rope in the Magnetosheath Boundary Layer</t>
  </si>
  <si>
    <t>ASTROPHYSICAL JOURNAL</t>
  </si>
  <si>
    <t>Space plasmas; Geomagnetic fields; Plasma physics; Magnetohydrodynamics; Planetary magnetosphere</t>
  </si>
  <si>
    <t>TRANSFER EVENTS; MAGNETIC RECONNECTION; MMS OBSERVATIONS; ELECTRON DYNAMICS; FIELD; MAGNETOPAUSE; DISSIPATION; PROPAGATION; REGION; WAVES</t>
  </si>
  <si>
    <t>We here present a new type of kinetic-scale (similar to 1 ion gyroradius) flux rope (KFR) in the Earth's dayside magnetosheath boundary layer with Magnetospheric Multiscale high temporal cadence data. This structure exhibits a slight twist of magnetic field that is possibly generated by a field-aligned current, which differs from typical dayside flux ropes usually observed within the current sheet where magnetic reconnection can occur. The perpendicular electron fluxes within 19-52 eV are increased similar to 10% inside the KFR. Detailed analysis shows that these perpendicular electrons may encounter their mirror point (at the position of the KFR, strong field region) when traveling from the magnetosheath toward the ionosphere and will be reflected to the magnetosheath. A possible scenario is that this KFR is different from previous flux ropes that transfer electron flux to the magnetosphere but could intercept magnetosheath large pitch angle electron flux to the magnetosphere.</t>
  </si>
  <si>
    <t>[Yao, S. T.; Shi, Q. Q.; Degeling, A. W.; Tian, A. M.; Xiao, Y. C.] Shandong Univ, Inst Space Sci, Shandong Prov Key Lab Opt Astron &amp; Solar Terr Env, Weihai 264209, Peoples R China; [Yao, S. T.; Liu, J.] Chinese Acad Sci, Natl Space Sci Ctr, State Key Lab Space Weather, Beijing 100190, Peoples R China; [Guo, R. L.] Chinese Acad Sci, Inst Geol &amp; Geophys, Key Lab Earth &amp; Planetary Phys, Beijing 100029, Peoples R China; [Yao, Z. H.] Univ Liege, STAR Inst, Lab Phys Atmospher &amp; Planetaire, Liege, Belgium; [Fu, H. S.] Beihang Univ, Sch Space &amp; Environm, Beijing, Peoples R China; [Zong, Q. G.; Liu, H.] Peking Univ, Sch Earth &amp; Space Sci, Beijing 100871, Peoples R China; [Wang, X. G.] Harbin Inst Technol, Dept Phys, Harbin 150001, Peoples R China; [Russell, C. T.] Univ Calif Los Angeles, Dept Earth Planetary &amp; Space Sci, Los Angeles, CA USA; [Zhang, H.] Univ Alaska Fairbanks, Phys Dept, Fairbanks, AK USA; [Zhang, H.] Univ Alaska Fairbanks, Geophys Inst, Fairbanks, AK USA; [Wang, S. M.] Univ Sci &amp; Technol China, Dept Geophys &amp; Planetary Sci, CAS Key Lab Geospace Environm, Hefei 230026, Peoples R China; [Hu, H. Q.] Polar Res Inst China, SOA Key Lab Polar Sci, Shanghai, Peoples R China; [Li, B.] Wuhan Univ, Chinese Antarctic Ctr Surveying &amp; Mapping, Wuhan 430079, Peoples R China; [Giles, B. L.] NASA, Goddard Space Flight Ctr, Greenbelt, MD USA</t>
  </si>
  <si>
    <t>Shandong University; Chinese Academy of Sciences; National Space Science Center, CAS; Chinese Academy of Sciences; Institute of Geology &amp; Geophysics, CAS; University of Liege; Beihang University; Peking University; Harbin Institute of Technology; University of California System; University of California Los Angeles; University of Alaska System; University of Alaska Fairbanks; University of Alaska System; University of Alaska Fairbanks; Chinese Academy of Sciences; University of Science &amp; Technology of China, CAS; Polar Research Institute of China; Wuhan University; National Aeronautics &amp; Space Administration (NASA); NASA Goddard Space Flight Center</t>
  </si>
  <si>
    <t>Shi, QQ (corresponding author), Shandong Univ, Inst Space Sci, Shandong Prov Key Lab Opt Astron &amp; Solar Terr Env, Weihai 264209, Peoples R China.</t>
  </si>
  <si>
    <t>sqq@pku.edu.cn</t>
  </si>
  <si>
    <t>Zong, Qiugang/L-1920-2018; Yao, Zhonghua/C-3486-2009; MMS, Science Team NASA/J-5393-2013; Zhang, Hui/AAO-7452-2020; SHI, QUANQI/M-6959-2015; Fu, Huishan/E-1507-2012; yao, shutao/IUP-1079-2023; Yao, Shutao/ABG-7012-2021; Degeling, Alexander/F-1091-2016; Giles, Barbara L/J-7393-2017; Guo, Ruiliang/AAC-7184-2019; Yao, Zhonghua/H-8537-2017; Russell, Christopher/E-7745-2012</t>
  </si>
  <si>
    <t>Zong, Qiugang/0000-0002-6414-3794; Zhang, Hui/0000-0001-5346-7112; SHI, QUANQI/0000-0001-6835-4751; Fu, Huishan/0000-0002-4701-7219; yao, shutao/0000-0002-6059-2963; Guo, Ruiliang/0000-0002-5339-4571; Yao, Zhonghua/0000-0001-6826-2486; Russell, Christopher/0000-0003-1639-8298</t>
  </si>
  <si>
    <t>National Natural Science Foundation of China [41774153, 41961130382, 41431072]; Royal Society [NAF\R1\191047]; Specialized Research Fund for State Key Laboratories; International Space Science Institute (ISSI); PRODEX program; Belgian Federal Science Policy Office</t>
  </si>
  <si>
    <t>National Natural Science Foundation of China(National Natural Science Foundation of China (NSFC)); Royal Society(Royal Society); Specialized Research Fund for State Key Laboratories; International Space Science Institute (ISSI); PRODEX program; Belgian Federal Science Policy Office(Belgian Federal Science Policy Office)</t>
  </si>
  <si>
    <t>We greatly appreciate the MMS instrumental teams for providing magnetic field and plasma data. All of the data are available from the MMS Science Data Center (https://lasp.colorado.edu/mms/sdc/public/).This work was supported by the National Natural Science Foundation of China (grants 41774153, 41961130382, and 41431072) and Royal Society NAF\R1\191047. The project was supported by the Specialized Research Fund for State Key Laboratories. We appreciate the International Space Science Institute (ISSI) for their support. Z. H.Y. is supported by the PRODEX program managed by ESA in collaboration with the Belgian Federal Science Policy Office.</t>
  </si>
  <si>
    <t>IOP PUBLISHING LTD</t>
  </si>
  <si>
    <t>BRISTOL</t>
  </si>
  <si>
    <t>TEMPLE CIRCUS, TEMPLE WAY, BRISTOL BS1 6BE, ENGLAND</t>
  </si>
  <si>
    <t>0004-637X</t>
  </si>
  <si>
    <t>1538-4357</t>
  </si>
  <si>
    <t>ASTROPHYS J</t>
  </si>
  <si>
    <t>Astrophys. J.</t>
  </si>
  <si>
    <t>10.3847/1538-4357/ab9620</t>
  </si>
  <si>
    <t>MO7FO</t>
  </si>
  <si>
    <t>WOS:000551687100001</t>
  </si>
  <si>
    <t>Preston, JC; Fjellheim, S</t>
  </si>
  <si>
    <t>Preston, Jill C.; Fjellheim, Siri</t>
  </si>
  <si>
    <t>Understanding Past, and Predicting Future, Niche Transitions based on Grass Flowering Time Variation1[OPEN]</t>
  </si>
  <si>
    <t>PLANT PHYSIOLOGY</t>
  </si>
  <si>
    <t>VEGETATIVE PHASE-CHANGE; DAY-LENGTH; CLIMATE-CHANGE; PHOTOPERIOD SENSITIVITY; EVOLUTIONARY HISTORY; ANTARCTIC GLACIATION; AMBIENT-TEMPERATURE; SAVANNA VEGETATION; LATITUDINAL CLINE; FLORAL TRANSITION</t>
  </si>
  <si>
    <t>Since their origin in the early Cretaceous, grasses have diversified across every continent on Earth, with a handful of species (rice [Oryza sativa], maize [Zea mays], and wheat [Triticum aestivum]) providing most of the caloric intake of contemporary humans and their livestock. The ecological dominance of grasses can be attributed to a number of physiological innovations, many of which contributed to shifts from closed to open habitats that incur daily (e.g. tropical mountains) and/or seasonal extremes in temperature (e.g. temperate/continental regions) and precipitation (e.g. tropical savannas). In addition to strategies that allow them to tolerate or resist periodically stressful environments, plants can adopt escape behaviors by modifying the relative timing of distinct development phases. Flowering time is one of these behaviors that can also act as a postzygotic barrier to reproduction and allow temporal partitioning of resources to promote coexistence. In this review, we explore what is known about the phylogenetic pattern of flowering control in grasses, and how this relates to broad- and fine-scale niche transitions within the family. We then synthesize recent findings on the genetic basis of flowering time evolution as a way to begin deciphering why certain aspects of flowering are seemingly so conserved, and what the implications of this are for future adaptation under climate change. Major grass clades show strong conservation in how their flowering time is controlled, despite apparently low evolutionary constraints at the genetic level, and a dearth of data for tropical taxa.</t>
  </si>
  <si>
    <t>[Preston, Jill C.] Univ Vermont, Dept Plant Biol, Burlington, VT 05405 USA; [Fjellheim, Siri] Norwegian Univ Life Sci, Dept Plant Sci, N-1430 As, Norway</t>
  </si>
  <si>
    <t>University of Vermont; Norwegian University of Life Sciences</t>
  </si>
  <si>
    <t>Preston, JC (corresponding author), Univ Vermont, Dept Plant Biol, Burlington, VT 05405 USA.</t>
  </si>
  <si>
    <t>Jill.Preston@uvm.edu</t>
  </si>
  <si>
    <t>USDA j National Institute of Food and Agriculture (NIFA) [VT-H02205]</t>
  </si>
  <si>
    <t>USDA j National Institute of Food and Agriculture (NIFA)</t>
  </si>
  <si>
    <t>This work was supported by the USDA j National Institute of Food and Agriculture (NIFA; grant no. VT-H02205 to J.C.P.).</t>
  </si>
  <si>
    <t>OXFORD UNIV PRESS INC</t>
  </si>
  <si>
    <t>CARY</t>
  </si>
  <si>
    <t>JOURNALS DEPT, 2001 EVANS RD, CARY, NC 27513 USA</t>
  </si>
  <si>
    <t>0032-0889</t>
  </si>
  <si>
    <t>1532-2548</t>
  </si>
  <si>
    <t>PLANT PHYSIOL</t>
  </si>
  <si>
    <t>Plant Physiol.</t>
  </si>
  <si>
    <t>10.1104/pp.20.00100</t>
  </si>
  <si>
    <t>MN2NE</t>
  </si>
  <si>
    <t>WOS:000550682000007</t>
  </si>
  <si>
    <t>Crous, PW; Wingfield, MJ; Chooi, YH; Gilchrist, CLM; Lacey, E; Pitt, JI; Roets, F; Swart, WJ; Cano-Lira, JF; Valenzuela-Lopez, N; Hubka, V; Shivas, RG; Stchigel, AM; Holdom, DG; Jurjevic, Z; Kachalkin, AV; Lebel, T; Lock, C; Martín, MP; Tan, YP; Tomashevskaya, MA; Vitelli, JS; Baseia, IG; Bhatt, VK; Brandrud, TE; De Souza, JT; Dima, B; Lacey, HJ; Lombard, L; Johnston, PR; Morte, A; Papp, V; Rodríguez, A; Rodriguez-Andrade, E; Semwal, KC; Tegart, L; Abad, ZG; Akulov, A; Alvarado, P; Alves, A; Andrade, JP; Arenas, F; Asenjo, C; Ballarà, J; Barrett, MD; Berná, LM; Berraf-Tebbal, A; Bianchinotti, MV; Bransgrove, K; Burgess, TI; Carmo, FS; Chávez, R; Cmoková, A; Dearnaley, JDW; Santiago, ALCMD; Freitas-Neto, JF; Denman, S; Douglas, B; Dovana, F; Eichmeier, A; Esteve-Raventós, F; Farid, A; Fedosova, AG; Ferisin, G; Ferreira, RJ; Ferrer, A; Figueiredo, CN; Figueiredo, YF; Reinoso-Fuentealba, CG; Garrido-Benavent, I; Canete-Gibas, CF; Gil-Durán, C; Glushakova, AM; Gonçalves, MFM; Gonzalez, M; Gorczak, M; Gorton, C; Guard, FE; Guarnizo, AL; Guarro, J; Gutiérrez, M; Hamal, P; Hien, LT; Hocking, AD; Houbraken, J; Hunter, GC; Inacio, CA; Jourdan, M; Kapitonov, VI; Kelly, L; Khanh, TN; Kislo, K; Kiss, L; Kiyashko, A; Kolarík, M; Kruse, J; Kubátová, A; Kucera, V; Kucerová, I; Kusan, I; Lee, HB; Levicán, G; Lewis, A; Liem, NV; Liimatainen, K; Lim, HJ; Lyons, MN; Maciá-Vicente, JG; Magaña-Dueñas, V; Mahiques, R; Malysheva, EF; Marbach, PAS; Marinho, P; Matocec, N; McTaggart, AR; Mesic, A; Morin, L; Munoz-Mohedano, JM; Navarro-Ródenas, A; Nicolli, CP; Oliveira, RL; Otsing, E; Ovrebo, CL; Pankratov, TA; Paños, A; Paz-Conde, A; Perez-Sierra, A; Phosri, C; Pintos, A; Posta, A; Prencipe, S; Rubio, E; Saitta, A; Sales, LS; Sanhueza, L; Shuttleworth, LA; Smith, J; Smith, ME; Spadaro, D; Spetik, M; Sochor, M; Sochorová, Z; Sousa, JO; Suwannasai, N; Tedersoo, L; Thanh, HM; Thao, LD; Tkalcec, Z; Vaghefi, N; Venzhik, AS; Verbeken, A; Vizzini, A; Voyron, S; Wainhouse, M; Whalley, AJS; Wrzosek, M; Zapata, M; Zeil-Rolfe, I; Groenewald, JZ</t>
  </si>
  <si>
    <t>Crous, P. W.; Wingfield, M. J.; Chooi, Y. -H.; Gilchrist, C. L. M.; Lacey, E.; Pitt, J. I.; Roets, F.; Swart, W. J.; Cano-Lira, J. F.; Valenzuela-Lopez, N.; Hubka, V.; Shivas, R. G.; Stchigel, A. M.; Holdom, D. G.; Jurjevic, Z.; Kachalkin, A. V.; Lebel, T.; Lock, C.; Martin, M. P.; Tan, Y. P.; Tomashevskaya, M. A.; Vitelli, J. S.; Baseia, I. G.; Bhatt, V. K.; Brandrud, T. E.; De Souza, J. T.; Dima, B.; Lacey, H. J.; Lombard, L.; Johnston, P. R.; Morte, A.; Papp, V.; Rodriguez, A.; Rodriguez-Andrade, E.; Semwal, K. C.; Tegart, L.; Abad, Z. G.; Akulov, A.; Alvarado, P.; Alves, A.; Andrade, J. P.; Arenas, F.; Asenjo, C.; Ballara, J.; Barrett, M. D.; Berna, L. M.; Berraf-Tebbal, A.; Bianchinotti, M. V.; Bransgrove, K.; Burgess, T. I.; Carmo, F. S.; Chavez, R.; Cmokova, A.; Dearnaley, J. D. W.; Santiago, A. L. C. M. de A.; Freitas-Neto, J. F.; Denman, S.; Douglas, B.; Dovana, F.; Eichmeier, A.; Esteve-Raventos, F.; Farid, A.; Fedosova, A. G.; Ferisin, G.; Ferreira, R. J.; Ferrer, A.; Figueiredo, C. N.; Figueiredo, Y. F.; Reinoso-Fuentealba, C. G.; Garrido-Benavent, I.; Canete-Gibas, C. F.; Gil-Duran, C.; Glushakova, A. M.; Goncalves, M. F. M.; Gonzalez, M.; Gorczak, M.; Gorton, C.; Guard, F. E.; Guarnizo, A. L.; Guarro, J.; Gutierrez, M.; Hamal, P.; Hien, L. T.; Hocking, A. D.; Houbraken, J.; Hunter, G. C.; Inacio, C. A.; Jourdan, M.; Kapitonov, V. I.; Kelly, L.; Khanh, T. N.; Kislo, K.; Kiss, L.; Kiyashko, A.; Kolarik, M.; Kruse, J.; Kubatova, A.; Kucera, V.; Kucerova, I.; Kusan, I.; Lee, H. B.; Levican, G.; Lewis, A.; Liem, N. V.; Liimatainen, K.; Lim, H. J.; Lyons, M. N.; Macia-Vicente, J. G.; Magana-Duenas, V.; Mahiques, R.; Malysheva, E. F.; Marbach, P. A. S.; Marinho, P.; Matocec, N.; McTaggart, A. R.; Mesic, A.; Morin, L.; Munoz-Mohedano, J. M.; Navarro-Rodenas, A.; Nicolli, C. P.; Oliveira, R. L.; Otsing, E.; Ovrebo, C. L.; Pankratov, T. A.; Panos, A.; Paz-Conde, A.; Perez-Sierra, A.; Phosri, C.; Pintos, A.; Posta, A.; Prencipe, S.; Rubio, E.; Saitta, A.; Sales, L. S.; Sanhueza, L.; Shuttleworth, L. A.; Smith, J.; Smith, M. E.; Spadaro, D.; Spetik, M.; Sochor, M.; Sochorova, Z.; Sousa, J. O.; Suwannasai, N.; Tedersoo, L.; Thanh, H. M.; Thao, L. D.; Tkalcec, Z.; Vaghefi, N.; Venzhik, A. S.; Verbeken, A.; Vizzini, A.; Voyron, S.; Wainhouse, M.; Whalley, A. J. S.; Wrzosek, M.; Zapata, M.; Zeil-Rolfe, I.; Groenewald, J. Z.</t>
  </si>
  <si>
    <t>Fungal Planet description sheets: 1042-1111</t>
  </si>
  <si>
    <t>PERSOONIA</t>
  </si>
  <si>
    <t>ITS nrDNA barcodes; LSU; new taxa; systematics</t>
  </si>
  <si>
    <t>MULTIPLE SEQUENCE ALIGNMENT; BAYESIAN PHYLOGENETIC INFERENCE; SP-NOV.; POWDERY MILDEW; POLYPHASIC TAXONOMY; GENUS; GENERA; DNA; IDENTIFICATION; MRBAYES</t>
  </si>
  <si>
    <t>Novel species of fungi described in this study include those from various countries as follows: Antarctica, Cladosporium arenosum from marine sediment sand. Argentina, Kosmimatamyces alatophylus (incl. Kosmimatamyces gen. nov.) from soil. Australia, Aspergillus banksianus, Aspergillus kumbius, Aspergillus luteorubrus, Aspergillus malvicolor and Aspergillus nanangensis from soil, Erysiphe medicaginis from leaves of Medicago polymorpha, Hymenotorrendiella communis on leaf litter of Eucalyptus bicostata, Lactifluus albopicri and Lactifluus austropiperatus on soil, Macalpinomyces collinsiae on Eriachne benthamii, Marasmius vagus on soil, Microdochium dawsoniorum from leaves of Sporobolus natalensis, Neopestalotiopsis nebuloides from leaves of Sporobolus elongatus, Pestalotiopsis etonensis from leaves of Sporobolus jacquemontii, Phytophthora personensis from soil associated with dying Grevillea mccutcheonii. Brazil, Aspergillus oxumiae from soil, Calvatia baixaverdensis on soil, Geastrum calycicoriaceum on leaf litter, Greeneria kielmeyerae on leaf spots of Kielmeyera coriacea. Chile, Phytophthora aysenensis on collar rot and stem of Aristotelia chilensis. Croatia, Mollisia gibbospora on fallen branch of Fagus sylvatica. Czech Republic, Neosetophoma hnaniceana from Buxus sempervirens. Ecuador, Exophiala frigidotolerans from soil. Estonia, Elaphomyces bucholtzii in soil. France, Venturia paralias from leaves of Euphorbia paralias. India, Cortinarius balteatoindicus and Cortinarius ulkhagarhiensis on leaf litter. Indonesia, Hymenotorrendiella indonesiana on Eucalyptus urophylla leaf litter. Italy, Penicillium taurinense from indoor chestnut mill. Malaysia, Hemileucoglossum kelabitense on soil, Satchmopsis pini on dead needles of Pinus tecunumanii. Poland, Lecanicillium praecognitum on insects' frass. Portugal, Neodevriesia aestuarina from saline water. Republic of Korea, Gongronella namwonensis from freshwater. Russia, Candida pellucida from Exomias pellucidus, Heterocephalacria septentrionalis as endophyte from Cladonia rangiferina, Vishniacozyma phoenicis from dates fruit, Volvariella paludosa from swamp. Slovenia, Mallocybe crassivelata on soil. South Africa, Beltraniella podocarpi, Hamatocanthoscypha podocarpi, Coleophoma podocarpi and Nothoseiridium podocarpi (incl. Nothoseiridium gen. nov.) from leaves of Podocarpus latifolius, Gyrothrix encephalarti from leaves of Encephalartos sp., Paraphyton cutaneum from skin of human patient, Phacidiella alsophilae from leaves of Alsophila capensis, and Satchmopsis metrosideri on leaf litter of Metrosideros excelsa. Spain, Cladophialophora cabanerensis from soil, Cortinarius paezii on soil, Cylindrium magnoliae from leaves of Magnolia grandiflora, Trichophoma cylindrospora (incl. Trichophoma gen. nov.) from plant debris, Tuber alcaracense in calcareus soil, Tuber buendiae in calcareus soil. Thailand, Annulohypoxylon spougei on corticated wood, Poaceascoma filiforme from leaves of unknown Poaceae. UK, Dendrostoma luteum on branch lesions of Castanea sativa, Ypsilina buttingtonensis from heartwood of Quercus sp. Ukraine, Myrmecridium phragmiticola from leaves of Phragmites australis. USA, Absidia pararepens from air, Juncomyces californiensis (incl. Juncomyces gen. nov.) from leaves of Juncus effusus, Montagnula cylindrospora from a human skin sample, Muriphila oklahomaensis (incl. Muriphila gen. nov.) on outside wall of alcohol distillery, Neofabraea eucalyptorum from leaves of Eucalyptus macrandra, Diabolocovidia claustri (incl. Diabolocovidia gen. nov. ) from leaves of Serenoa repens, Paecilomyces penicilliformis from air, Pseudopezicula betulae from leaves of leaf spots of Populus tremuloides. Vietnam, Diaporthe durionigena on branches of Durio zibethinus and Roridomyces pseudoirritans on rotten wood. Morphological and culture characteristics are supported by DNA barcodes.</t>
  </si>
  <si>
    <t>[Crous, P. W.; Lombard, L.; Houbraken, J.; Groenewald, J. Z.] Westerdijk Fungal Biodivers Inst, POB 85167, NL-3508 AD Utrecht, Netherlands; [Crous, P. W.; Wingfield, M. J.] Univ Pretoria, Forestry &amp; Agr Biotechnol Inst FABI, Fac Nat &amp; Agr Sci, Dept Biochem Genet &amp; Microbiol, Private Bag X20, ZA-0028 Pretoria, South Africa; [Chooi, Y. -H.; Gilchrist, C. L. M.] Univ Western Australia, Sch Chem &amp; Biochem, Perth, WA 6009, Australia; [Lacey, E.; Pitt, J. I.; Lacey, H. J.] Microbial Screening Technol, 28 Percival Rd, Smithfield, NSW 2164, Australia; [Roets, F.] Stellenbosch Univ, Dept Conservat Ecol &amp; Entomol, ZA-7600 Stellenbosch, South Africa; [Swart, W. J.] Univ Free State, Dept Plant Sci, Div Plant Pathol, POB 339, ZA-9300 Bloemfontein, South Africa; [Cano-Lira, J. F.; Valenzuela-Lopez, N.; Stchigel, A. M.; Rodriguez-Andrade, E.; Guarro, J.; Magana-Duenas, V.] Univ Rovira &amp; Virgili URV, Med Sch, Mycol Unit, Sant Llorenc 21, Tarragona 43201, Spain; [Cano-Lira, J. F.; Valenzuela-Lopez, N.; Stchigel, A. M.; Rodriguez-Andrade, E.; Guarro, J.; Magana-Duenas, V.] Univ Rovira &amp; Virgili URV, IISPV, Sant Llorenc 21, Tarragona 43201, Spain; [Valenzuela-Lopez, N.] Univ Antofagasta, Unidad Microbiol, Fac Ciencias Salud, Dept Tecnol Med, Av Univ Antofagasta, Antofagasta 02800, Chile; [Hubka, V.; Cmokova, A.; Kubatova, A.; Kucerova, I.] Charles Univ Prague, Dept Bot, Fac Sci, Prague 12801 2, Czech Republic; [Hubka, V.; Kolarik, M.] Czech Acad Sci, Lab Fungal Genet &amp; Metab, Inst Microbiol, Vvi Videnska 1083, Prague 14220 4, Czech Republic; [Shivas, R. G.; Dearnaley, J. D. W.; Kiss, L.; Kruse, J.; Vaghefi, N.] Univ Southern Queensland, Ctr Crop Hlth, Toowoomba, Qld 4350, Australia; [Holdom, D. G.; Lock, C.; Vitelli, J. S.] Biosecur Queensland, Dept Agr &amp; Fisheries, Dutton Pk 4102, Dutton Park, Qld 4102, Australia; [Jurjevic, Z.] EMSL Analyt Inc, 200 Route 130 North, Cinnaminson, NJ 08077 USA; [Kachalkin, A. V.; Glushakova, A. M.; Pankratov, T. A.; Venzhik, A. S.] Lomonosov Moscow State Univ, Leninskie Gory Str 1-12, Moscow 119234, Russia; [Kachalkin, A. V.; Tomashevskaya, M. A.] RAS, All Russian Collect Microorganisms, GK Skryabin Inst Biochem &amp; Physiol Microorganisms, Pr Nauki 5, Pushchino 142290, Russia; [Lebel, T.] Royal Bot Gardens Victoria, Private Bag 2000, Melbourne, Vic 3141, Australia; [Martin, M. P.] CSIC, Dept Micol, Real Jardin Bot, RJB, Plaza Murillo 2, Madrid 28014, Spain; [Tan, Y. P.; Bransgrove, K.] Plant Pathol Herbarium, Dept Agr &amp; Fisheries, Dutton Park, Qld 4102, Australia; [Baseia, I. G.] Univ Fed Rio Grande do Norte, Campus Univ, Dept Bot &amp; Zool, Ctr Biociencias, Campus Univ, BR-59072970 Natal, RN, Brazil; [Bhatt, V. K.] Navdanya, 105 Rajpur Rd, Dehra Dun, Uttarakhand, India; [Brandrud, T. E.] Norwegian Inst Nat Res, Gaustadalleen 21, NO-0349 Oslo, Norway; [De Souza, J. T.; Carmo, F. S.; Figueiredo, Y. F.; Nicolli, C. P.] Univ Fed Lavras, Lavras, MG, Brazil; [Dima, B.] Eotvos Lorand Univ, Inst Biol, Dept Plant Anat, Pazmany Peter Setany 1-C, H-1117 Budapest, Hungary; [Johnston, P. R.] Manaaki Whenua Landcare Res, Private Bag 92170, Auckland 1142, New Zealand; [Morte, A.; Rodriguez, A.; Arenas, F.; Berna, L. M.; Guarnizo, A. L.; Munoz-Mohedano, J. M.; Navarro-Rodenas, A.; Panos, A.] Univ Murcia, Fac Biol, Dept Biol Vegetal Bot, Murcia 30100, Spain; [Papp, V.] Szent Istvan Univ, Fac Hort Sci, Dept Bot, POB 53, H-1518 Budapest, Hungary; [Semwal, K. C.] Eritrea Inst Technol, Dept Biol, Coll Sci, Asmera, Eritrea; [Tegart, L.] Univ Tasmania, Menzies Inst Med Res, Hobart, Tas, Australia; [Abad, Z. G.] USDA, APHIS, PPQ, Sci &amp; Technol Beltsville Lab, Bldg 580-East,Powder Mill Rd, Beltsville, MD 20705 USA; [Akulov, A.] Kharkov Natl Univ, Dept Mycol &amp; Plant Resistance, Maidan Svobody 4, UA-61022 Kharkiv, Ukraine; [Alvarado, P.] ALVALAB, Dr Fernando Bongera St,Severo Ochoa Bldg S1-04, Oviedo 33006, Spain; [Alves, A.; Goncalves, M. F. M.] Univ Aveiro, Dept Biol, CESAM, P-3810193 Aveiro, Portugal; [Andrade, J. P.] Univ Estadual Feira de Santana, Salvador, Brazil; [Andrade, J. P.] Fac Integradas Sergipe, Sergipe, Brazil; [Asenjo, C.; Gutierrez, M.] Serv Agr &amp; Ganadero, Lab Reg Osorno, Unidad Fitopatol, Ruta Puerto Octay U-55-V, Osorno, Chile; [Ballara, J.] C Tossalet Forques 44, E-08600 Berga, Catalonia, Spain; [Barrett, M. D.] James Cook Univ, Australian Trop Herbarium, Smithfield, Qld 4878, Australia; [Berraf-Tebbal, A.; Eichmeier, A.; Spetik, M.] Mendel Univ Brno, Inst Genet, MENDELEUM, Valticka 69144, Czech Republic; [Bianchinotti, M. V.; Reinoso-Fuentealba, C. G.] Univ Nacl Sur DBBF UNS, Ctr Recursos Nat Renovables Zona Semiarida, Lab Micol Fitopatol &amp; Control Biol CERZOS CONICET, Camino Carrindanga,Km 7 Dto Biol Bioquim Farm, Bahia Blanca, Buenos Aires, Argentina; [Burgess, T. I.] Murdoch Univ, Harry Butler Inst, Ctr Climate Impacted Terr Ecosyst, Phytophthora Sci &amp; Management, Murdoch, WA 6150, Australia; [Chavez, R.; Gil-Duran, C.; Levican, G.] Univ Santiago Chile USACH, Fac Quim &amp; Biol, Alameda 3363, Santiago 9170022, Chile; [Santiago, A. L. C. M. de A.] Univ Fed Pernambuco, Dept Mycol, Recife, PE, Brazil; [Freitas-Neto, J. F.; Sousa, J. O.] Univ Fed Rio Grande do Norte, Natal, RN, Brazil; [Denman, S.; Gorton, C.; Lewis, A.; Perez-Sierra, A.; Shuttleworth, L. A.] Alice Holt Lodge, Forest Res, Farnham GU10 4LH, Surrey, England; [Douglas, B.; Liimatainen, K.] Royal Bot Gardens, Jodrell Lab, Richmond TW9 3AB, Surrey, England; [Dovana, F.; Voyron, S.] Univ Turin, Dept Life Sci &amp; Syst Biol, Viale PA Mattioli 25, I-10125 Turin, Italy; [Esteve-Raventos, F.] Univ Alcala, Dept Ciencias Vida, Campus Univ 28805, Alcala De Henares, Madrid, Spain; [Farid, A.] Herbarium, Dept Cell Microbiol &amp; Mol Biol, 4202 E Fowler Ave, Tampa, FL 33620 USA; [Fedosova, A. G.; Kiyashko, A.; Malysheva, E. F.] Russian Acad Sci, Komarov Bot Inst, 2 Prof Popov Str, St Petersburg 197376, Russia; [Ferisin, G.] Via A Vespucci 7, I-33052 Cervignano Del Friuli, UD, Italy; [Ferreira, R. J.] Univ Fed Pernambuco, Dept Micol, BR-50670420 Recife, PE, Brazil; [Ferrer, A.; Sanhueza, L.] Univ Mayor, Fac Estudios Interdisciplinarios Nucl Quim &amp; Bioq, Santiago, Chile; [Figueiredo, C. N.; Marbach, P. A. S.; Sales, L. S.] Univ Fed Reconcavo Bahia, Salvador, Brazil; [Garrido-Benavent, I.] CSIC, Dept Biogeochem &amp; Microbial Ecol, Natl Museum Nat Sci, E-28002 Madrid, Spain; [Canete-Gibas, C. F.] Univ Texas Hlth Sci Ctr San Antonio, Dept Pathol &amp; Lab Med, Long Sch Med, Fungus Testing Lab, 7703 Floyd Curl Dr, San Antonio, TX 78229 USA; [Glushakova, A. M.] Mechnikov Res Inst Vaccines &amp; Sera, Maly Kazenny By St 5A, Moscow 105064, Russia; [Gonzalez, M.] Torrecerredo 11 1F, Gijon 33211, Spain; [Gorczak, M.; Kislo, K.] Univ Warsaw, Inst Evolutionary Biol, Fac Biol, Zwirki &amp; Wigury 101, PL-02089 Warsaw, Poland; [Hamal, P.] Palacky Univ, Fac Med &amp; Dent, Dept Microbiol, Olomouc, Czech Republic; [Hien, L. T.; Khanh, T. N.; Liem, N. V.; Thanh, H. M.; Thao, L. D.] Plant Protect Res Inst PPRI, Div Plant Pathol, Hanoi, Vietnam; [Hocking, A. D.] CSIRO Agr &amp; Food, N Ryde, NSW 2113, Australia; [Hunter, G. C.; Morin, L.; Zeil-Rolfe, I.] CSIRO Hlth &amp; Biosecur, GPO Box 1700, Canberra, ACT 2601, Australia; [Inacio, C. A.] Fed &amp; Rural Univ Rio Janeiro, Seroped, Rio De Janeiro, Brazil; [Jourdan, M.] CSIRO European Lab, Campus Int Baillarguet, F-34980 Montferrier Sur Lez, France; [Kapitonov, V. I.] Russian Acad Sci, Tobolsk Complex Sci Stn, Ural Branch, 15 Acad Yuri Osipov Str, Tobolsk 626152, Russia; [Kelly, L.] Queensland Govt, Dept Agr &amp; Fisheries, Toowoomba, Qld 4350, Australia; [Kucera, V.] Slovak Acad Sci, Inst Bot, Plant Sci &amp; Biodivers Ctr, Dubravska Cesta 9, Bratislava 84523, Slovakia; [Kusan, I.; Matocec, N.; Mesic, A.; Posta, A.; Tkalcec, Z.] Rudjer Boskovic Inst, Bijenicka Cesta 54, Zagreb 10000, Croatia; [Lee, H. B.; Lim, H. J.] Chonnam Natl Univ, Dept Agr Biol Chem, Coll Agr &amp; Life Sci, Environm Microbiol Lab, Gwangju 61186, South Korea; [Lyons, M. N.] Dept Biodivers Conservat &amp; Attract, Ecosyst Sci, Kensington, NSW 6151, Australia; [Macia-Vicente, J. G.] Goethe Univ Frankfurt, Inst Ecol Evolut &amp; Div, Max Von Laue Str 13, D-60438 Frankfurt, Germany; [Mahiques, R.] C Dr Climent 26, E-46837 Valencia, Spain; [Marinho, P.] Univ Fed Rio Grande do Norte, Dept Biol Celular &amp; Genet, Natal, RN, Brazil; [McTaggart, A. R.] Univ Queensland, Queensland Alliance Agr &amp; Food Innovat, Brisbane, Qld 4102, Australia; [Oliveira, R. L.] Univ Fed Rio Grande do Norte, Ctr Biociencias, Av Senador Salgado Filho 3000, BR-59072970 Natal, RN, Brazil; [Otsing, E.; Tedersoo, L.] Univ Tartu, Inst Ecol &amp; Earth Sci, Dept Bot, 40 Lai St, EE-51005 Tartu, Estonia; [Ovrebo, C. L.] Univ Cent Oklahoma, Dept Biol, Edmond, OK 73034 USA; [Pankratov, T. A.] Russian Acad Sci, SN Winogradsky Inst Microbiol, Res Ctr Biotechnol, Moscow 119071, Russia; [Paz-Conde, A.] Agropacio Micolog Berguedana, Carrera Vall Ter 791,Apto Correos 6, Girona 17455, Spain; [Phosri, C.] Nakhon Phanom Univ, Biol Programme, Fac Sci, Nakhon Phanom 48000, Thailand; [Pintos, A.] Univ Illes Balears, Interdisciplinary Ecol Grp, Ctra Valldemossa Km 7-5, Illes Balears 07122, Spain; [Prencipe, S.; Spadaro, D.] Univ Turin, Dept Agr Forestry &amp; Food Sci, Largo Paolo Braccini 2, I-10095 Turin, Italy; [Rubio, E.] Jose Cueto 3 5B, Aviles 33401, Spain; [Saitta, A.] Univ Palermo, Dept Agr Food &amp; Forest Sci, Viale Sci, I-90128 Palermo, Italy; [Smith, J.] Univ Florida, Sch Forest Resources &amp; Conservat, Gainesville, FL 32611 USA; [Smith, M. E.] Dept Plant Pathol, 2527 Fifield Hall, Gainesville, FL 32611 USA; [Smith, M. E.] Florida Museum Nat Hist, 2527 Fifield Hall, Gainesville, FL 32611 USA; [Sochor, M.] Crop Res Inst, Ctr Reg Hana Biotechnol &amp; Agr Res, Slechtitelu 29, Olomouc 78371, Czech Republic; [Sochorova, Z.] Palacky Univ Olomouc, Dept Bot, Fac Sci, Slechtitelu 27, Olomouc 78371, Czech Republic; [Suwannasai, N.] Srinakharinwirot Univ, Dept Microbiol, Fac Sci, Bangkok 10110, Thailand; [Verbeken, A.] Univ Ghent, Campus Ledeganck, Ghent, Belgium; [Vizzini, A.] CNR, Inst Sustainable Plant Protect IPSP, Viale PA Mattioli 25, I-10125 Turin, Italy; [Wainhouse, M.] Cardiff Univ, Sch Biosci, Organisms &amp; Environm Res Div, Cardiff, Wales; [Whalley, A. J. S.] Liverpool John Moores, Sch Pharm &amp; Biomol Sci, Byrom St, Liverpool L33 AF, Merseyside, England; [Wrzosek, M.] Univ Warsaw, Bot Garden, Fac Biol, Aleje Ujazdowskie 4, PL-00478 Warsaw, Poland; [Zapata, M.] Serv Agr &amp; Ganadero, Lab Reg Chillan, Unidad Fitopatol, Claudio Arrau 738, Chillan 3800773, Chile</t>
  </si>
  <si>
    <t>University of Pretoria; University of Western Australia; Stellenbosch University; University of the Free State; Universitat Rovira i Virgili; Universitat Rovira i Virgili; Institut d'Investigacio Sanitaria Pere Virgili (IISPV); Universidad de Antofagasta; Charles University Prague; Czech Academy of Sciences; Institute of Microbiology of the Czech Academy of Sciences; University of Southern Queensland; Queensland Department of Agriculture &amp; Fisheries; Lomonosov Moscow State University; Russian Academy of Sciences; Pushchino Scientific Center for Biological Research (PSCBI) of the Russian Academy of Sciences; Melbourne Genomics Health Alliance; Consejo Superior de Investigaciones Cientificas (CSIC); CSIC - Real Jardin Botanico de Madrid; Universidade Federal do Rio Grande do Norte; Norwegian Institute Nature Research; Universidade Federal de Lavras; Eotvos Lorand University; Landcare Research - New Zealand; University of Murcia; Hungarian University of Agriculture &amp; Life Sciences; University of Tasmania; Menzies Institute for Medical Research; United States Department of Agriculture (USDA); Ministry of Education &amp; Science of Ukraine; VN Karazin Kharkiv National University; Universidade de Aveiro; Universidade Estadual de Feira de Santana; James Cook University; Mendel University in Brno; Murdoch University; Universidade Federal de Pernambuco; Universidade Federal do Rio Grande do Norte; Royal Botanic Gardens, Kew; University of Turin; Universidad de Alcala; Russian Academy of Sciences; Komarov Botanical Institute, Russian Academy of Sciences; Universidade Federal de Pernambuco; Universidad Mayor; Universidade Federal do Reconcavo da Bahia; Consejo Superior de Investigaciones Cientificas (CSIC); University of Texas System; University of Texas Health Science Center at San Antonio; Russian Academy of Medical Sciences; Research Institute of Vaccines and Sera Mechnikov, RAMS; University of Warsaw; Palacky University Olomouc; Commonwealth Scientific &amp; Industrial Research Organisation (CSIRO); Commonwealth Scientific &amp; Industrial Research Organisation (CSIRO); Commonwealth Scientific &amp; Industrial Research Organisation (CSIRO); Russian Academy of Sciences; Tobolsk Complex Scientific Station Ural Branch of the Russian Academy of Sciences; Slovak Academy of Sciences; Rudjer Boskovic Institute; Chonnam National University; Goethe University Frankfurt; Universidade Federal do Rio Grande do Norte; University of Queensland; Universidade Federal do Rio Grande do Norte; University of Tartu; Tartu University Institute of Ecology &amp; Earth Sciences; University of Central Oklahoma; Research Center of Biotechnology RAS; Russian Academy of Sciences; Nakhon Phanom University; Universitat de les Illes Balears; University of Turin; University of Palermo; State University System of Florida; University of Florida; Czech Crop Research Institute (CRI); Palacky University Olomouc; Srinakharinwirot University; Ghent University; Consiglio Nazionale delle Ricerche (CNR); Istituto per la Protezione Sostenibile delle Piante (IPSP-CNR); Cardiff University; Liverpool John Moores University; University of Warsaw</t>
  </si>
  <si>
    <t>Crous, PW (corresponding author), Westerdijk Fungal Biodivers Inst, POB 85167, NL-3508 AD Utrecht, Netherlands.</t>
  </si>
  <si>
    <t>Spadaro, Davide/F-1994-2011; Burgess, Treena/AAB-9587-2021; Smith, Jason/KFS-8741-2024; Andrade, Ernesto Rodríguez/AAQ-9749-2021; Dovana, Francesco/AAR-9737-2021; Sochor, Michal/G-7270-2016; Tegart, Lachlan/GSO-0216-2022; Vaghefi, Niloofar/GLS-1601-2022; Tkalčec, Zdenko/ABF-2269-2020; Garrido-Benavent, Isaac/AAA-1982-2020; Wingfield, Michael J/A-9473-2008; Lacey, Heather/HGD-1305-2022; Čmoková, Adéla/S-2000-2017; Malysheva, Ekaterina F./H-5582-2013; Macia-Vicente, Jose Gaspar/I-5665-2019; Hamal, Petr/A-7067-2008; Roets, Francois/HMP-4294-2023; Cano-Lira, José F./ABB-5724-2020; Kapitonov, Vladimir/AAZ-7939-2020; JIMÉNEZ, FRANCISCO ARENAS/ABG-1085-2020; Dijksterhuis, Jan/AAQ-3652-2020; Kapitonov, Vladimir/JAC-4422-2023; Crous, Pedro/ISB-2589-2023; Johnston, Peter/GZL-2513-2022; Tedersoo, Leho/ABE-7452-2020; Semwal, Kamal/ABB-4068-2021; Chooi, Yit Heng/D-4338-2013; Hamal, Petr/AAI-7678-2020; Morte, Asunción/L-4536-2014; Špetík, Milan/AAE-1406-2021; Sousa, Julieth/AAR-1504-2021; Alvarado, Pablo/K-4736-2014; Groenewald, Johannes Z/F-4667-2011; Posta, Ana/ABC-6172-2020; BERRAF-TEBBAL, AKILA/AAJ-3917-2021; Valenzuela-Lopez, Nicomedes/AAA-1586-2019; Eichmeier, Aleš/F-1209-2016; Marbach, Phellippe/AAL-1590-2021; Mešić, Armin/AAJ-1858-2020; McTaggart, Alistair R/A-8871-2014; Fedosova, Anna G./Q-8087-2016; Alves, Artur/C-3645-2008; VOYRON, Samuele/ABG-2929-2020; Hiền, Lê Thị Thu/JXM-4775-2024; Tedersoo, Leho/H-3541-2012; Smith, Matthew Edward/A-8115-2012; Kiyashko, Anna A./AAT-9200-2021; Prencipe, Simona/ABD-9525-2020; Kusan, Ivana/ABF-2341-2020; Houbraken, Jos/AAE-7955-2019; Gonçalves, Micael/AAC-3520-2022; Tomashevskaya, Maria/AAT-5662-2021; Kolařík, Miroslav/A-1680-2008; Santiago, Andre/IQW-1088-2023; Kachalkin, Aleksey/D-6023-2013; Matocec, Neven/ABF-2261-2020; Johnston, Peter/AAP-6300-2021; Glushakova, AnnaM/ABH-7107-2020; Pérez Sierra, Ana/AAE-9414-2021; INÁCIO, CARLOS ANTONIO/H-1965-2017; Vaghefi, Niloofar/B-2349-2019; Gilchrist, Cameron/C-2833-2018; Stchigel, Alberto Miguel/G-1261-2016; Ferreira, Renato Juciano/P-6887-2017; Kiss, Levente/Q-3786-2018; Hubka, Vit/L-4124-2014</t>
  </si>
  <si>
    <t>Spadaro, Davide/0000-0001-5207-9345; Burgess, Treena/0000-0002-7962-219X; Sochor, Michal/0000-0002-6525-1295; Garrido-Benavent, Isaac/0000-0002-5230-225X; Lacey, Heather/0000-0001-5332-8470; Macia-Vicente, Jose Gaspar/0000-0002-7174-7270; Hamal, Petr/0000-0002-5361-8125; Cano-Lira, José F./0000-0003-4495-4394; JIMÉNEZ, FRANCISCO ARENAS/0000-0001-5850-1105; Dijksterhuis, Jan/0000-0002-2649-1704; Semwal, Kamal/0000-0001-7748-8911; Chooi, Yit Heng/0000-0001-7719-7524; Hamal, Petr/0000-0002-5361-8125; Špetík, Milan/0000-0001-7659-8852; Groenewald, Johannes Z/0000-0002-9474-6246; Valenzuela-Lopez, Nicomedes/0000-0002-6159-8558; Eichmeier, Aleš/0000-0001-7358-3903; Mešić, Armin/0000-0002-4479-600X; McTaggart, Alistair R/0000-0002-0996-1313; Alves, Artur/0000-0003-0117-2958; VOYRON, Samuele/0000-0001-6921-9519; Smith, Matthew Edward/0000-0002-0878-0932; Houbraken, Jos/0000-0003-4893-4438; Gonçalves, Micael/0000-0003-2295-3374; Kachalkin, Aleksey/0000-0002-4494-2468; Johnston, Peter/0000-0003-0761-9116; Glushakova, AnnaM/0000-0002-4116-4445; Pérez Sierra, Ana/0000-0001-5403-1433; Gil-Duran, Carlos Andres/0000-0001-9638-6902; Vaghefi, Niloofar/0000-0003-0430-4856; Lebel, Teresa/0000-0002-8592-1102; Le Dinh, Thao/0000-0001-8170-5501; Gilchrist, Cameron/0000-0001-7798-427X; Kislo, Kamil/0000-0002-7569-0072; Bransgrove, Kaylene/0000-0003-0479-8286; Bianchinotti, Maria Virginia/0000-0002-8981-5841; Sousa, Julieth/0000-0002-9874-5419; Lewis, Alex/0000-0003-2934-6921; Tegart, Lachlan/0000-0003-2727-3976; Alvarado, Pablo/0000-0001-7462-5271; Roets, Francois/0000-0003-3849-9057; Pankratov, Timofey/0000-0002-6636-6449; Otsing, Eveli/0000-0001-7416-257X; Kelly, Lisa/0000-0002-2310-8597; Kapitonov, Vladimir/0000-0002-5074-8522; Stchigel, Alberto Miguel/0000-0003-3987-7996; Smith, Jason/0000-0001-7950-1964; Wrzosek, Marta/0000-0002-5871-5020; Navarro Rodenas, Alfonso/0000-0001-9123-4547; MARINHO, Paulo/0000-0001-9232-0607; Ferreira, Renato Juciano/0000-0002-9786-2226; Rodriguez, Antonio/0000-0002-0708-7773; Dearnaley, John/0000-0001-9842-727X; Kiss, Levente/0000-0002-4785-4308; Hubka, Vit/0000-0003-4583-6496; Shivas, Roger/0000-0001-7494-8716; Gorczak, Michal/0000-0003-4863-737X; BERRAF-TEBBAL, AKILA/0000-0001-8517-8542; Luigi, Angel/0000-0002-2486-2348; Matocec, Neven/0000-0002-9235-939X; dovana, francesco/0000-0002-8556-7692</t>
  </si>
  <si>
    <t>IFS, NRCT; Cooperative Research Centres Projects scheme, Canberra, Australia [CRCPFIVE000119]; Coordination of Improvement of Higher Level Personnel (CAPES); National Council for Scientific and Technological Development (CNPq) [409960/2016-0, 407474/2013-7]; Russian Science Foundation [19-74-10002]; German Research Foundation [MA7171/1-1]; Fondo de Desarrollo a la Publicacion, Universidad Mayor [FDP PEP I-2019076]; CONICYTPFCHA/Doctorado Nacional [2014-63140056]; Chilean Antarctic Institute [INACH RT_31-16]; ELTE Institutional Excellence Program; National Research, Development and Innovation Office in Hungary [NKFIH-1157-8/2019-DT]; Uttarakhand State Council for Science and Technology (UCoST), Dehradun, Uttarakhand, India [UCS&amp;T/R&amp;D/LS-1/12-13/4912]; Spanish Ministerio de Economia y Competitividad [CGL2017-88094-P]; Coordenacao de Aperfeicoamento de Pessoal de Nivel Superior (CAPES-Brazil); Conselho Nacional de Desenvolvimento Cientifico e Tecnologico (CNPq, Brazilian agency) [PVE -407474/2013-7]; Graduate Program for the Undiscovered Taxa of Korea - NIBR of the Ministry of Environment (MOE) of Korea; grant agency VEGA [2/0061/19]; Palacky University [IGA-PrF-2020-003]; Ministry of Agriculture, the Czech Republic [RO0418]; Willis Summer student internship at the Royal Botanic Gardens Victoria; Australasian Biological Resources Study [RFL217-63]; Bioplatforms Australia; Cooley and Lakela Foundation Funds; Ministry of Science and Higher Education through the Faculty of Biology, University of Warsaw [DSM 0117600-13]; Ministry of Science and Higher Education [DI2014012344]; National Science Centre, Poland [2016/23/8/NZ8/00897]; Croatian Science Foundation [HRZZ-IP-2018-01-1736, HRZZ-2018-09-7081]; Ministry of Education, Youth and Sports of CR [CZ.1.05/1.1.00/02.0109]; ERDF; Charles University Research Centre program [204069]; Portuguese Foundation for Science and Technology (FCT) [UIDB/50017/2020+UIDP/50017/2020]; Czech Republic [TJ02000096]; Charles University Grant Agency [GAUK 80518]; Czech Ministry of Health [AZV 17-31269A]; Komarov Botanical Institute [AAAA-A19-119020890079-6]; Tobolsk Complex Scientific Station of the Ural Branch of the Russian Academy of Sciences [N AAAA-A19-119011190112-5]; Russian Foundation for Basic Research [19-04-00297a]; AEI/FEDER, UE [CGL201678946-R]; Fundacion Seneca -Agencia de Ciencia y Tecnologia de la Region de Murcia [20866/PI/18]; Australian Government via the Rural Industries Research and Development Corporation; NSW Government through its Environmental Trust; USDA NIFA McIntire-Stennis project [1011527]; AgriFutures Australia - Australian Government Department of Agriculture, Water and the Environment as part of its Rural RAMP;D for Profit program [PRJ 15-02-005]; Queensland Department of Agriculture and Fisheries; New South Wales Department of Primary Industries; NSW Weed Biocontrol Taskforce; Bundaberg Regional Council; Gladstone Regional Council; HQPlantations Pty Ltd.; Manaaki Whenua Systematics Portfolio; Science and Innovation Group of the New Zealand Ministry of Business, Innovation and Employment; [CGL2015-67459-P]; [SFRH/BD/129020/2017]; Fundação para a Ciência e a Tecnologia [SFRH/BD/129020/2017] Funding Source: FCT</t>
  </si>
  <si>
    <t>IFS, NRCT; Cooperative Research Centres Projects scheme, Canberra, Australia(Australian GovernmentDepartment of Industry, Innovation and ScienceCooperative Research Centres (CRC) Programme); Coordination of Improvement of Higher Level Personnel (CAPES)(Coordenacao de Aperfeicoamento de Pessoal de Nivel Superior (CAPES)); National Council for Scientific and Technological Development (CNPq)(Conselho Nacional de Desenvolvimento Cientifico e Tecnologico (CNPQ)); Russian Science Foundation(Russian Science Foundation (RSF)); German Research Foundation(German Research Foundation (DFG)); Fondo de Desarrollo a la Publicacion, Universidad Mayor; CONICYTPFCHA/Doctorado Nacional; Chilean Antarctic Institute; ELTE Institutional Excellence Program; National Research, Development and Innovation Office in Hungary; Uttarakhand State Council for Science and Technology (UCoST), Dehradun, Uttarakhand, India; Spanish Ministerio de Economia y Competitividad(Spanish Government); Coordenacao de Aperfeicoamento de Pessoal de Nivel Superior (CAPES-Brazil)(Coordenacao de Aperfeicoamento de Pessoal de Nivel Superior (CAPES)); Conselho Nacional de Desenvolvimento Cientifico e Tecnologico (CNPq, Brazilian agency)(Conselho Nacional de Desenvolvimento Cientifico e Tecnologico (CNPQ)); Graduate Program for the Undiscovered Taxa of Korea - NIBR of the Ministry of Environment (MOE) of Korea(Ministry of Environment (ME), Republic of Korea); grant agency VEGA(Vedecka grantova agentura MSVVaS SR a SAV (VEGA)); Palacky University; Ministry of Agriculture, the Czech Republic(Ministry of Agriculture, Czech Republic); Willis Summer student internship at the Royal Botanic Gardens Victoria; Australasian Biological Resources Study; Bioplatforms Australia; Cooley and Lakela Foundation Funds; Ministry of Science and Higher Education through the Faculty of Biology, University of Warsaw; Ministry of Science and Higher Education(Ministry of Science and Higher Education, Poland); National Science Centre, Poland(National Science Centre, Poland); Croatian Science Foundation; Ministry of Education, Youth and Sports of CR(Ministry of Education, Youth &amp; Sports - Czech Republic); ERDF(European Union (EU)); Charles University Research Centre program; Portuguese Foundation for Science and Technology (FCT)(Fundacao para a Ciencia e a Tecnologia (FCT)); Czech Republic(Czech Republic Government); Charles University Grant Agency; Czech Ministry of Health(Ministry of Health, Czech Republic); Komarov Botanical Institute(Russian Academy of Sciences); Tobolsk Complex Scientific Station of the Ural Branch of the Russian Academy of Sciences; Russian Foundation for Basic Research(Russian Foundation for Basic Research (RFBR)Spanish Government); AEI/FEDER, UE; Fundacion Seneca -Agencia de Ciencia y Tecnologia de la Region de Murcia(Fundacion Seneca); Australian Government via the Rural Industries Research and Development Corporation; NSW Government through its Environmental Trust; USDA NIFA McIntire-Stennis project; AgriFutures Australia - Australian Government Department of Agriculture, Water and the Environment as part of its Rural RAMP;D for Profit program; Queensland Department of Agriculture and Fisheries; New South Wales Department of Primary Industries; NSW Weed Biocontrol Taskforce; Bundaberg Regional Council; Gladstone Regional Council; HQPlantations Pty Ltd.; Manaaki Whenua Systematics Portfolio; Science and Innovation Group of the New Zealand Ministry of Business, Innovation and Employment(New Zealand Ministry of Business, Innovation and Employment (MBIE)); ; ; Fundação para a Ciência e a Tecnologia(Fundacao para a Ciencia e a Tecnologia (FCT))</t>
  </si>
  <si>
    <t>Nuttika Suwannasai and colleagues thank Mongkol Kamsook for the photograph of the Phu Khiao Wildlife Sanctuary; the study was partially supported by IFS, NRCT and CGL2015-67459-P projects. The study of John I. Pitt and colleagues was funded in part by the Cooperative Research Centres Projects scheme (CRCPFIVE000119), Canberra, Australia. Financial support was provided to Renan L. Oliveira and Renato J. Ferreira by the Coordination of Improvement of Higher Level Personnel (CAPES), and to Iuri G. Baseia, Paulo S. M. Lucio and Maria P. Martin by the National Council for Scientific and Technological Development (CNPq) under CNPq-Universal 2016 (409960/2016-0) and CNPq-visiting researcher (407474/2013-7). This study of Aleksey V. Kachalkin and colleagues was supported by the Russian Science Foundation (grant No. 19-74-10002). Jose G. Macia-Vicente acknowledges support from the German Research Foundation under grant MA7171/1-1, and thanks the authorities of the Cabaneros National Park, especially A. Gomez Manzaneque, for granting the collection permit and for support during the sampling. Loreto Sanhueza thanks the support of Fondo de Desarrollo a la Publicacion (FDP PEP I-2019076), Universidad Mayor. Carlos Gil-Duran thanks doctoral fellowship CONICYTPFCHA/Doctorado Nacional/2014-63140056. Gloria Levican thanks grant INACH RT_31-16 from Chilean Antarctic Institute. Renato Chavez thanks DICYT-USACH and project INACH RG_03-14. The study of Balint Dima was partly supported by the ELTE Institutional Excellence Program supported by the National Research, Development and Innovation Office (NKFIH-1157-8/2019-DT) in Hungary. Kamal C. Semwal and Vinod K. Bhatt are grateful to the Uttarakhand State Council for Science and Technology (UCoST), Dehradun, Uttarakhand, India for the financial support under the project no. UCS&amp;T/R&amp;D/LS-1/12-13/4912, entitled Collection, Identification, Documentation of Wild Edible and Medicinal Mushrooms of Garhwal Himalaya of Uttarakhand. The study of Ernesto Rodriguez-Andrade, Nicomedes Valenzuela-Lopez and colleagues was supported by the Spanish Ministerio de Economia y Competitividad, grant CGL2017-88094-P. Coordenacao de Aperfeicoamento de Pessoal de Nivel Superior (CAPES-Brazil) are thanked for the scholarships awarded to Julimar Freitas-Neto, and Conselho Nacional de Desenvolvimento Cientifico e Tecnologico (CNPq, Brazilian agency) for providing financial support for the Projeto Pesquisador Visitante Especial (PVE -407474/2013-7). The Smithsonian Tropical Research Institute is thanked for granting permission to collect on the Barro Colorado Nature Monument. The study of Hyang Burm Lee and colleagues was supported by the Graduate Program for the Undiscovered Taxa of Korea, funded by NIBR of the Ministry of Environment (MOE) of Korea. Viktor Kucera and colleagues collected material under the permit no. NCCD.907.4.4(JLD.13)-337 issued by the Sarawak Forestry Department. Financial support was provided by grant agency VEGA (project 2/0061/19) to Viktor Kucera and by an internal grant from Palacky University (IGA-PrF-2020-003) to Zuzana Sochorova. Michal Sochor was supported by grant no. RO0418 from Ministry of Agriculture, the Czech Republic. Zuzana Sochorova thanks Habibah Salleh for cooperation. Teresa Lebel and Lachlan Tegart thank the curation staff at RBGV, PERTH and BRI for their help with loans and processing of collections, Geoff Lay, Matt Barrett and Fran Guard for the background images, Vanessa Ryan for assistance with photos.; r Lachlan Tegart was funded through a Willis Summer student internship at the Royal Botanic Gardens Victoria. Australasian Biological Resources Study (RFL217-63) and Bioplatforms Australia funding supported part of this research. Thank you also to Matthew Barrett for providing sequences and collection information for Northern Territory material for this project. Jonathan Martin and Jessica Malka are thanked for providing specimens for this research. Funding for sequencing (USF) was provided by the Cooley and Lakela Foundation Funds. Michal Gorczak was financially supported by the Ministry of Science and Higher Education through the Faculty of Biology, University of Warsaw intramural grant DSM 0117600-13 and Ministry of Science and Higher Education grant no. DI2014012344. Michal Gorczak would also like to thank Malgorzata Klemes for sharing a photo of Bialowieza Forest logging site. Marta Wrzosek was partially supported by National Science Centre, Poland, grant 2016/23/8/NZ8/00897. Ditte Bandini (Wiesenbach, Germany) is thanked for providing useful information on Mallocybe pallidotomentosa. Ivana Kusan, Neven Matocec, Ana Posta, Zdenko Tkalcec, and Armin Mesic are grateful to Croatian Science Foundation for their financial support under the project grant HRZZ-IP-2018-01-1736 (ForFungiDNA) and Public Institution Paklenica National Park for their fieldwork support. Ana Posta thanks Croatian Science Foundation for their support under the grant HRZZ-2018-09-7081. Vit Hubka was supported by the project BIOCEV (CZ.1.05/1.1.00/02.0109) provided by the Ministry of Education, Youth and Sports of CR and ERDF and by the Charles University Research Centre program No. 204069. Micael F.M. Goncalves and Artur Alves acknowledge financial support from the Portuguese Foundation for Science and Technology (FCT) to CESAM (UIDB/50017/2020+UIDP/50017/2020) and the PhD grant of M. Goncalves (SFRH/BD/129020/2017). Milan Spetik and colleagues were supported by the Czech Republic, project No. TJ02000096. Ivana Kucerova was supported by the Charles University Grant Agency (grant No. GAUK 80518). Petr Hamal was supported by the grant of the Czech Ministry of Health (AZV 17-31269A). Anna Kiyashko expresses appreciation to Olga V. Morozova and Ekaterina F. Malysheva for valuable comments. The research of Anna Kiyashko, Anna Fedosova and Ekaterina Malysheva was done using equipment of The Core Facilities Center `Cell and Molecular Technologies in Plant Science' at the Komarov Botanical Institute RAS (St.-Petersburg, Russia) as a part of the research project of the Komarov Botanical Institute (AAAA-A19-119020890079-6). The study of Vladimir I. Kapitonov was conducted under research projects of Tobolsk Complex Scientific Station of the Ural Branch of the Russian Academy of Sciences (N AAAA-A19-119011190112-5). The research of T.A. Pankratov has been supported by the Russian Foundation for Basic Research (grant No. 19-04-00297a). Asuncion Morte is grateful to AEI/FEDER, UE (CGL201678946-R) and Fundacion Seneca -Agencia de Ciencia y Tecnologia de la Region de Murcia (20866/PI/18) for financial support. Gavin C. Hunter and colleagues acknowledge the Australian Government via the Rural Industries Research and Development Corporation and the NSW Government through its Environmental Trust for financial support. The authors also acknowledge the valuable contributions of John Scott (CSIRO) who laid the foundation underpinning this research. Matthew E. Smith's participation was supported by the USDA NIFA McIntire-Stennis project 1011527. The study of Claire Lock, Joseph S.; r Vitelli and colleagues was supported by AgriFutures Australia, through funding from the Australian Government Department of Agriculture, Water and the Environment as part of its Rural R&amp;D for Profit program (PRJ 15-02-005) and Queensland Department of Agriculture and Fisheries, New South Wales Department of Primary Industries, NSW Weed Biocontrol Taskforce, Bundaberg Regional Council, Gladstone Regional Council and HQPlantations Pty Ltd. Peter Johnston was supported through the Manaaki Whenua Systematics Portfolio with funding from the Science and Innovation Group of the New Zealand Ministry of Business, Innovation and Employment.</t>
  </si>
  <si>
    <t>RIJKSHERBARIUM</t>
  </si>
  <si>
    <t>LEIDEN</t>
  </si>
  <si>
    <t>PO BOX 9514, 2300 RA LEIDEN, NETHERLANDS</t>
  </si>
  <si>
    <t>0031-5850</t>
  </si>
  <si>
    <t>Persoonia</t>
  </si>
  <si>
    <t>10.3767/persoonia.2020.44.11</t>
  </si>
  <si>
    <t>Mycology</t>
  </si>
  <si>
    <t>MM3KS</t>
  </si>
  <si>
    <t>Green Submitted, Green Accepted, Green Published</t>
  </si>
  <si>
    <t>WOS:000550058100011</t>
  </si>
  <si>
    <t>Abidin, ZAZ; Zainuddin, Z; Mastrai, SFQW; Merican, FMMS; Convey, P</t>
  </si>
  <si>
    <t>Abidin, Z. A. Zainal; Zainuddin, Z.; Mastrai, S. F. Q. Wan; Merican, F. M. Mohd Sidik; Convey, P.</t>
  </si>
  <si>
    <t>Fatty acid profiles of Antarctic cyanobacteria Leptolyngbya</t>
  </si>
  <si>
    <t>JOURNAL OF ENVIRONMENTAL BIOLOGY</t>
  </si>
  <si>
    <t>16S rRNA; Antarctic region; Cyanobacteria; Fatty acid profiles; Leptolyngbya</t>
  </si>
  <si>
    <t>Aim: Antarctic cyanobacteria may represent a potential resource of new and unique compounds with interesting capabilities. Profiling of fatty acids in Antarctic cyanobacteria can provide an overview of potential fatty acids present in them, that can be utilised in future applications. Methodology: In total, 4 cyanobacteria previously isolated from Antarctic polar ice was used in this study. Molecular identification using 16S rRNA gene was used to ascertain their identities as Leptolyngbya spp. and their fatty acid profiles were determined using GCMS. Results: Morphologically, these cyanobacteria were found similar to Leptolyngbya sp. Analysis of 16S rRNA gene sequences amplified further confirmed their identity and were designated as Leptolyngbya sp. A, B, D and E. Following fatty acid analysis using GCMS, it was determined that unsaturated fatty acids predominated the fatty acid profiles for Leptolyngbya sp . A, B and D, while saturated fatty acid was found dominant in Leptolyngbya sp . E. Leptolyngbya sp. D contained almost 100% of linoleic acid, whilst Leptolyngbya sp. A and Leptolyngbya sp . B contained 59.35% and 83.33% of linoleic acid, respectively. Besides linoleic acid, palmitoleic acid (18.45%), oleic acid (19.45%) and lauric acid (2.74%) were also present in Leptolyngbya sp. A. As for Leptolyngbya sp. B, other than linoleic acid, only oleic acid (16.67%) was detected. Interpretation: Findings from this study demonstrate that the Antarctic Leptolyngbya spp. A, B and D identified in this study possess high content of unsaturated fatty acids, while only saturated fatty acid was present in Leptolyngbya sp. E. Fatty acid profiles revealed the potential of these Antarctic Leptolyngbya species to be further exploited for other applications.</t>
  </si>
  <si>
    <t>[Abidin, Z. A. Zainal; Mastrai, S. F. Q. Wan] Int Islamic Univ Malaysia, Dept Biotechnol, Kulliyyah Sci, Kuantan 25200, Pahang, Malaysia; [Zainuddin, Z.] Int Islamic Univ Malaysia, Dept Plant Sci, Kulliyyah Sci, Kuantan 25200, Pahang, Malaysia; [Merican, F. M. Mohd Sidik] Univ Sains Malaysia, Sch Biol Sci, George Town 11800, Malaysia; [Convey, P.] British Antarctic Survey, NERC, Cambridge CB3 0ET, England</t>
  </si>
  <si>
    <t>International Islamic University Malaysia; International Islamic University Malaysia; Universiti Sains Malaysia; UK Research &amp; Innovation (UKRI); Natural Environment Research Council (NERC); NERC British Antarctic Survey</t>
  </si>
  <si>
    <t>Abidin, ZAZ (corresponding author), Int Islamic Univ Malaysia, Dept Biotechnol, Kulliyyah Sci, Kuantan 25200, Pahang, Malaysia.</t>
  </si>
  <si>
    <t>zzarina@iium.edu</t>
  </si>
  <si>
    <t>ZAINAL ABIDIN, ZAIMA AZIRA/HHZ-2525-2022; Sidik Merican, Faradina Merican/F-6785-2019</t>
  </si>
  <si>
    <t>Sidik Merican, Faradina Merican/0000-0003-1441-0134</t>
  </si>
  <si>
    <t>International Islamic University Malaysia; NERC [bas0100036] Funding Source: UKRI</t>
  </si>
  <si>
    <t>International Islamic University Malaysia; NERC(UK Research &amp; Innovation (UKRI)Natural Environment Research Council (NERC))</t>
  </si>
  <si>
    <t>This work was supported by International Islamic University Malaysia.</t>
  </si>
  <si>
    <t>TRIVENI ENTERPRISES</t>
  </si>
  <si>
    <t>LUCKNOW</t>
  </si>
  <si>
    <t>C/O KIRAN DALELA, 1/206 VIKAS NAGAR, KURSI RD, LUCKNOW 226 022, INDIA</t>
  </si>
  <si>
    <t>0254-8704</t>
  </si>
  <si>
    <t>J ENVIRON BIOL</t>
  </si>
  <si>
    <t>J.Environ.Biol.</t>
  </si>
  <si>
    <t>10.22438/jeb/41/4/MRN-1305</t>
  </si>
  <si>
    <t>MJ7OT</t>
  </si>
  <si>
    <t>Green Accepted, Bronze</t>
  </si>
  <si>
    <t>WOS:000548278200005</t>
  </si>
  <si>
    <t>Lischka, A; Braid, H; Cherel, Y; Bolstad, K; Lacoue-Labarthe, T; Bustamante, P</t>
  </si>
  <si>
    <t>Lischka, A.; Braid, H.; Cherel, Y.; Bolstad, K.; Lacoue-Labarthe, T.; Bustamante, P.</t>
  </si>
  <si>
    <t>Influence of sexual dimorphism on stable isotopes and trace element concentrations in the greater hooked squid Moroteuthopsis ingens from New Zealand waters</t>
  </si>
  <si>
    <t>MARINE ENVIRONMENTAL RESEARCH</t>
  </si>
  <si>
    <t>Cephalopods; Biomonitoring; Bioaccumulation; Metals; Onychoteuthidae</t>
  </si>
  <si>
    <t>CUTTLEFISH SEPIA-OFFICINALIS; TOOTHFISH DISSOSTICHUS-ELEGINOIDES; PERSISTENT ORGANIC POLLUTANTS; SOUTHERN ELEPHANT SEALS; MERCURY CONCENTRATIONS; METAL CONCENTRATIONS; FLYING SQUID; HEAVY-METALS; ENHANCED BIOACCUMULATION; DETOXIFICATION PROCESSES</t>
  </si>
  <si>
    <t>The Chatham Rise, one of the highest offshore-primary production regions in New Zealand waters, hosts a great abundance and diversity of deep-sea cephalopods including the greater hooked squid, Moroteuthopsis ingens. Stable isotope ratios of carbon (delta C-13) and nitrogen (delta N-15) and trace element concentrations (Ag, As, Cd, Co, Cr, Cu, Fe, Hg, Ni, Pb, Se, V, and Zn) were assessed in female and male specimens of different size classes (89-563 mm mantle length). Values of delta C-13 and delta N-15 were overall higher in females and delta C-13 was further influenced by size and sex. Both muscular mantle (the largest fraction of the total body mass) and digestive gland (the known main storage organ for Ag, Cd, Cu and Zn in many cephalopods) tissues were analysed. Higher levels of Cd were observed in males than in females. A positive effect was found between size and Hg concentrations, which could be related to the ontogenetic descent of larger specimens into deeper waters, where they are exposed to higher Hg concentrations, and/or dietary shifts toward Hg-enriched prey with increasing size. This study provides trace element data for this abundant and ecologically important species, and further reveals higher trace element concentrations (especially Hg) in M. ingens from the Chatham Rise, compared to specimens from the sub-Antarctic zone.</t>
  </si>
  <si>
    <t>[Lischka, A.; Braid, H.; Bolstad, K.] Auckland Univ Technol, Sch Sci, AUT Lab Cephalopod Ecol &amp; Systemat, Private Bag 92006, Auckland 1142, New Zealand; [Cherel, Y.] La Rochelle Univ, Ctr Etud Biol Chize CEBC, UMR 7372, CNRS, F-79360 Villiers En Bois, France; [Lacoue-Labarthe, T.; Bustamante, P.] La Rochelle Univ, UMR 7266, Littoral Environm &amp; Soc LIENSs, CNRS, 2 Rue Olympe Gouges, F-17000 La Rochelle, France; [Bustamante, P.] Inst Univ France IUF, 1 Rue Descartes, F-75005 Paris, France</t>
  </si>
  <si>
    <t>Auckland University of Technology; Centre National de la Recherche Scientifique (CNRS); CNRS - Institute of Ecology &amp; Environment (INEE); Centre National de la Recherche Scientifique (CNRS); CNRS - Institute of Ecology &amp; Environment (INEE); Institut Universitaire de France</t>
  </si>
  <si>
    <t>Lischka, A (corresponding author), Auckland Univ Technol, Sch Sci, AUT Lab Cephalopod Ecol &amp; Systemat, Private Bag 92006, Auckland 1142, New Zealand.</t>
  </si>
  <si>
    <t>alexandra.lischka@aut.ac.nz</t>
  </si>
  <si>
    <t>Bustamante, Paco/G-5833-2011</t>
  </si>
  <si>
    <t>Bustamante, Paco/0000-0003-3877-9390; Lischka, Alexandra/0000-0002-0419-1663</t>
  </si>
  <si>
    <t>New Zealand Ministry for Primary Industries; CPER (Contrat de Projet Etat-Region); FEDER (Fonds Europeen de Developpement Regional); IUF (Institut Universitaire de France)</t>
  </si>
  <si>
    <t>New Zealand Ministry for Primary Industries; CPER (Contrat de Projet Etat-Region); FEDER (Fonds Europeen de Developpement Regional)(European Union (EU)); IUF (Institut Universitaire de France)</t>
  </si>
  <si>
    <t>We would like to thank the team of the NIWA trawl survey funded by the New Zealand Ministry for Primary Industries and the crew of the RV Tangaroa (TAN1601) for collecting the specimens. The authors are grateful to C. Churlaud and M. Brault-Favrou from the Plateforme Analyses El.ementaires of LIENSs for their support during the trace element analysis and to G. Guillou from the Plateforme Analyses Isotopiques of LIENSs for running the stable isotope analysis. Thanks are due to the CPER (Contrat de Projet Etat-Region) and the FEDER (Fonds Europeen de Developpement Regional) for funding the ICPs, the AMA, and the IRMS of LIENSs laboratory. The IUF (Institut Universitaire de France) is acknowledged for its support to PB as a Senior Member.</t>
  </si>
  <si>
    <t>0141-1136</t>
  </si>
  <si>
    <t>1879-0291</t>
  </si>
  <si>
    <t>MAR ENVIRON RES</t>
  </si>
  <si>
    <t>Mar. Environ. Res.</t>
  </si>
  <si>
    <t>10.1016/j.marenvres.2020.104976</t>
  </si>
  <si>
    <t>Environmental Sciences; Marine &amp; Freshwater Biology; Toxicology</t>
  </si>
  <si>
    <t>Environmental Sciences &amp; Ecology; Marine &amp; Freshwater Biology; Toxicology</t>
  </si>
  <si>
    <t>ML2UR</t>
  </si>
  <si>
    <t>WOS:000549328000011</t>
  </si>
  <si>
    <t>Villa, M; Opazo, S; Moraga, CA; Muñoz-Arriagada, R; Radic, S</t>
  </si>
  <si>
    <t>Villa, Madeleyne; Opazo, Sergio; Moraga, Claudio A.; Munoz-Arriagada, Rene; Radic, Sergio</t>
  </si>
  <si>
    <t>Patterns of Vegetation and Climatic Conditions Derived from Satellite Images Relevant for Sub-Antarctic Rangeland Management</t>
  </si>
  <si>
    <t>RANGELAND ECOLOGY &amp; MANAGEMENT</t>
  </si>
  <si>
    <t>Snow cover; LST; MODIS; NDVI; Sheep ranching; Extensive production</t>
  </si>
  <si>
    <t>MODIS SNOW-COVER; LAND-SURFACE TEMPERATURE; CENTRAL-ASIA; NDVI; GRASSLAND; FORAGE; LIVESTOCK; PRECIPITATION; VARIABILITY; VALIDATION</t>
  </si>
  <si>
    <t>Sub-Antarctic rangelands are characterized by weather seasonality and abundant winter snowfall. These climate factors determine most livestock management decisions. Nonetheless, data on these weather patterns are only available for some areas of the region, and management is entirely empirically-derived. The aim of this study was twofold: to compile spatial and temporal environmental information of rangelands in the Magallanes Region of Chile by using satellite images and to provide an example for local purposes through a simple evaluation of current grazing systems of four ranches in central Tierra del Fuego using satellite-derived image products and a known thermal comfort zone for sheep. To determine the environmental conditions of the region, we processed a 12-year (2000-2011) series of three MODIS-Terra platform products: Normalized Difference Vegetation Index (NDVI) as an index of photosynthetic activity, snow cover index, and Land Surface Temperature (LST). Results indicate that data obtained from satellite images follow the known seasonality of the region and deliver spatial and temporal environmental information (e.g., temperature at large scale) for most ranching areas of the region where it was formerly unavailable. The determined grazing period of analyzed ranches for winter range was May 8 to September 29. These tools show promise to encourage management innovation from simple applications to combine platforms and models for forage monitoring and ranch management in Sub-Antarctic rangelands. (C) 2020 The Society for Range Management. Published by Elsevier Inc. All rights reserved.</t>
  </si>
  <si>
    <t>[Opazo, Sergio; Munoz-Arriagada, Rene; Radic, Sergio] Univ Magallanes, Fac Sci, Dept Agr &amp; Aquacultural Sci, Ave Bulnes, Punta Arenas 01855, Chile; [Villa, Madeleyne] Univ Magallanes, Fac Sci, Master Sci Management &amp; Conservat Nat Resources S, Ave Bulnes, Punta Arenas 01855, Chile; [Moraga, Claudio A.] Univ Florida, Sch Nat Resources &amp; Environm, POB 116455,Bldg 0724,103 Black Hall, Gainesville, FL 32611 USA</t>
  </si>
  <si>
    <t>Universidad de Magallanes; Universidad de Magallanes; State University System of Florida; University of Florida</t>
  </si>
  <si>
    <t>Radic, S (corresponding author), Univ Magallanes, Fac Sci, Dept Agr &amp; Aquacultural Sci, Ave Bulnes, Punta Arenas 01855, Chile.</t>
  </si>
  <si>
    <t>madelita.21@gmail.com; sergio.radic@umag.cl</t>
  </si>
  <si>
    <t>Radic-Schilling, Sergio/AAS-5241-2021</t>
  </si>
  <si>
    <t>Chilean International Cooperation Agency (AGCI) [Horizontal Cooperation -Republic of Chile scholarship]; Fund for the Promotion of Scientific and Technological Development (FONDEF) [D09I1036]; National Commission for Scientific and Technological Research (CONICYT)</t>
  </si>
  <si>
    <t>Chilean International Cooperation Agency (AGCI) [Horizontal Cooperation -Republic of Chile scholarship]; Fund for the Promotion of Scientific and Technological Development (FONDEF)(Comision Nacional de Investigacion Cientifica y Tecnologica (CONICYT)CONICYT FONDEF); National Commission for Scientific and Technological Research (CONICYT)(Comision Nacional de Investigacion Cientifica y Tecnologica (CONICYT))</t>
  </si>
  <si>
    <t>This work was supported by the Chilean International Cooperation Agency (AGCI) [Horizontal Cooperation -Republic of Chile scholarship]; the Fund for the Promotion of Scientific and Technological Development (FONDEF) [project number D09I1036 Dynamic System of Pasture Monitoring in Magallanes]; and scholarship programs via the National Commission for Scientific and Technological Research (CONICYT). No funding source was involved in the study design; collection, analysis, and interpretation of data; writing of the report; or in the decision to submit the research for publication.</t>
  </si>
  <si>
    <t>SOC RANGE MANAGEMENT</t>
  </si>
  <si>
    <t>LAKEWOOD</t>
  </si>
  <si>
    <t>445 UNION BLVD, STE 230, LAKEWOOD, CO 80228-1259 USA</t>
  </si>
  <si>
    <t>1550-7424</t>
  </si>
  <si>
    <t>1551-5028</t>
  </si>
  <si>
    <t>RANGELAND ECOL MANAG</t>
  </si>
  <si>
    <t>Rangel. Ecol. Manag.</t>
  </si>
  <si>
    <t>10.1016/j.rama.2020.03.004</t>
  </si>
  <si>
    <t>Ecology; Environmental Sciences</t>
  </si>
  <si>
    <t>MI6BS</t>
  </si>
  <si>
    <t>WOS:000547491400011</t>
  </si>
  <si>
    <t>Bell, PR; Bicknell, RDC; Smith, ET</t>
  </si>
  <si>
    <t>Bell, Phil R.; Bicknell, Russell D. C.; Smith, Elizabeth T.</t>
  </si>
  <si>
    <t>Crayfish bio-gastroliths from eastern Australia and the middle Cretaceous distribution of Parastacidae</t>
  </si>
  <si>
    <t>GEOLOGICAL MAGAZINE</t>
  </si>
  <si>
    <t>Astacoidea; Campanian; Griman Creek Formation; Eromanga Sea; Parastacoidea</t>
  </si>
  <si>
    <t>FRESH-WATER CRAYFISH; GRIMAN CREEK FORMATION; NEW-SOUTH-WALES; LIGHTNING RIDGE; DECAPOD CRUSTACEAN; FOSSIL EVIDENCE; DIVERSITY; EVOLUTION; ARTHROPODS; MORPHOLOGY</t>
  </si>
  <si>
    <t>Fossil crayfish are typically rare, worldwide. In Australia, the strictly Southern Hemisphere clade Parastacidae, while ubiquitous in modern freshwater systems, is known only from sparse fossil occurrences from the Aptian-Albian of Victoria. We expand this record to the Cenomanian of northern New South Wales, where opalized bio-gastroliths (temporary calcium storage bodies found in the foregut of pre-moult crayfish) form a significant proportion of the fauna of the Griman Creek Formation. Crayfish bio-gastroliths are exceedingly rare in the fossil record but here form a remarkable supplementary record for crayfish, whose body and trace fossils are otherwise unknown from the Griman Creek Formation. The new specimens indicate that parastacid crayfish were widespread in eastern Australia by middle Cretaceous time, occupying a variety of freshwater ecosystems from the Australian-Antarctic rift valley in the south, to the near-coastal floodplains surrounding the epeiric Eromanga Sea further to the north.</t>
  </si>
  <si>
    <t>[Bell, Phil R.; Bicknell, Russell D. C.] Univ New England, Palaeosci Res Ctr, Armidaie, NSW 2351, Australia; [Smith, Elizabeth T.] Australian Opal Ctr, Lightning Ridge, NSW 2834, Australia</t>
  </si>
  <si>
    <t>University of New England</t>
  </si>
  <si>
    <t>Bell, PR (corresponding author), Univ New England, Palaeosci Res Ctr, Armidaie, NSW 2351, Australia.</t>
  </si>
  <si>
    <t>pbell23@une.edu.au</t>
  </si>
  <si>
    <t>Bicknell, Russell/0000-0001-8541-9035</t>
  </si>
  <si>
    <t>Australian Research Council [DE170101325]; Australian Research Council [DE170101325] Funding Source: Australian Research Council</t>
  </si>
  <si>
    <t>Australian Research Council(Australian Research Council); Australian Research Council(Australian Research Council)</t>
  </si>
  <si>
    <t>We thank Jenni Brammall (Australian Opal Centre), Patrick Smith and Matt McCurry (Australian Museum) for collections access, advice, specimen data and logistics; Michael Cusack for inspiration; and Robert A. Smith for photographs (Fig. 2). For outright donation of fossil specimens, thanks to Jim Baxter, Costa Englezos, Ed Long, David Schoeffel and Clytie Smith. For donations through the Australian Government's Cultural Gifts Program, thanks to Arcright Pty Ltd, Adrian Boot, Robert and Debbie Brogan, Paul Burza, Down to Earth Opals P/L, Peter and Vicki Drackett, James Fahey, Matthew Goodwin, Andrew Kemeny, Samuel Miltenberg, Otrad P/L, David Sanders, Stewart Tranter-Brown, Michael Poben, Timothy Seekamp, Graham and Christine Thomson, Mathew Triffitt and Stephen Turner. Thanks also to the Australian Geographic Society and to participants who collected specimens during the annual AOC Fossil Digs; and the opal miners of Lightning Ridge, without whom none of these fossils would have been found. We thank the editor, Bas Van de Schootbrugge, and an anonymous reviewer for their helpful comments that improved the final version of this paper. We pay grateful respects to Yuwaalaraay, Yuwaalayaay and Gamilaraay custodians of country in the Lightning Ridge district. This research was funded by an Australian Research Council Discovery Early Career Researcher Award (project ID: DE170101325) to PRB and an Australian Postgraduate Award to RDCB.</t>
  </si>
  <si>
    <t>32 AVENUE OF THE AMERICAS, NEW YORK, NY 10013-2473 USA</t>
  </si>
  <si>
    <t>0016-7568</t>
  </si>
  <si>
    <t>1469-5081</t>
  </si>
  <si>
    <t>GEOL MAG</t>
  </si>
  <si>
    <t>Geol. Mag.</t>
  </si>
  <si>
    <t>PII S0016756819001092</t>
  </si>
  <si>
    <t>10.1017/S0016756819001092</t>
  </si>
  <si>
    <t>MH3GW</t>
  </si>
  <si>
    <t>WOS:000546620700001</t>
  </si>
  <si>
    <t>Keszkaa, S; Panicz, R; Stepanowskaa, K; Biernaczyk, M; Wrzecionkowski, K; Zybala, M</t>
  </si>
  <si>
    <t>Keszkaa, Slawomir; Panicz, Remigiusz; Stepanowskaa, Katarzyna; Biernaczyk, Marcin; Wrzecionkowski, Konrad; Zybala, Mikolaj</t>
  </si>
  <si>
    <t>Characteristics of the grey seal (Halichoerus grypus) diet in the Vistula River mouth (Mewia Lacha Nature Reserve, southern Baltic Sea), based on the osteological and molecular studies of scat samples</t>
  </si>
  <si>
    <t>OCEANOLOGIA</t>
  </si>
  <si>
    <t>Diet of marine mammals; DNA barcoding; Fish species identification; Lampetra fluviatilis; Grey seal (Halichoreus grypus)</t>
  </si>
  <si>
    <t>DNA-BASED IDENTIFICATION; ANTARCTIC FUR SEALS; ARCTOCEPHALUS-GAZELLA; STOMACH CONTENTS; PREY; MAMMALS; FISH</t>
  </si>
  <si>
    <t>The study analyses for the first time the diet composition of grey seals inhabiting the Polish Baltic Sea coast. Samples of seal scat were collected in the Mewia Lacha Nature Reserve at the mouth of the Vistula River. Using genetic and osteological methods, the remains of organisms included in the grey seals diet were analysed for their taxonomy (families and species). Based on the analysis of 49 scat samples from grey seals, 761 hard parts that could be identified by taxon were isolated. The predominant species in the samples were perch, Perca fluviatilis (almost 78% of samples); pikeperch, Sander lucioperca (67%); lamprey, Lampetra fluviatilis (almost 35% of samples); Baltic cod, Gadus morhua callarias (almost 31% of samples) and sea trout, Salmo trutta trutta (26.5%). Genetic analysis confirmed the presence of Atlantic cod DNA in 69% and sea trout in 63% of samples. The genetic material of the Atlantic herring, Clupea harengus has not been identified in the analysed scat samples. Information on grey seals feeding on river lampreys seems to be valuable in the context of lack of knowledge on the occurrence of lampreys in the Vistula River. The methodology used showed that seals fed on species that were the most abundant in the area which is directly associated with the migration cycle of fish. The results of our study allowed the conclusion that the grey seal is an opportunistic predator and its diet reflects and exploits the variations in its habitat. (C) 2020 Institute of Oceanology of the Polish Academy of Sciences. Production and hosting by Elsevier B.V.</t>
  </si>
  <si>
    <t>[Keszkaa, Slawomir; Stepanowskaa, Katarzyna; Biernaczyk, Marcin] West Pomeranian Univ Technol, Fac Food Sci &amp; Fisheries, Dept Aquat Bioengn &amp; Aquaculture, Szczecin, Poland; [Panicz, Remigiusz] West Pomeranian Univ Technol, Fac Food Sci &amp; Fisheries, Dept Meat Sci, Kazimierza Krolewicza 4, PL-71550 Szczecin, Poland; [Wrzecionkowski, Konrad] Wolin Natl Pk, Miedzyzdroje, Poland; [Zybala, Mikolaj] Duke Univ, Marine Lab, Nicholas Sch Environm, Duke Oak Fdn Mini Grants Marine Conservat 2013, Beaufort, NC 28516 USA</t>
  </si>
  <si>
    <t>West Pomeranian University of Technology; West Pomeranian University of Technology; Duke University</t>
  </si>
  <si>
    <t>Panicz, R (corresponding author), West Pomeranian Univ Technol, Fac Food Sci &amp; Fisheries, Dept Meat Sci, Kazimierza Krolewicza 4, PL-71550 Szczecin, Poland.</t>
  </si>
  <si>
    <t>rpanicz@zut.edu.pl</t>
  </si>
  <si>
    <t>Biernaczyk, Marcin/G-5037-2016; Stepanowska, Katarzyna Ewa/AAI-4470-2021; Keszka, Sławomir/AAJ-1339-2021; Panicz, Remigiusz/F-4073-2016</t>
  </si>
  <si>
    <t>Biernaczyk, Marcin/0000-0002-7542-4233; Stepanowska, Katarzyna Ewa/0000-0003-2359-4844; Keszka, Sławomir/0000-0002-0632-1580; Panicz, Remigiusz/0000-0003-4858-2233; Zybala, Mikolaj/0000-0002-9020-4677</t>
  </si>
  <si>
    <t>Department of Aquatic Bioengineering and Aquaculture ZUT, from Szczecin funds</t>
  </si>
  <si>
    <t>The study was approved by the Regional Directorate of Environmental Protection in Gdansk. Permission number: RDOS-Gd-PNII.6205.35.2013.MaK.1. This work has been funded by Department of Aquatic Bioengineering and Aquaculture ZUT, from Szczecin funds.</t>
  </si>
  <si>
    <t>POLISH ACAD SCIENCES INST OCEANOLOGY</t>
  </si>
  <si>
    <t>SOPOT</t>
  </si>
  <si>
    <t>POWSTANCOW WASZAWY 55, PL-81-712 SOPOT, POLAND</t>
  </si>
  <si>
    <t>0078-3234</t>
  </si>
  <si>
    <t>2300-7370</t>
  </si>
  <si>
    <t>Oceanologia</t>
  </si>
  <si>
    <t>JUL-SEP</t>
  </si>
  <si>
    <t>10.1016/j.oceano.2020.04.005</t>
  </si>
  <si>
    <t>MI3UN</t>
  </si>
  <si>
    <t>WOS:000547336400010</t>
  </si>
  <si>
    <t>McGowen, MR; Tsagkogeorga, G; Williamson, J; Morin, PA; Rossiter, SJ</t>
  </si>
  <si>
    <t>McGowen, Michael R.; Tsagkogeorga, Georgia; Williamson, Joseph; Morin, Phillip A.; Rossiter, Stephen J.</t>
  </si>
  <si>
    <t>Positive Selection and Inactivation in the Vision and Hearing Genes of Cetaceans</t>
  </si>
  <si>
    <t>MOLECULAR BIOLOGY AND EVOLUTION</t>
  </si>
  <si>
    <t>Cetacea; hearing; vision; positive selection</t>
  </si>
  <si>
    <t>CONVERGENT EVOLUTION; SEQUENCE EVOLUTION; ECHOLOCATING BATS; MISSENSE MUTATION; WHALES; STEREOCILIA; ADAPTATIONS; ELONGATION; SIGNATURES; OTOFERLIN</t>
  </si>
  <si>
    <t>The transition to an aquatic lifestyle in cetaceans (whales and dolphins) resulted in a radical transformation in their sensory systems. Toothed whales acquired specialized high-frequency hearing tied to the evolution of echolocation, whereas baleen whales evolved low-frequency hearing. More generally, all cetaceans show adaptations for hearing and seeing underwater. To determine the extent to which these phenotypic changes have been driven by molecular adaptation, we performed large-scale targeted sequence capture of 179 sensory genes across the Cetacea, incorporating up to 54 cetacean species from all major clades as well as their closest relatives, the hippopotamuses. We screened for positive selection in 167 loci related to vision and hearing and found that the diversification of cetaceans has been accompanied by pervasive molecular adaptations in both sets of genes, including several loci implicated in nonsyndromic hearing loss. Despite these findings, however, we found no direct evidence of positive selection at the base of odontocetes coinciding with the origin of echolocation, as found in studies examining fewer taxa. By using contingency tables incorporating taxon- and gene-based controls, we show that, although numbers of positively selected hearing and nonsyndromic hearing loss genes are disproportionately high in cetaceans, counts of vision genes do not differ significantly from expected values. Alongside these adaptive changes, we find increased evidence of pseudogenization of genes involved in cone-mediated vision in mysticetes and deep-diving odontocetes.</t>
  </si>
  <si>
    <t>[McGowen, Michael R.; Tsagkogeorga, Georgia; Williamson, Joseph; Rossiter, Stephen J.] Queen Mary Univ London, Sch Biol &amp; Chem Sci, London, England; [McGowen, Michael R.] Smithsonian Natl Museum Nat Hist, Dept Vertebrate Zool, Washington, DC 20560 USA; [Morin, Phillip A.] NOAA, Southwest Fisheries Sci Ctr, Natl Marine Fisheries Serv, La Jolla, CA USA</t>
  </si>
  <si>
    <t>University of London; Queen Mary University London; Smithsonian Institution; Smithsonian National Museum of Natural History; National Oceanic Atmospheric Admin (NOAA) - USA</t>
  </si>
  <si>
    <t>McGowen, MR; Rossiter, SJ (corresponding author), Queen Mary Univ London, Sch Biol &amp; Chem Sci, London, England.;McGowen, MR (corresponding author), Smithsonian Natl Museum Nat Hist, Dept Vertebrate Zool, Washington, DC 20560 USA.</t>
  </si>
  <si>
    <t>mcgowenm@si.edu; s.j.rossiter@qmul.ac.uk</t>
  </si>
  <si>
    <t>Morin, Phillip A/E-9515-2010; Rossiter, Stephen J/E-2111-2011; Williamson, Joseph/S-2511-2019</t>
  </si>
  <si>
    <t>Williamson, Joseph/0000-0003-4916-5386</t>
  </si>
  <si>
    <t>Royal Society Newton International Fellowship; European Research Council Starting Grant [310482]; European Research Council (ERC) [310482] Funding Source: European Research Council (ERC)</t>
  </si>
  <si>
    <t>Royal Society Newton International Fellowship(Royal Society); European Research Council Starting Grant(European Research Council (ERC)); European Research Council (ERC)(European Research Council (ERC)Spanish Government)</t>
  </si>
  <si>
    <t>We would like to thank Ryan Schott, Jason de Koning, and two anonymous reviewers for providing comments on earlier versions of this study. For samples, we are grateful to R. Deaville and P. Jepson (Zoological Society of London), A. Polanowski (Australian Antarctic Division), and M. Bertelsen (Copenhagen Zoo), as well as K. Robertson (Southwest Fisheries Science Center [SWFSC]) for extractions and her help in obtaining approval from some of the original sample donors. We would like to acknowledge L. Balance, J. Barlow, K. Forney (SWFSC), T. Jefferson (Clymene Enterprises), the late P. Best (South African Museum), C.S. Baker (Oregon State University), R. Small and L. Quackenbush (Alaska Department of Fish and Game), E. Oleson (NMFS, Pacific Islands Fishery Science Center), K. West (University of Hawai'i), M.P. Heide Jorgensen (Greenland Institute of Natural Resources), and D. Kreb (Yayasan Konservasi RASI) for the use of samples obtained through SWFSC. We thank the Taranaka Iwi and the New Zealand Cetacean Tissue Archive (NZCeTA), initiated by C.S. Baker and M.L. Dalebout, andmaintained by the University of Auckland (R. Constantine, curator) for directly providing the sample of Mesoplodon gingkodens and the help of D. Steel (Oregon State University) for obtaining this sample. For all samples derived from Tasmania, we acknowledge Kris Carlyon and Rachael Alderman (Princess Melikoff Trust, Marine Conservation Program, Tasmanian Department of Primary Industries, Parks, Water and Environment [DPIPWE]). We thank C. Buell for the illustrations and J. Gatesy for their use. This research was funded by a Royal Society Newton International Fellowship to M.R.M. and a European Research Council Starting Grant (310482 [EVOGENO]) to S.J.R.</t>
  </si>
  <si>
    <t>0737-4038</t>
  </si>
  <si>
    <t>1537-1719</t>
  </si>
  <si>
    <t>MOL BIOL EVOL</t>
  </si>
  <si>
    <t>Mol. Biol. Evol.</t>
  </si>
  <si>
    <t>10.1093/molbev/msaa070</t>
  </si>
  <si>
    <t>Biochemistry &amp; Molecular Biology; Evolutionary Biology; Genetics &amp; Heredity</t>
  </si>
  <si>
    <t>MG7ZW</t>
  </si>
  <si>
    <t>hybrid, Green Submitted</t>
  </si>
  <si>
    <t>WOS:000546250500019</t>
  </si>
  <si>
    <t>Amin, M; Adams, MB; Burke, CM; Bolch, CJS</t>
  </si>
  <si>
    <t>Amin, Muhamad; Adams, Mark B.; Burke, Christopher M.; Bolch, Christopher J. S.</t>
  </si>
  <si>
    <t>Isolation and screening of lactic acid bacteria associated with the gastrointestinal tracts of abalone at various life stages for probiotic candidates</t>
  </si>
  <si>
    <t>AQUACULTURE REPORTS</t>
  </si>
  <si>
    <t>Abalone; Antimicrobial compounds; Gastrointestinal tract; Lactic acid bacteria</t>
  </si>
  <si>
    <t>ANTIMICROBIAL ACTIVITY; IMMUNE-RESPONSE; CONTROL AGENTS; GROWTH; GUT; MICROFLORA; MICROBIOTA; INTESTINE; MEDIA; FISH</t>
  </si>
  <si>
    <t>Members of lactic acid bacteria (LAB) have been well-known for probiotic agents owing to their ability to produce diverse beneficial compounds for cultured species, as well as for having a status of generally recognized as safe microorganisms. Considering these facts, the current study investigated the presence of cultivable LAB associated with the gastrointestinal tracts (GIT) of hybrid abalone (Haliotis laevigata x H. rubra Brown 1992) at various life stages (larvae, juvenile, and adult), and screened them for their probiotic properties. GITs of 90 hybrid abalone (30 larvae, 30 juveniles, and 30 adult stages) were dissected out aseptically and then inoculated into de Man Rogosa Sharp (MRS) broth and agar. The result revealed that no LAB was isolated from the GITs of abalone at the larval stage. LAB were firstly recorded at the juvenile stage (44 isolates) and the adult stage (49 isolates). Based on partial sequences of the 16S rRNA gene, the 44 LAB in the juvenile stage were identified as five genera and belonged to 10 ribotypes. While the 49 LAB isolates from the adult stage were identified as three genera and belonged to eight ribotypes. Of the 93 LAB, five strains which were Enterococcus faecium MA002, Enterococcus lactis MA056, Leuconostoc mesenteroides MA064, Enterococcus lactis MA068, and Enterococcus lactis MA084, exhibited antagonistic activities against bacterial pathogens (Vibrio alginolyticus and Listeria mono- cytogenes ). The five LAB strains did not show any hemolytic activity, possibly indicating that they were non - pathogen. These results confirmed that LAB colonized the intestinal tract of abalone at juvenile and adult stages and were capable of producing antimicrobial compounds. Acknowledging the presence of indigenous LAB in GITs of abalone, a prebiotic application can be considered for another strategy to modify the healthy microbiome of abalone.</t>
  </si>
  <si>
    <t>[Amin, Muhamad] Univ Airlangga, Fac Fisheries &amp; Marine, Dept Fish Hlth Management &amp; Aquaculture, Jl Mulyosari, Surabaya 60113, Indonesia; [Amin, Muhamad; Adams, Mark B.; Burke, Christopher M.; Bolch, Christopher J. S.] Univ Tasmania, Inst Marine &amp; Antarctic Studies IMAS Launceston, Hobart, Tas, Australia</t>
  </si>
  <si>
    <t>Airlangga University; University of Tasmania</t>
  </si>
  <si>
    <t>Amin, M (corresponding author), Univ Airlangga, Fac Fisheries &amp; Marine, Dept Fish Hlth Management &amp; Aquaculture, Jl Mulyosari, Surabaya 60113, Indonesia.</t>
  </si>
  <si>
    <t>muhamad.amin@fpk.unair.ac.id</t>
  </si>
  <si>
    <t>Amin, Muhamad/R-4343-2019; Amin, muhamad/IQU-3321-2023; Bolch, Christopher J/J-7619-2014</t>
  </si>
  <si>
    <t>Amin, Muhamad/0000-0002-7633-8388; Amin, muhamad/0000-0002-7633-8388;</t>
  </si>
  <si>
    <t>2352-5134</t>
  </si>
  <si>
    <t>AQUACULT REP</t>
  </si>
  <si>
    <t>Aquacult. Rep.</t>
  </si>
  <si>
    <t>10.1016/j.aqrep.2020.100378</t>
  </si>
  <si>
    <t>Fisheries</t>
  </si>
  <si>
    <t>ME4GF</t>
  </si>
  <si>
    <t>Green Accepted, Green Published, gold</t>
  </si>
  <si>
    <t>WOS:000544614500017</t>
  </si>
  <si>
    <t>Choi, J; Lee, KW; Han, GS; Byun, SG; Lim, HJ; Kim, HS</t>
  </si>
  <si>
    <t>Choi, Jin; Lee, Ki Wook; Han, Gyeong Sik; Byun, Soon-Gyu; Lim, Hyun Jeong; Kim, Hee Sung</t>
  </si>
  <si>
    <t>Dietary inclusion effect of krill meal and various fish meal sources on growth performance, feed utilization, and plasma chemistry of grower walleye pollock (Gadus chalcogrammus, Pallas 1811)</t>
  </si>
  <si>
    <t>Pollock; Pollock meal (PM); Anchovy meal (AM); Krill meal (KM); Jack mackerel meal (JM); Growth performance; Feed utilization</t>
  </si>
  <si>
    <t>SALMON SALMO-SALAR; CHEMICAL-COMPOSITION; ATLANTIC SALMON; ANTARCTIC KRILL; SEA BREAM; HEMATOLOGICAL PARAMETERS; OREOCHROMIS-NILOTICUS; PROTEIN-UTILIZATION; EUPHAUSIA-SUPERBA; BODY-COMPOSITION</t>
  </si>
  <si>
    <t>A feeding trial was conducted to assess the effect of dietary inclusion of various aquatic animal protein sources on growth performance, feed utilization, body proximate composition, and plasma chemistry in grower walleye pollock (Gadus chalcogrammus, Pallas 1811). A total of 180 grower fish averaging 154.0 g in weight were chosen randomly and distributed into 12 flow-through tanks of 300 L (15 fish per tank). Four experimental diets were prepared in triplicate. Pollock meal (PM), anchovy meal (AM), krill meal (KM), and jack mackerel meal (JM) were used as the main protein source in the experimental diets, denoted PM, AM, KM, and JM diets, respectively. These diets were fed to fish twice a day at a satiation level for eight weeks. The weight gain and specific growth rate (SGR) of fish fed the KM and JM diets were higher than were those of fish fed the other diets. Daily feed intake (DFI) and daily protein intake (DPI) of fish fed the KM and JM diets were higher than were those of fish fed the PM and AM diets. The strong second polynomial correlation between the contents of 4 free amino acids (arginine, glutamic acid, histidine and leucine) in protein sources and WG, SGR, DFI and DPI were observed. The experimental diets had no effect on proximate composition of the muscle and liver. Plasma analysis did not differ between the experimental diets. In conclusion, KM and JM showed the greatest protein sources than among the ingredients assessed, and consequently KM and JM yielded the higher growth (WG and SGR) and feed intake (DFI and DPI).</t>
  </si>
  <si>
    <t>[Choi, Jin] Natl Inst Fisheries Sci, Aquaculture Management Div, Busan 46083, South Korea; [Lee, Ki Wook; Han, Gyeong Sik; Byun, Soon-Gyu; Lim, Hyun Jeong] Natl Res Inst Fisheries Sci, East Sea Fisheries Res Inst, Aquaculture Ind Res Div, Kangnung 25435, South Korea; [Kim, Hee Sung] Gyeongsang Natl Univ, Dept Seafood &amp; Aquaculture Sci, Tongyeong 53064, South Korea</t>
  </si>
  <si>
    <t>National Institute of Fisheries Science; Gyeongsang National University</t>
  </si>
  <si>
    <t>Kim, HS (corresponding author), Gyeongsang Natl Univ, Dept Marine Biol &amp; Aquaculture, Tongyeong 53064, South Korea.</t>
  </si>
  <si>
    <t>bluesonn@gnu.ac.kr</t>
  </si>
  <si>
    <t>National Institute of Fisheries Science [R2020009]</t>
  </si>
  <si>
    <t>National Institute of Fisheries Science</t>
  </si>
  <si>
    <t>This work was supported by a grant from the National Institute of Fisheries Science (R2020009).</t>
  </si>
  <si>
    <t>10.1016/j.aqrep.2020.100331</t>
  </si>
  <si>
    <t>ME4FI</t>
  </si>
  <si>
    <t>WOS:000544612200002</t>
  </si>
  <si>
    <t>Green, DB; Bestley, S; Trebilco, R; Corney, SP; Lehodey, P; McMahon, CR; Guinet, C; Hindell, MA</t>
  </si>
  <si>
    <t>Green, D. B.; Bestley, S.; Trebilco, R.; Corney, S. P.; Lehodey, P.; McMahon, C. R.; Guinet, C.; Hindell, Mark A.</t>
  </si>
  <si>
    <t>Modelled mid-trophic pelagic prey fields improve understanding of marine predator foraging behaviour</t>
  </si>
  <si>
    <t>ecosystem modelling; kerguelen plateau; predators prey interaction; micronekton; southern elephant seal; Southern Indian Ocean</t>
  </si>
  <si>
    <t>SOUTHERN ELEPHANT SEALS; DEEP-DIVING PREDATOR; BREATH-HOLD DIVERS; KERGUELEN PLATEAU; EUPHAUSIA-SUPERBA; MIROUNGA-LEONINA; STABLE-ISOTOPES; OCEAN; HABITAT; FRONTS</t>
  </si>
  <si>
    <t>Biophysical interactions are influential in determining the scale of key ecological processes within marine ecosystems. For oceanic predators, this means foraging behaviour is influenced by processes shaping the distribution of prey. However, oceanic prey is difficult to observe and its abundance and distribution is regionally generalised. We use a spatiotemporally resolved simulation model to describe mid-trophic prey distribution within the Southern Ocean and demonstrate insights that this modelled prey field provides into the foraging behaviour of a widely distributed marine predator, the southern elephant seal. From a five-year simulation of prey biomass, we computed climatologies of mean prey biomass (average prey conditions) and prey biomass variability (meso-scale variability). We also compiled spatially gridded metrics of seal density and diving behaviour from 13 yr of tracking data. We statistically modelled these metrics as non-linear functions of prey biomass (both mean and variability) and used these to predict seal distribution and behaviour. Our predictions were consistent with observations (R-adj(2) = 0.23), indicating that seals aggregate in regions of high mesoscale activity where eddies concentrate prey. Here, seals dived deeper (R-marg(2) = 0.12, R-cond(2) = 0.51) and spent less time hunting (R-marg(2) = 0.05, R-cond(2) = 0.56), likely targeting deep but profitable prey patches. Seals generally avoided areas of low eddy activity where prey was likely dispersed. Most seals foraged south of the Subantarctic Front, despite north of the front exhibiting consistently high simulated prey biomasses. This likely reflects seal prey or habitat preferences, but also emphasises the importance of mesoscale prey biomass variability relative to regionally high mean biomass. This work demonstrates the value of coupling mechanistic representations of prey biomass with predator observations to provide insight into how biophysical processes combine to shape species distributions. This will be increasingly important for the robust prediction of species' responses to rapid system change.</t>
  </si>
  <si>
    <t>[Green, D. B.; Bestley, S.; Trebilco, R.; Corney, S. P.; McMahon, C. R.; Hindell, Mark A.] Univ Tasmania, Inst Marine &amp; Antarctic Studies, Hobart, Tas, Australia; [Bestley, S.; Trebilco, R.] CSIRO Oceans &amp; Atmosphere, Hobart, Tas, Australia; [McMahon, C. R.] Sydney Inst Marine Sci, IMOS Anim Satellite Tagging, Mosman, NSW, Australia; [Lehodey, P.] Collecte Localisat Satellites, Ramonville St Agne, France; [Guinet, C.] La Rochelle Univ, CNRS, UMR 7372, Ctr Etud Biol Chize, Villiers En Bois, France</t>
  </si>
  <si>
    <t>University of Tasmania; Commonwealth Scientific &amp; Industrial Research Organisation (CSIRO); Sydney Institute of Marine Science; Centre National de la Recherche Scientifique (CNRS); CNRS - Institute of Ecology &amp; Environment (INEE)</t>
  </si>
  <si>
    <t>Green, DB (corresponding author), Univ Tasmania, Inst Marine &amp; Antarctic Studies, Hobart, Tas, Australia.</t>
  </si>
  <si>
    <t>david.green@utas.edu.au</t>
  </si>
  <si>
    <t>Bestley, Sophie/AAN-2483-2021; McMahon, Clive R/D-5713-2013; Hindell, Mark A/K-1131-2013; Trebilco, Rowan/I-5311-2012; Green, David/U-5570-2019</t>
  </si>
  <si>
    <t>Bestley, Sophie/0000-0001-9342-669X; McMahon, Clive R/0000-0001-5241-8917; Trebilco, Rowan/0000-0001-9712-8016; Green, David/0000-0002-0346-3129; GUINET, Christophe/0000-0003-2481-6947; Corney, Stuart/0000-0002-8293-0863; Hindell, Mark/0000-0002-7823-7185; Lehodey, Patrick/0000-0002-2753-4796</t>
  </si>
  <si>
    <t>10.1111/ecog.04939</t>
  </si>
  <si>
    <t>ME2KE</t>
  </si>
  <si>
    <t>WOS:000544487400007</t>
  </si>
  <si>
    <t>Hughes, PD; Gibbard, PL; Ehlers, J</t>
  </si>
  <si>
    <t>Hughes, Philip D.; Gibbard, Philip L.; Ehlers, Juergen</t>
  </si>
  <si>
    <t>The missing glaciations of the Middle Pleistocene</t>
  </si>
  <si>
    <t>QUATERNARY RESEARCH</t>
  </si>
  <si>
    <t>ice ages; glacial cycles; orbital forcing; Saalian; Wolstonian; Illinoian; Quaternary stratigraphy</t>
  </si>
  <si>
    <t>ANTARCTIC ICE-SHEET; SCALE CLIMATE VARIABILITY; DEEP-SEA-TEMPERATURE; QUATERNARY GLACIATIONS; MIDPLEISTOCENE TRANSITION; REID GLACIATION; SOUTHERN-OCEAN; ISOTOPE STAGES; DOME-C; 100 KA</t>
  </si>
  <si>
    <t>Global glaciations have varied in size and magnitude since the Early-Middle Pleistocene transition (similar to 773 ka), despite the apparent regular and high-amplitude 100 ka pacing of glacial-interglacial cycles recorded in marine isotope records. The evidence on land indicates that patterns of glaciation varied dramatically between different glacial-interglacial cycles. For example, Marine Isotope Stages (MIS) 8, 10, and 14 are all noticeably absent from many terrestrial glacial records in North America and Europe. However, globally, the patterns are more complicated, with major glaciations recorded in MIS 8 in Asia and in parts of the Southern Hemisphere, such as Patagonia, for example. This spatial variability in glaciation between glacial-interglacial cycles is likely to be driven by ice volume changes in the West Antarctic Ice Sheet and associated interhemispheric connections through ocean-atmosphere circulatory changes. The weak global glacial imprint in some glacial-interglacial cycles is related to the pattern of global ice buildup. This is caused by feedback mechanisms within glacial systems themselves that partly result from long-term orbital changes driven by eccentricity.</t>
  </si>
  <si>
    <t>[Hughes, Philip D.] Univ Manchester, Dept Geog, Sch Environm Educ &amp; Dev, Oxford Rd, Manchester M13 9PL, Lancs, England; [Gibbard, Philip L.] Univ Cambridge, Scott Polar Res Inst, Cambridge CB2 1ER, England; [Ehlers, Juergen] Hellberg 2a, D-21514 Witzeeze, Germany</t>
  </si>
  <si>
    <t>University of Manchester; University of Cambridge</t>
  </si>
  <si>
    <t>Hughes, PD (corresponding author), Univ Manchester, Dept Geog, Sch Environm Educ &amp; Dev, Oxford Rd, Manchester M13 9PL, Lancs, England.</t>
  </si>
  <si>
    <t>philip.hughes@maachester.ac.uk</t>
  </si>
  <si>
    <t>Gibbard, Phil/AAU-8014-2021</t>
  </si>
  <si>
    <t>Hughes, Philip/0000-0002-8284-0219</t>
  </si>
  <si>
    <t>0033-5894</t>
  </si>
  <si>
    <t>1096-0287</t>
  </si>
  <si>
    <t>QUATERNARY RES</t>
  </si>
  <si>
    <t>Quat. Res.</t>
  </si>
  <si>
    <t>10.1017/qua.2019.76</t>
  </si>
  <si>
    <t>MD8JI</t>
  </si>
  <si>
    <t>WOS:000544214200012</t>
  </si>
  <si>
    <t>Evatt, GW; Smedley, ARD; Joy, KH; Hunter, L; Tey, WH; Abrahams, ID; Gerrish, L</t>
  </si>
  <si>
    <t>Evatt, G. W.; Smedley, A. R. D.; Joy, K. H.; Hunter, L.; Tey, W. H.; Abrahams, I. D.; Gerrish, L.</t>
  </si>
  <si>
    <t>The spatial flux of Earth's meteorite falls found via Antarctic data</t>
  </si>
  <si>
    <t>GEOLOGY</t>
  </si>
  <si>
    <t>COLLECTION AREA; NETWORK; DESERT</t>
  </si>
  <si>
    <t>Contemporary calculations for the flux of extraterrestrial material falling to the Earth's surface (each event referred to as a fall) rely upon either short-duration fireball monitoring networks or spatially limited ground-based meteorite searches. To date, making accurate fall flux estimates from the much-documented meteorite stranding zones of Antarctica has been prohibited due to complicating glacial ice dynamics and difficulties in pairing together distinct meteorite samples originating from the same fall. Through glaciological analysis and use of meteorite collection data, we demonstrate how to overcome these barriers to making flux estimates. Furthermore, by showing that a clear latitudinal variation in fall frequencies exists and then modeling its mathematical form, we are able to expand our Antarctic result to a global setting. In this way, we hereby provide the most accurate contemporary fall flux estimates for anywhere on Earth. Inverting the methodology provides a valuable tool for planning new meteorite collection missions to unvisited regions of Antarctica. Our modeling also enables a reassessment of the risk to Earth from larger meteoroid impacts-now 12% higher at the equator and 27% lower at the poles than if the flux were globally uniform.</t>
  </si>
  <si>
    <t>[Evatt, G. W.; Smedley, A. R. D.; Hunter, L.; Abrahams, I. D.] Univ Manchester, Dept Math, Manchester M13 9PL, Lancs, England; [Joy, K. H.] Univ Manchester, Dept Earth &amp; Environm Sci, Manchester M13 9PL, Lancs, England; [Tey, W. H.] Imperial Coll London, Dept Math, London SW7 2AZ, England; [Abrahams, I. D.] Univ Cambridge, Isaac Newton Inst Math Sci, Cambridge CB3 0EH, England; [Gerrish, L.] British Antarctic Survey, Cambridge CB3 0ET, England</t>
  </si>
  <si>
    <t>University of Manchester; University of Manchester; Imperial College London; University of Cambridge; UK Research &amp; Innovation (UKRI); Natural Environment Research Council (NERC); NERC British Antarctic Survey</t>
  </si>
  <si>
    <t>Evatt, GW (corresponding author), Univ Manchester, Dept Math, Manchester M13 9PL, Lancs, England.</t>
  </si>
  <si>
    <t>Lisahunter, ./I-8176-2012; Smedley, Andrew/N-7194-2019</t>
  </si>
  <si>
    <t>Smedley, Andrew/0000-0001-7137-6628; Tey, Wei Hao/0009-0003-2031-2837</t>
  </si>
  <si>
    <t>Leverhulme Trust (UK) [RPG-2016-349]; Royal Society (UK) [RS/UF140190]; Science and Technology Facilities Council (STFC) [ST/R000751/1]; Engineering and Physical Sciences Research Council (EPSRC) [EP/R014604/1]; EPSRC [EP/K032208/1, EP/R014604/1] Funding Source: UKRI; NERC [bas010011] Funding Source: UKRI; STFC [ST/R000751/1] Funding Source: UKRI</t>
  </si>
  <si>
    <t>Leverhulme Trust (UK)(Leverhulme Trust); Royal Society (UK)(Royal Society); Science and Technology Facilities Council (STFC)(UK Research &amp; Innovation (UKRI)Science &amp; Technology Facilities Council (STFC)Science and Technology Development Fund (STDF)); Engineering and Physical Sciences Research Council (EPSRC)(UK Research &amp; Innovation (UKRI)Engineering &amp; Physical Sciences Research Council (EPSRC)); EPSRC(UK Research &amp; Innovation (UKRI)Engineering &amp; Physical Sciences Research Council (EPSRC)); NERC(UK Research &amp; Innovation (UKRI)Natural Environment Research Council (NERC)); STFC(UK Research &amp; Innovation (UKRI)Science &amp; Technology Facilities Council (STFC))</t>
  </si>
  <si>
    <t>This work was supported by The Leverhulme Trust (UK) grant RPG-2016-349; Royal Society (UK) grant RS/UF140190; Science and Technology Facilities Council (STFC) grant ST/R000751/1; and Engineering and Physical Sciences Research Council (EPSRC) grant EP/R014604/1. We are grateful for useful discussions at the Royal Astronomical Society (UK) meeting held in November 2018 and at the European Geosciences Union General Assembly 2019. We are grateful to Vinciane Debaille and an anonymous reviewer for the time they have taken to review the manuscript and for their constructive suggestions. We also thank Benjamin Tipping and Philip Cartwright, who both assisted with preliminary work on the latitudinal aspect of this study.</t>
  </si>
  <si>
    <t>GEOLOGICAL SOC AMER, INC</t>
  </si>
  <si>
    <t>BOULDER</t>
  </si>
  <si>
    <t>PO BOX 9140, BOULDER, CO 80301-9140 USA</t>
  </si>
  <si>
    <t>0091-7613</t>
  </si>
  <si>
    <t>1943-2682</t>
  </si>
  <si>
    <t>10.1130/G46733.1</t>
  </si>
  <si>
    <t>MA4KH</t>
  </si>
  <si>
    <t>WOS:000541883600011</t>
  </si>
  <si>
    <t>Kim, SY; Son, SW</t>
  </si>
  <si>
    <t>Kim, Seo-Yeon; Son, Seok-Woo</t>
  </si>
  <si>
    <t>Breakdown of the Linear Relationship between the Southern Hemisphere Hadley Cell Edge and Jet Latitude Changes in the Last Glacial Maximum</t>
  </si>
  <si>
    <t>JOURNAL OF CLIMATE</t>
  </si>
  <si>
    <t>Dynamics; Hadley circulation; Large-scale motions; Jets</t>
  </si>
  <si>
    <t>ATMOSPHERIC CIRCULATION; POLEWARD EXPANSION; TROPICAL-WIDTH; CMIP5; SIMULATIONS; VARIABILITY; SENSITIVITY; STEADY; BELT; LGM</t>
  </si>
  <si>
    <t>A poleward displacement of the Hadley cell (HC) edge and the eddy-driven jet latitude has been observed in the Southern Hemisphere (SH) during the last few decades. This change is further projected to continue in the future, indicating coherent tropical and extratropical zonal-mean circulation changes from the present climate to a warm climate. Here we show that such a systematic change in the zonal-mean circulation change does not hold in a cold climate. By examining the Last Glacial Maximum (LGM), preindustrial (PI), and extended concentration pathway 4.5 (ECP4.5) scenarios archived for phase 3 of the Paleoclimate Modeling Intercomparison Project (PMIP3) and phase 5 of the Coupled Model Intercomparison Project (CMIP5), it is shown that while the annual-mean SH HC edge systematically shifts poleward from the LGM scenario to the PI scenario and then to the ECP4.5 scenario the annual-mean SH eddy-driven jet latitude does not. All models show a poleward jet shift from the PI scenario to the ECP4.5 scenario, but over one-half of the models exhibit no trend or even an equatorward jet shift from the LGM scenario to the PI scenario. This decoupling between the HC edge and jet latitude changes is most pronounced in SH winter when the Antarctic surface cooling in the LGM scenario is comparable to or larger than the tropical upper-tropospheric cooling. This result indicates that polar amplification could play a crucial role in driving the decoupling of the tropical and midlatitude zonal-mean circulation in the SH in a cold climate.</t>
  </si>
  <si>
    <t>[Kim, Seo-Yeon; Son, Seok-Woo] Seoul Natl Univ, Sch Earth &amp; Environm Sci, Seoul, South Korea</t>
  </si>
  <si>
    <t>Seoul National University (SNU)</t>
  </si>
  <si>
    <t>Son, SW (corresponding author), Seoul Natl Univ, Sch Earth &amp; Environm Sci, Seoul, South Korea.</t>
  </si>
  <si>
    <t>seokwooson@snu.ac.kr</t>
  </si>
  <si>
    <t>Son, Seok-Woo/A-8797-2013</t>
  </si>
  <si>
    <t>National Research Foundation of Korea (NRF) - South Korean government (Ministry of Science and ICT) [2017R1E1A1A01074889, NRF-2018R1A5A1024958]</t>
  </si>
  <si>
    <t>National Research Foundation of Korea (NRF) - South Korean government (Ministry of Science and ICT)</t>
  </si>
  <si>
    <t>Comments from the anonymous reviewers of this work are greatly appreciated. This work was supported by the National Research Foundation of Korea (NRF) grant funded by the South Korean government (Ministry of Science and ICT) (2017R1E1A1A01074889) and NRF-2018R1A5A1024958.</t>
  </si>
  <si>
    <t>0894-8755</t>
  </si>
  <si>
    <t>1520-0442</t>
  </si>
  <si>
    <t>J CLIMATE</t>
  </si>
  <si>
    <t>J. Clim.</t>
  </si>
  <si>
    <t>10.1175/JCLI-D-19-0531.1</t>
  </si>
  <si>
    <t>MA0EE</t>
  </si>
  <si>
    <t>WOS:000541589400019</t>
  </si>
  <si>
    <t>Donohoe, A; Blanchard-Wrigglesworth, E; Schweiger, A; Rasch, PJ</t>
  </si>
  <si>
    <t>Donohoe, Aaron; Blanchard-Wrigglesworth, Ed; Schweiger, Axel; Rasch, Philip J.</t>
  </si>
  <si>
    <t>The Effect of Atmospheric Transmissivity on Model and Observational Estimates of the Sea Ice Albedo Feedback</t>
  </si>
  <si>
    <t>Arctic; Southern Ocean; Albedo; Climate change; Feedback; Radiative fluxes</t>
  </si>
  <si>
    <t>CLIMATE-CHANGE; NORTHERN-HEMISPHERE; SOLAR-RADIATION; SURFACE; CMIP5; VARIABILITY; CRYOSPHERE; EVOLUTION; DATASET; CLOUDS</t>
  </si>
  <si>
    <t>The sea ice-albedo feedback (SIAF) is the product of the ice sensitivity (IS), that is, how much the surface albedo in sea ice regions changes as the planet warms, and the radiative sensitivity (RS), that is, how much the top-of-atmosphere radiation changes as the surface albedo changes. We demonstrate that the RS calculated from radiative kernels in climate models is reproduced from calculations using the approximate partial radiative perturbation method that uses the climatological radiative fluxes at the top of the atmosphere and the assumption that the atmosphere is isotropic to shortwave radiation. This method facilitates the comparison of RS from satellite-based estimates of climatological radiative fluxes with RS estimates across a full suite of coupled climate models and, thus, allows model evaluation of a quantity important in characterizing the climate impact of sea ice concentration changes. The satellite-based RS is within the model range of RS that differs by a factor of 2 across climate models in both the Arctic and Southern Ocean. Observed trends in Arctic sea ice are used to estimate IS, which, in conjunction with the satellite-based RS, yields an SIAF of 0.16 +/- 0.04 W m(-2)K(-1). This Arctic SIAF estimate suggests a modest amplification of future global surface temperature change by approximately 14% relative to a climate system with no SIAF. We calculate the global albedo feedback in climate models using model-specific RS and IS and find a model mean feedback parameter of 0.37 W m(-2)K(-1), which is 40% larger than the IPCC AR5 estimate based on using RS calculated from radiative kernel calculations in a single climate model.</t>
  </si>
  <si>
    <t>[Donohoe, Aaron] Univ Washington, Appl Phys Lab, Seattle, WA 98105 USA; [Blanchard-Wrigglesworth, Ed] Univ Washington, Dept Atmospher Sci, Seattle, WA 98195 USA; [Schweiger, Axel] Univ Washington, Appl Phys Lab, Polar Sci Ctr, Seattle, WA 98105 USA; [Rasch, Philip J.] Pacific Northwest Natl Lab, Richland, WA 99352 USA</t>
  </si>
  <si>
    <t>University of Washington; University of Washington Seattle; University of Washington; University of Washington Seattle; University of Washington; University of Washington Seattle; United States Department of Energy (DOE); Pacific Northwest National Laboratory</t>
  </si>
  <si>
    <t>Donohoe, A (corresponding author), Univ Washington, Appl Phys Lab, Seattle, WA 98105 USA.</t>
  </si>
  <si>
    <t>adonohoe@u.washington.edu</t>
  </si>
  <si>
    <t>Keyes, Dennis/AAZ-9285-2021; Rasch, Philip J/F-7978-2018</t>
  </si>
  <si>
    <t>Schweiger, Axel J./0000-0002-8704-4123</t>
  </si>
  <si>
    <t>Department of energy mini grant; NSF Antarctic Program [PLR 1643436]; NOAA MAPP Grant eGC1 [A127135]</t>
  </si>
  <si>
    <t>Department of energy mini grant; NSF Antarctic Program; NOAA MAPP Grant eGC1(National Oceanic Atmospheric Admin (NOAA) - USA)</t>
  </si>
  <si>
    <t>We thank Karen Shell, Xianglei Huang, and four anonymous reviewers for thoughtful critique of an earlier version of this manuscript. We thank Angeline Pendergrass, Chris Smith, Ryan Kramer, Karen Shell, Brian Soden, Karen Block, Thorsten Mauritsen, and Michael Previdi for providing radiative kernel calculation and their assistance providing further clarification on the appropriate climatological radiation fields to use for isotropic model calculations. We also thank Jeff Key and Xuanji Wang for providing the NOAA AVHRR Polar Pathfinder data. This work was funded by a Department of energy mini grant to the HLES team at PNNL, the NSF Antarctic Program Grant Number PLR 1643436, and the NOAA MAPP Grant eGC1#A127135.</t>
  </si>
  <si>
    <t>45 BEACON ST, BOSTON, MA 02108-3693, UNITED STATES</t>
  </si>
  <si>
    <t>10.1175/JCLI-D-19-0674.1</t>
  </si>
  <si>
    <t>WOS:000541589400021</t>
  </si>
  <si>
    <t>Brown, SK; Shivlani, M; Koeneke, RF; Agnew, D; Byrd, J; Cryer, M; Dichmont, C; Die, D; Michaels, W; Reid, K; Rice, J; Sparholt, H; Weinberg, J</t>
  </si>
  <si>
    <t>Brown, Stephen K.; Shivlani, Manoj; Koeneke, Roberto F.; Agnew, David; Byrd, Julia; Cryer, Martin; Dichmont, Cathy; Die, David; Michaels, William; Reid, Keith; Rice, Jake; Sparholt, Henrik; Weinberg, James</t>
  </si>
  <si>
    <t>Patterns and practices in fisheries assessment peer review systems</t>
  </si>
  <si>
    <t>Peer review; Stock assessment; Conflict of interest; Fisheries management; Best available science</t>
  </si>
  <si>
    <t>With wild-capture fisheries, important globally as a source of food and livelihood, and facing chronic overfishing, development of the best available science can reduce scientific uncertainty and improve the quality of science-based advice and the credibility to stakeholders of the management decisions based on that science. Fish stock assessments are complex scientific analyses used to provide critical, science-based advice for decision-making, such as quota setting. Building on findings from a 2017 American Fisheries Society (AFS) symposium, this paper describes and compares different national, multilateral, and private peer review systems to assess peer review characteristics and the role of peer review in the development of best available science and science-based advice. There is considerable diversity in how peer review systems are organized in terms of how reviewers are selected, use of internal or external expertise, the level of independence required of reviewers, and the steps in the assessment process at which peer review is conducted. Peer review systems face a number of challenges, including limited funding, a small pool of available expertise and the often highly technical nature of reviews, and trade-offs related to competing demands such as thoroughness versus timeliness, independent technical expertise versus local knowledge, and efficiency versus transparency, among others. The prevalence of peer review systems underscores the importance of objective, peer-reviewed, scientific-based advice across fishery management systems. The diversity of approaches to peer review demonstrates that there is no one ideal way to implement peer review, and there are tradeoffs inherent in designing a peer-review system.</t>
  </si>
  <si>
    <t>[Brown, Stephen K.; Michaels, William] NOAA Fisheries, Off Sci &amp; Technol, 1315 East West Highway, Silver Spring, MD 20910 USA; [Shivlani, Manoj] NTVI Commun Inc, Ctr Independent Experts, 10600 SW 131th Court, Miami, FL 33186 USA; [Koeneke, Roberto F.] NTVI Commun Inc, Ctr Independent Experts, 2851 Polvadero Lane,Unit 103, Orlando, FL 32835 USA; [Agnew, David] Univ Tasmania, Inst Marine &amp; Antarctic Studies, Hobart, Tas 7001, Australia; [Byrd, Julia] South Atlantic Fishery Management Council, 4055 Faber Pl,Suite 201, N Charleston, SC 29405 USA; [Cryer, Martin] Minist Primary Ind, Aquat Environm, POB 2526, Wellington 6140, New Zealand; [Dichmont, Cathy] Cathy Dichmt Consulting, 69 Headsail Dr, Bribie Isl, Qld 4507, Australia; [Die, David] Univ Miami, Div Marine Ecosyst &amp; Soc, 4600 Rickenbacker Causeway, Miami, FL 33149 USA; [Reid, Keith] Commiss Conservat Antarctic Marine Living Resourc, POB 213, North Hobart, Tas 7002, Australia; [Rice, Jake] Canadian Sci Advisory Secretariat CSAS, Dept Fisheries &amp; Oceans Canada, 200 Kent St, Ottawa, ON K1A 0E6, Canada; [Sparholt, Henrik] Int Council Explorat Sea ICES, HC Andersens Blvd 44-46, DK-1553 Copenhagen V, Denmark; [Weinberg, James] NOAA Fisheries, Northeast Fisheries Sci Ctr NEFSC, 166 Water St, Woods Hole, MA 02543 USA</t>
  </si>
  <si>
    <t>National Oceanic Atmospheric Admin (NOAA) - USA; University of Tasmania; University of Miami; Fisheries &amp; Oceans Canada; National Oceanic Atmospheric Admin (NOAA) - USA</t>
  </si>
  <si>
    <t>Shivlani, M (corresponding author), NTVI Commun Inc, Northern Taiga Ventures Inc, Ctr Independent Experts, 10600 SW 131th Court, Miami, FL 33186 USA.</t>
  </si>
  <si>
    <t>MShivlani@ntvifederal.com</t>
  </si>
  <si>
    <t>NOAA Fisheries contract; NTVI Communications, Inc. [EA-133F14-CQ-0016]</t>
  </si>
  <si>
    <t>NOAA Fisheries contract(National Oceanic Atmospheric Admin (NOAA) - USA); NTVI Communications, Inc.</t>
  </si>
  <si>
    <t>M. Shivlani and R. Koeneke are funded under a NOAA Fisheries contract with NTVI Communications, Inc. (Contract number: EA-133F14-CQ-0016; Contract title: Independent External Peer Reviews).</t>
  </si>
  <si>
    <t>10.1016/j.marpol.2020.103880</t>
  </si>
  <si>
    <t>LZ5KQ</t>
  </si>
  <si>
    <t>WOS:000541263200013</t>
  </si>
  <si>
    <t>Wang, LF; Li, FH</t>
  </si>
  <si>
    <t>Wang, Leifan; Li, Fenghua</t>
  </si>
  <si>
    <t>Alternative interpretation to Article VIII of the International Convention for the Regulation of Whaling: Implications from Article XX of the GATT</t>
  </si>
  <si>
    <t>Article VIII of the ICRW; Article XX of the GATT; Exception clause; Threshold of proof; ICJ interpretation</t>
  </si>
  <si>
    <t>Article VIII of the International Convention for the Regulating of Whaling (ICRW) has long remained controversial. In Whaling in the Antarctic, the International Court of Justice (ICJ) set a higher threshold of proof in interpreting Article VIII by transposing the requirement for a necessary measure into a relating to measure under the exception clause. In light of the jurisprudence of Article XX (b) and (g) of the General Agreement on Tariffs and Trade (GATT), this article distinguishes the two measures and identifies that lethal methods are not required to be exclusively for scientific research under Article VIII, at least for its relating to measure. This alternative interpretation can generate an opposite outcome in the case and have significant implications for the application of Article VIII in the future.</t>
  </si>
  <si>
    <t>[Wang, Leifan] Tianjin Univ, Law Sch, 92 Weijin Rd, Tianjin 300027, Peoples R China; [Li, Fenghua] Univ Int Business &amp; Econ, 10 Huixin Dongjie, Beijing 100029, Peoples R China</t>
  </si>
  <si>
    <t>Tianjin University; University of International Business &amp; Economics</t>
  </si>
  <si>
    <t>Wang, LF (corresponding author), Tianjin Univ, Law Sch, 92 Weijin Rd, Tianjin 300027, Peoples R China.</t>
  </si>
  <si>
    <t>leifan.wang@tju.edu.cn; fenghua.li@uibe.edu.cn</t>
  </si>
  <si>
    <t>LI, feng/HIR-1703-2022</t>
  </si>
  <si>
    <t>10.1016/j.marpol.2020.103944</t>
  </si>
  <si>
    <t>WOS:000541263200038</t>
  </si>
  <si>
    <t>Kawaguchi, K; Hayasaka, Y; Shibata, T; Komatsu, M; Kimura, K; Das, K</t>
  </si>
  <si>
    <t>Kawaguchi, Kenta; Hayasaka, Yasutaka; Shibata, Tomoyuki; Komatsu, Masayuki; Kimura, Kosuke; Das, Kaushik</t>
  </si>
  <si>
    <t>Discovery of Paleozoic rocks at northern margin of Sambagawa terrane, eastern Kyushu, Japan: Petrogenesis, U-Pb geochronology and its tectonic implication</t>
  </si>
  <si>
    <t>GEOSCIENCE FRONTIERS</t>
  </si>
  <si>
    <t>Outer zone of southwest Japan; Sambagawa metamorphic terrane; Kurosegawa tectonic zone; LA-ICP-MS zircon U-Pb age; Saganoseki quartz diorite</t>
  </si>
  <si>
    <t>SOUTH KITAKAMI; SW JAPAN; ZIRCON; AGES; EVOLUTION; LINE; METAMORPHISM; GRANITOIDS; SHIKOKU; COMPLEX</t>
  </si>
  <si>
    <t>Ordovician diorite-quartz diorite mylonite (Saganoseki quartz diorite) was discovered in Sambagawa metamorphic terrane at the northern margin of Saganoseki Peninsula, Kyushu Island, Japan. The LA-ICP-MS zircon U-Pb geochronology revealed that the intrusion age of Saganoseki quartz diorite was 473.3 +/- 3.6 Ma. These rocks show the volcanic arc affinity based on the trace element composition. On the basis of geochronological and geochemical results, Saganoseki quartz diorite is considered to be a member of the Early Paleozoic igneous rocks of the Kurosegawa tectonic zone. Saganoseki quartz diorite is located just south of the Median Tectonic Line (MTL) and is in close contact with the pelitic and psammitic schist without any brittle shear zone. U-Pb ages of detrital zircon grains from two psammitic schists show the estimated sedimentation age of early Late Cretaceous, indicate that these psammitic schists are the member of Sambagawa metamorphic rocks. Together with these results and the mode of occurrence in the field, we argue that the Early Paleozoic igneous rocks of the Kurosegawa tectonic zone existed as an upper structural unit of the Sambagawa terrane. This relationship is the key to reconstruct the Mesozoic tectonics of Japan as a part of East Asia, and its evolution through time.</t>
  </si>
  <si>
    <t>[Kawaguchi, Kenta; Hayasaka, Yasutaka; Shibata, Tomoyuki; Kimura, Kosuke; Das, Kaushik] Hiroshima Univ, Grad Sch Sci, Dept Earth &amp; Planetary Syst Sci, 1-3-1 Kagamiyama, Higashihiroshima, Hiroshima 7398526, Japan; [Hayasaka, Yasutaka; Shibata, Tomoyuki; Das, Kaushik] Hiroshima Inst Plate Convergence Reg Res, 1-3-1 Kagamiyama, Higashihiroshima, Hiroshima 7398526, Japan; [Komatsu, Masayuki] Ehime Univ, 10-13 Dogo Himata, Matsuyama, Ehime 7908577, Japan</t>
  </si>
  <si>
    <t>Hiroshima University; Ehime University</t>
  </si>
  <si>
    <t>Kawaguchi, K (corresponding author), Hiroshima Univ, Grad Sch Sci, Dept Earth &amp; Planetary Syst Sci, 1-3-1 Kagamiyama, Higashihiroshima, Hiroshima 7398526, Japan.</t>
  </si>
  <si>
    <t>kenta-kawaguchi@hiroshima-u.ac.jp</t>
  </si>
  <si>
    <t>Kawaguchi, Kenta/JNJ-8564-2023; Das, Kaushik/G-9616-2016</t>
  </si>
  <si>
    <t>Kawaguchi, Kenta/0000-0003-4495-7165; Das, Kaushik/0000-0002-2372-2095; Kimura, Kosuke/0000-0003-2376-6108</t>
  </si>
  <si>
    <t>Fukada Geological Institute</t>
  </si>
  <si>
    <t>Fukada Geological Institute(Fukada Geological Institute (FGI))</t>
  </si>
  <si>
    <t>We would like to thank the members of the Antarctic Geoscience Research Group in West Japan for useful discussions. We also thank Y. Shibata for his support in EPMA analysis. This study was supported by the Fukada Geological Institute [Fukada Grant-in-Aid]. The critical review comments by the two anonymous reviewers have greatly helped to enhance the quality of the content and form of the present manuscript. Moreover, we are thankful to the Associate Editor Sanghoon Kwon for his handling of the manuscript.</t>
  </si>
  <si>
    <t>CHINA UNIV GEOSCIENCES, BEIJING</t>
  </si>
  <si>
    <t>HAIDIAN DISTRICT</t>
  </si>
  <si>
    <t>29 XUEYUAN RD, HAIDIAN DISTRICT, 100083, PEOPLES R CHINA</t>
  </si>
  <si>
    <t>1674-9871</t>
  </si>
  <si>
    <t>GEOSCI FRONT</t>
  </si>
  <si>
    <t>Geosci. Front.</t>
  </si>
  <si>
    <t>10.1016/j.gsf.2020.01.001</t>
  </si>
  <si>
    <t>LZ9DN</t>
  </si>
  <si>
    <t>WOS:000541519300026</t>
  </si>
  <si>
    <t>Hrbácek, F; Cannone, N; Knazková, M; Malfasi, F; Convey, P; Guglielmin, M</t>
  </si>
  <si>
    <t>Hrbacek, Filip; Cannone, Nicoletta; Knazkova, Michaela; Malfasi, Francesco; Convey, Peter; Guglielmin, Mauro</t>
  </si>
  <si>
    <t>Effect of climate and moss vegetation on ground surface temperature and the active layer among different biogeographical regions in Antarctica</t>
  </si>
  <si>
    <t>Active layer thickness; Antarctica; Mosses; Climate change; Ecosystems; Soil thermal regime</t>
  </si>
  <si>
    <t>JAMES-ROSS-ISLAND; PENINSULA LIVINGSTON ISLAND; KING GEORGE ISLAND; CALM-S SITE; THERMAL REGIME; SNOW COVER; SOIL-TEMPERATURE; PERMAFROST DISTRIBUTION; MARITIME ANTARCTICA; BYERS PENINSULA</t>
  </si>
  <si>
    <t>Ground surface temperature (GST) and active layer thickness (ALT) are key indicators of climate change (CC) in permafrost regions, with their relationships with climate and vegetation being crucial for the understanding of future climate change scenarios, as well as of CC feedbacks on the carbon cycle and water balance. Antarctic ice free-areas host simplified ecosystems with vegetation dominated by mosses and lichens, and an almost negligible anthropogenic impact, providing a good template of ecosystem responses to CC. At three different Antarctic Conservation Biogeographical Regions (ACBR) sites in Antarctica located between 74 degrees and 60 degrees S, we compared barren ground and moss vegetated sites to understand and quantify the effects of climate (air temperature and incoming radiation) and of vegetation on GST and ALT. Our data show that incoming radiation is the most important driver of summer GST at the southernmost site, while in the other sites air temperature is the main driver of GST. Our data indicate that there is a decoupling between ALT and summer GST, because the highest GST values correspond with the thinnest ALT. Moreover, our data confirm the importance of the buffering effect of moss vegetation on GST in Antarctica. The intensity of the effect of moss cover on GST and ALT mainly depends on the species-specific moss water retention capacity and on their structure. These results highlight that the correct assessment of the moss type and of its water retention can be of great importance in the accurate modelling of ALT variation and its feedback on CC.</t>
  </si>
  <si>
    <t>[Hrbacek, Filip; Knazkova, Michaela] Masaryk Univ, Fac Sci, Dept Geog, Brno, Czech Republic; [Cannone, Nicoletta] Insubria Univ, Dept Sci &amp; High Techonol, Como, Italy; [Malfasi, Francesco; Guglielmin, Mauro] Insubria Univ, Dept Theoret &amp; Appl Sci, Varese, Italy; [Convey, Peter] British Antarctic Survey, NERC, Madingley Rd, Cambridge CB3 0ET, England</t>
  </si>
  <si>
    <t>Masaryk University Brno; University of Insubria; University of Insubria; UK Research &amp; Innovation (UKRI); Natural Environment Research Council (NERC); NERC British Antarctic Survey</t>
  </si>
  <si>
    <t>Guglielmin, M (corresponding author), Insubria Univ, Dept Theoret &amp; Appl Sci, Varese, Italy.</t>
  </si>
  <si>
    <t>mauro.guglielmin@uninsubria.it</t>
  </si>
  <si>
    <t>Malfasi, Francesco/JTS-5575-2023; Convey, Peter/AAV-5728-2020; Hrbacek, Filip/ABG-4319-2020</t>
  </si>
  <si>
    <t>Malfasi, Francesco/0000-0002-2660-8327; Convey, Peter/0000-0001-8497-9903; Hrbacek, Filip/0000-0001-5032-9216</t>
  </si>
  <si>
    <t>Italian Ministery of Research [PNRA 16_0194, PNRA 16_00224]; project Biodiversity, Evolution and Adaptation of British Antarctic Survey, United Kingdom; Ministry of Youth and Sports of the Czech Republic [LM2015078, Z.02.01/0.0/0.0/16_013/0001708]; Masaryk University, Brno [MUNI/A/1576/2018]; NERC [bas0100036] Funding Source: UKRI</t>
  </si>
  <si>
    <t>Italian Ministery of Research; project Biodiversity, Evolution and Adaptation of British Antarctic Survey, United Kingdom; Ministry of Youth and Sports of the Czech Republic(Ministry of Education, Youth &amp; Sports - Czech Republic); Masaryk University, Brno; NERC(UK Research &amp; Innovation (UKRI)Natural Environment Research Council (NERC))</t>
  </si>
  <si>
    <t>For MG, NC and FM: the projects PNRA 16_0194 and PNRA 16_00224 of the Italian Ministery of Research; for PC the project Biodiversity, Evolution and Adaptation of British Antarctic Survey, United Kingdom; for FH and MK the projects LM2015078 and Z.02.01/0.0/0.0/16_013/0001708 of Ministry of Youth and Sports of the Czech Republic and the project MUNI/A/1576/2018 of Masaryk University, Brno.</t>
  </si>
  <si>
    <t>10.1016/j.catena.2020.104562</t>
  </si>
  <si>
    <t>LC4VT</t>
  </si>
  <si>
    <t>WOS:000525324600041</t>
  </si>
  <si>
    <t>Jones-Williams, K; Galloway, T; Cole, M; Stowasser, G; Waluda, C; Manno, C</t>
  </si>
  <si>
    <t>Jones-Williams, Kirstie; Galloway, Tamara; Cole, Matthew; Stowasser, Gabriele; Waluda, Claire; Manno, Clara</t>
  </si>
  <si>
    <t>Close encounters-microplastic availability to pelagic amphipods in sub-antarctic and antarctic surface waters</t>
  </si>
  <si>
    <t>Microplastics; Mespolastics; Encounter Rate; Synthetic Fibres; Amphipods; Southern Ocean</t>
  </si>
  <si>
    <t>MARINE-ENVIRONMENT; PLASTIC PARTICLES; SCOTIA SEA; ZOOPLANKTON; ACCUMULATION; DISPERSAL; INGESTION; DYNAMICS; CURRENTS; DEBRIS</t>
  </si>
  <si>
    <t>This study investigated the distribution of plastic debris from the Atlantic portion of the Sub-Antarctic to the Antarctic Peninsula. This region is home to some of the highest concentrations of zooplankton biomass but is also threatened by increasing shipping traffic from fishing and the growing tourism market. Samples were collected using a surface-towed neuston net during the Austral summer 2018, aboard the RRS James Clark Ross. Using Fourier Transform Infrared Spectrometry it was found that 45.6% of the plastic particles isolated from seawater samples were sampling contamination, originating predominantly from the ship. Of the remaining particles, both low density (polyethylene, polypropylene) and high-density (phenoxy and epoxy resins) polymers were found in the surface water suggesting both long-range and local sources of origin. Whilst we found that micro and mesoplastic concentrations in seawater were significantly low (0.013 +/- 0.005n/m(3)) compared to global averages, they were higher along the Antarctic Peninsula than the open ocean (Sub-Antarctic) stations. The potential availability of micro and mesoplastics (MP) to pelagic amphipods was explored, using an observed encounter rate (OER) and a possible encounter rate (PER). The total OER (0.8%) was higher than the PER (0.15%), suggesting that even at low concentrations, microplastics are encountered, and potentially consumed, by amphipods. This study highlights the need to prioritise regions of high zooplankton abundance and to investigate both water and biota to build up a picture of plastic pollution and its potential interaction with the Antarctic Ecosystem.</t>
  </si>
  <si>
    <t>[Jones-Williams, Kirstie; Stowasser, Gabriele; Waluda, Claire; Manno, Clara] British Antarctic Survey, Madingley Rd, Cambridge CB3 0ET, England; [Jones-Williams, Kirstie; Galloway, Tamara] Univ Exeter, Streatham Campus,Northcote House, Exeter EX4 4QJ, Devon, England; [Cole, Matthew] Plymouth Marine Lab, Prospect Pl, Plymouth PL1 3DH, Devon, England</t>
  </si>
  <si>
    <t>UK Research &amp; Innovation (UKRI); Natural Environment Research Council (NERC); NERC British Antarctic Survey; University of Exeter; Plymouth Marine Laboratory</t>
  </si>
  <si>
    <t>Jones-Williams, K (corresponding author), British Antarctic Survey, Madingley Rd, Cambridge CB3 0ET, England.</t>
  </si>
  <si>
    <t>kirnes79@bas.ac.uk</t>
  </si>
  <si>
    <t>Cole, Matthew/0000-0001-5910-1189; Jones-Williams, Kirstie/0000-0003-4343-4725</t>
  </si>
  <si>
    <t>Natural Environment Research Council (NERC) GW4plus Doctoral Training Partnership [NE/L002434/1]; ecosystems programme at the British Antarctic Survey during the POETS Cruise [JR17002]; NERC [bas0100035] Funding Source: UKRI</t>
  </si>
  <si>
    <t>Natural Environment Research Council (NERC) GW4plus Doctoral Training Partnership(UK Research &amp; Innovation (UKRI)Natural Environment Research Council (NERC)); ecosystems programme at the British Antarctic Survey during the POETS Cruise; NERC(UK Research &amp; Innovation (UKRI)Natural Environment Research Council (NERC))</t>
  </si>
  <si>
    <t>The authors would like to thank the crew and staff aboard the JR17002, with special thanks to Elisa Bergami for her advice during the research expedition and the Antarctic Marine Engineering division, at the British Antarctic Survey, and in particular Bjorg Helen Apeland for her support. Thanks also to David Santillo for his training and continued support. The authors are also incredibly grateful to the reviewers of this manuscript. This work was supported by the Natural Environment Research Council (NERC) GW4plus Doctoral Training Partnership (Grant Number: NE/L002434/1) and the ecosystems programme at the British Antarctic Survey during the POETS Cruise, JR17002.</t>
  </si>
  <si>
    <t>10.1016/j.envint.2020.105792</t>
  </si>
  <si>
    <t>ME8CZ</t>
  </si>
  <si>
    <t>WOS:000544882200011</t>
  </si>
  <si>
    <t>Emry, EL; Nyblade, AA; Horton, A; Hansen, SE; Julià, J; Aster, RC; Huerta, AD; Winberry, JP; Wiens, DA; Wilson, TJ</t>
  </si>
  <si>
    <t>Emry, Erica L.; Nyblade, Andrew A.; Horton, Alan; Hansen, Samantha E.; Julia, Jordi; Aster, Richard C.; Huerta, Audrey D.; Winberry, J. Paul; Wiens, Douglas A.; Wilson, Terry J.</t>
  </si>
  <si>
    <t>Prominent thermal anomalies in the mantle transition zone beneath the Transantarctic Mountains</t>
  </si>
  <si>
    <t>ANTARCTIC RIFT SYSTEM; WEST ANTARCTICA; SEISMIC EVIDENCE; ROSS SEA; PLUME; CONVECTION; EMBAYMENT; DYNAMICS; EARTH; LAND</t>
  </si>
  <si>
    <t>The Transantarctic Mountains (TAMs), Antarctica, exhibit anomalous uplift and volcanism and have been associated with regions of thermally perturbed upper mantle that may or may not be connected to lower mantle processes. To determine if the anomalous upper mantle beneath the TAMs connects to the lower mantle, we interrogate the mantle transition zone (MTZ) structure under the TAMs and adjacent parts of East Antarctica using 12,500+ detections of P-to-S conversions from the 410 and 660 km discontinuities. Our results show distinct zones of thinner-than-global-average MTZ (similar to 205-225 km, similar to 10%-18% thinner) beneath the central TAMs and southern Victoria Land, revealing throughgoing convective thermal anomalies (i.e., mantle plumes) that connect prominent upper and lower mantle low-velocity regions. This suggests that the thermally perturbed upper mantle beneath the TAMs and Ross Island may have a lower mantle origin, which could influence patterns of volcanism and TAMs uplift.</t>
  </si>
  <si>
    <t>[Emry, Erica L.; Horton, Alan] New Mexico Inst Min &amp; Technol, Dept Earth &amp; Environm Sci, Socorro, NM 87801 USA; [Emry, Erica L.; Hansen, Samantha E.] Univ Alabama, Dept Geol Sci, Tuscaloosa, AL 35487 USA; [Nyblade, Andrew A.] Penn State Univ, Dept Geosci, University Pk, PA 16802 USA; [Julia, Jordi] Univ Fed Rio Grande do Norte, Dept Geofis, BR-59078970 Natal, RN, Brazil; [Aster, Richard C.] Colorado State Univ, Dept Geosci, Ft Collins, CO 80523 USA; [Huerta, Audrey D.; Winberry, J. Paul] Cent Washington Univ, Dept Geol Sci, Ellensburg, WA 98926 USA; [Wiens, Douglas A.] Washington Univ, Dept Earth &amp; Planetary Sci, St Louis, MO 63112 USA; [Wilson, Terry J.] Ohio State Univ, Sch Earth Sci, Columbus, OH 43210 USA</t>
  </si>
  <si>
    <t>New Mexico Institute of Mining Technology; University of Alabama System; University of Alabama Tuscaloosa; Pennsylvania Commonwealth System of Higher Education (PCSHE); Pennsylvania State University; Pennsylvania State University - University Park; Universidade Federal do Rio Grande do Norte; Colorado State University; Central Washington University; Washington University (WUSTL); University System of Ohio; Ohio State University</t>
  </si>
  <si>
    <t>Emry, EL (corresponding author), New Mexico Inst Min &amp; Technol, Dept Earth &amp; Environm Sci, Socorro, NM 87801 USA.;Emry, EL (corresponding author), Univ Alabama, Dept Geol Sci, Tuscaloosa, AL 35487 USA.</t>
  </si>
  <si>
    <t>Winberry, Paul/HLQ-2673-2023; Julià, Jordi/H-1672-2017; Aster, Richard/E-5067-2013; Huerta, Audrey D/A-8680-2009; Emry, Erica/AAJ-6040-2020; Wiens, Douglas/J-9259-2016</t>
  </si>
  <si>
    <t>Winberry, Paul/0000-0003-1205-0745; Aster, Richard/0000-0002-0821-4906; Emry, Erica/0000-0001-5515-1568; Wiens, Douglas/0000-0002-5169-4386; Huerta, Audrey/0000-0002-0252-8496</t>
  </si>
  <si>
    <t>U.S. National Science Foundation (NSF) Office of Polar Programs and Earth Sciences [0632230, 0632239, 0652322, 0632335, 0632136, 0632209, 0632185, 1349684, 1643798]; Incorporated Research Institutions for Seismology (IRIS) Summer Internship Program; NSF's Seismological Facilities for the Advancement of Geoscience (SAGE) Award [EAR-1851048]; Directorate For Geosciences; Division Of Earth Sciences [1349684] Funding Source: National Science Foundation; Office of Polar Programs (OPP); Directorate For Geosciences [0632136, 1643798, 0632239, 0632185, 0632209] Funding Source: National Science Foundation; Office of Polar Programs (OPP); Directorate For Geosciences [0632335] Funding Source: National Science Foundation</t>
  </si>
  <si>
    <t>U.S. National Science Foundation (NSF) Office of Polar Programs and Earth Sciences(National Science Foundation (NSF)); Incorporated Research Institutions for Seismology (IRIS) Summer Internship Program; NSF's Seismological Facilities for the Advancement of Geoscience (SAGE) Award; Directorate For Geosciences; Division Of Earth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</si>
  <si>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The authors acknowledge funding from the U.S. National Science Foundation (NSF) Office of Polar Programs and Earth Sciences (grants 0632230, 0632239, 0652322, 0632335, 0632136, 0632209, 0632185, 1349684, 1643798) and the Incorporated Research Institutions for Seismology (IRIS) Summer Internship Program. The seismic instruments were provided by IRIS through the Portable Array Seismic Studies of the Continental Lithosphere (PASSCAL) Instrument Center at The New Mexico Institute of Mining and Technology (Socorro, New Mexico, USA). Data collected are available through the IRIS Data Management Center (https://www.iris.edu/hq). The facilities of the IRIS Consortium are supported by the NSF's Seismological Facilities for the Advancement of Geoscience (SAGE) Award under Cooperative Support Agreement EAR-1851048. We thank editor C. Clark, A. Reading, and two anonymous reviewers for their suggestions, as well as G. Brenn and A. Lloyd for providing their tomographic models. Other models can be accessed at https://ds.iris.edu/ds/products/emc-gypsum/or at http://www.seismolab.org/model/antarctica/lithosphere/index.html#an1-crust. We also thank the IRIS PASSCAL staff and the researchers who maintain Antarctic seismometers.</t>
  </si>
  <si>
    <t>10.1130/G47346.1</t>
  </si>
  <si>
    <t>WOS:000541883600024</t>
  </si>
  <si>
    <t>Jeong, H; Asay-Davis, XS; Turner, AK; Comeau, DS; Price, SF; Abernathey, RP; Veneziani, M; Petersen, MR; Hoffman, MJ; Mazloff, MR; Ringler, TD</t>
  </si>
  <si>
    <t>Jeong, Hyein; Asay-Davis, Xylar S.; Turner, Adrian K.; Comeau, Darin S.; Price, Stephen F.; Abernathey, Ryan P.; Veneziani, Milena; Petersen, Mark R.; Hoffman, Matthew J.; Mazloff, Matthew R.; Ringler, Todd D.</t>
  </si>
  <si>
    <t>Impacts of Ice-Shelf Melting on Water-Mass Transformation in the Southern Ocean from E3SM Simulations</t>
  </si>
  <si>
    <t>Freshwater; Snowmelt; icemelt; Thermohaline circulation; Water masses; storage; Climate models; Ocean models</t>
  </si>
  <si>
    <t>ANTARCTIC SEA-ICE; MODELS HISTORICAL BIAS; CIRCUMPOLAR CURRENT; ATLANTIC-OCEAN; BOTTOM WATER; CIRCULATION; VARIABILITY; CONVECTION; TRANSPORT; RATES</t>
  </si>
  <si>
    <t>The Southern Ocean overturning circulation is driven by winds, heat fluxes, and freshwater sources. Among these sources of freshwater, Antarctic sea ice formation and melting play the dominant role. Even though ice-shelf melt is relatively small in magnitude, it is located close to regions of convection, where it may influence dense water formation. Here, we explore the impacts of ice-shelf melting on Southern Ocean water-mass transformation (WMT) using simulations from the Energy Exascale Earth System Model (E3SM) both with and without the explicit representation of melt fluxes from beneath Antarctic ice shelves. We find that ice-shelf melting enhances transformation of Upper Circumpolar Deep Water, converting it to lower density values. While the overall differences in Southern Ocean WMT between the two simulations are moderate, freshwater fluxes produced by ice-shelf melting have a further, indirect impact on the Southern Ocean overturning circulation through their interaction with sea ice formation and melting, which also cause considerable upwelling. We further find that surface freshening and cooling by ice-shelf melting cause increased Antarctic sea ice production and stronger density stratification near the Antarctic coast. In addition, ice-shelf melting causes decreasing air temperature, which may be directly related to sea ice expansion. The increased stratification reduces vertical heat transport from the deeper ocean. Although the addition of ice-shelf melting processes leads to no significant changes in Southern Ocean WMT, the simulations and analysis conducted here point to a relationship between increased Antarctic ice-shelf melting and the increased role of sea ice in Southern Ocean overturning.</t>
  </si>
  <si>
    <t>[Jeong, Hyein; Asay-Davis, Xylar S.; Turner, Adrian K.; Comeau, Darin S.; Price, Stephen F.; Veneziani, Milena; Petersen, Mark R.; Hoffman, Matthew J.; Ringler, Todd D.] Los Alamos Natl Lab, Los Alamos, NM 87545 USA; [Abernathey, Ryan P.] Columbia Univ, Lamont Doherty Earth Observ, Palisades, NY USA; [Mazloff, Matthew R.] Scripps Inst Oceanog, La Jolla, CA USA</t>
  </si>
  <si>
    <t>United States Department of Energy (DOE); Los Alamos National Laboratory; Columbia University; University of California System; University of California San Diego; Scripps Institution of Oceanography</t>
  </si>
  <si>
    <t>Jeong, H (corresponding author), Los Alamos Natl Lab, Los Alamos, NM 87545 USA.</t>
  </si>
  <si>
    <t>hijeong@lanl.gov</t>
  </si>
  <si>
    <t>Turner, Adrian K/A-9539-2009; Jeong, Hyein/AAW-3494-2020; Price, Stephen/E-1568-2013</t>
  </si>
  <si>
    <t>Abernathey, Ryan/0000-0001-5999-4917; Price, Stephen/0000-0001-6878-2553; Jeong, Hyein/0000-0002-2235-7188; Veneziani, Milena/0000-0001-9977-4599; Turner, Adrian/0000-0001-6796-4187; Comeau, Darin/0000-0003-4758-4253</t>
  </si>
  <si>
    <t>Energy Exascale Earth System Model (E3SM) project - U.S. Department of Energy (DOE) Office of Science, Biological and Environmental Research program; NSF [OCE-1553593, OCE-1658001, OCE-1924388, PLR-1425989]; Argonne Leadership Computing Facility (U.S. DOE) under an ASCR Leadership Computing Challenge (ALCC) award [DE-AC02-06CH11357]; National Energy Research Scientific Computing Center (U.S. DOE) under an ASCR Leadership Computing Challenge (ALCC) award [DE-AC02-05CH11231]; Oak Ridge Leadership Computing Facility at the Oak Ridge National Laboratory (U.S. DOE) under an ASCR Leadership Computing Challenge (ALCC) award [DE-AC05-00OR22725]</t>
  </si>
  <si>
    <t>Energy Exascale Earth System Model (E3SM) project - U.S. Department of Energy (DOE) Office of Science, Biological and Environmental Research program(United States Department of Energy (DOE)); NSF(National Science Foundation (NSF)); Argonne Leadership Computing Facility (U.S. DOE) under an ASCR Leadership Computing Challenge (ALCC) award; National Energy Research Scientific Computing Center (U.S. DOE) under an ASCR Leadership Computing Challenge (ALCC) award; Oak Ridge Leadership Computing Facility at the Oak Ridge National Laboratory (U.S. DOE) under an ASCR Leadership Computing Challenge (ALCC) award</t>
  </si>
  <si>
    <t>This research was supported by the Energy Exascale Earth System Model (E3SM) project, funded by the U.S. Department of Energy (DOE) Office of Science, Biological and Environmental Research program. E3SM simulations used computing resources from the Argonne Leadership Computing Facility (U.S. DOE Contract DE-AC02-06CH11357), the National Energy Research Scientific Computing Center (U.S. DOE Contract DE-AC02-05CH11231), and the Oak Ridge Leadership Computing Facility at the Oak Ridge National Laboratory (U.S. DOE Contract DE-AC05-00OR22725), awarded under an ASCR Leadership Computing Challenge (ALCC) award. Author R. Abernathey acknowledges support from NSF Award OCE-1553593. Author M. Mazloff acknowledges support from NSF Grants OCE-1658001, OCE-1924388, and PLR-1425989. The authors appreciate three anonymous reviewers.</t>
  </si>
  <si>
    <t>10.1175/JCLI-D-19-0683.1</t>
  </si>
  <si>
    <t>Bronze, Green Submitted</t>
  </si>
  <si>
    <t>WOS:000541589400023</t>
  </si>
  <si>
    <t>Bai, XX; Yan, HM; Zhu, YZ; Peng, P; Yan, Y; Shen, YC</t>
  </si>
  <si>
    <t>Bai, Xixuan; Yan, Haoming; Zhu, Yaozhong; Peng, Peng; Yan, Yi; Shen, Yingchun</t>
  </si>
  <si>
    <t>Formal error assessment of geodetic mean dynamic topography at different spatial scales</t>
  </si>
  <si>
    <t>JOURNAL OF GEODYNAMICS</t>
  </si>
  <si>
    <t>Mean dynamic ocean topography (MDT); Earth gravity model (EGM); Variance-covariance matrix; Formal error; Spectral-wise method; Spatial error assessment</t>
  </si>
  <si>
    <t>ANTARCTIC CIRCUMPOLAR CURRENT; SEA-SURFACE; SATELLITE; GOCE; ACCURACY; MODELS</t>
  </si>
  <si>
    <t>GOCE satellite mission enabled us to produce a dramatic improvement in the ability to measure the ocean's mean dynamic topography (MDT). To promote the application of the new geodetic MDT, it is essential to estimate its error quantitatively. Motivated by this requirement, we carefully assessed the formal error of geodetic MDT based on the classical error propagation law across each harmonic degree and order (D/O) which corresponds to different spatial scale. In the processes above, we presented an efficient method by introducing Fast Fourier Transform Algorithm (FFT) for computation, by which the challenge of high computation load in formal error estimation across each cutoff D/O was overcome. It was found that the MDT formal errors were mainly dominated by geoid formal error across high cutoff D/O. Across low D/O the mean sea surface (MSS) formal error was primarily responsible for the MDT formal error. At the global scale (70 degrees S-70 degrees N), the geoid and MSS made similar contributions (0.27 cm) to the MDT formal error (0.38 cm) with a cutoff D/O of 120, corresponding to spatial resolution of 167 km; With a cutoff D/O of 100, 200, and 280, the MDT formal errors were approximately 0.32 cm, 2.0 cm, and 12.5 cm, respectively.</t>
  </si>
  <si>
    <t>[Bai, Xixuan] Wuhan Inst Technol, Sch Civil Engn &amp; Architecture, Wuhan, Peoples R China; [Yan, Haoming; Zhu, Yaozhong; Peng, Peng; Shen, Yingchun] Chinese Acad Sci, Inst Geodesy &amp; Geophys, State Key Lab Geodesy &amp; Earths Dynam, Wuhan, Peoples R China; [Yan, Yi] South Cent Univ Nationalities, Coll Resources &amp; Environm Sci, Res Ctr Human Environm Relationship, Wuhan, Peoples R China</t>
  </si>
  <si>
    <t>Wuhan Institute of Technology; Chinese Academy of Sciences; Innovation Academy for Precision Measurement Science &amp; Technology, CAS; South Central Minzu University</t>
  </si>
  <si>
    <t>Yan, HM (corresponding author), Chinese Acad Sci, Inst Geodesy &amp; Geophys, State Key Lab Geodesy &amp; Earths Dynam, Wuhan, Peoples R China.</t>
  </si>
  <si>
    <t>yhm@asch.whigg.ac.cn</t>
  </si>
  <si>
    <t>National Natural Science Foundation of China [41704081, 41774016]; State Key Laboratory of Geodesy and Earth's Dynamics, Institute of Geodesy and geophysics, Chinese Academy of Sciences [SKLGED2018-1-1-E]; Science Research Foundation of Wuhan Institute of Technology [K201722]; Natural Science Foundation of Hubei Province of China [2016CFB364]</t>
  </si>
  <si>
    <t>National Natural Science Foundation of China(National Natural Science Foundation of China (NSFC)); State Key Laboratory of Geodesy and Earth's Dynamics, Institute of Geodesy and geophysics, Chinese Academy of Sciences; Science Research Foundation of Wuhan Institute of Technology; Natural Science Foundation of Hubei Province of China(Natural Science Foundation of Hubei Province)</t>
  </si>
  <si>
    <t>This research is supported by the National Natural Science Foundation of China (41704081, 41774016), the project of State Key Laboratory of Geodesy and Earth's Dynamics, Institute of Geodesy and geophysics, Chinese Academy of Sciences (SKLGED2018-1-1-E), Science Research Foundation of Wuhan Institute of Technology (K201722), and the Natural Science Foundation of Hubei Province of China (2016CFB364). Thanks to AVISO (https://www.aviso.altimetry.fr/en/home.html) and ESA (http://eo-virtual-archive1.esa.int/GOCEGravityModels.html) for their data supports. Thanks to the effective WFL toolbox (http://sklged.whigg.cas.cn/jszc/share/201101/t20110107_3055560.html), Slepain toolbox (http://geoweb.princeton.edu/people/simons/software.html), and Covhsmp and Covhsm2p toolbox (http://earth.esa.int/gut), which provide strong supports to our work. The comments and assistance in evaluating this paper by the reviewers are gratefully acknowledged.</t>
  </si>
  <si>
    <t>0264-3707</t>
  </si>
  <si>
    <t>J GEODYN</t>
  </si>
  <si>
    <t>J. Geodyn.</t>
  </si>
  <si>
    <t>10.1016/j.jog.2020.101753</t>
  </si>
  <si>
    <t>LZ3LF</t>
  </si>
  <si>
    <t>WOS:000541129000003</t>
  </si>
  <si>
    <t>Valdivia, N; Garrido, I; Bruning, P; Piñones, A; Pardo, LM</t>
  </si>
  <si>
    <t>Valdivia, Nelson; Garrido, Ignacio; Bruning, Paulina; Pinones, Andrea; Miguel Pardo, Luis</t>
  </si>
  <si>
    <t>Biodiversity of an Antarctic rocky subtidal community and its relationship with glacier meltdown processes</t>
  </si>
  <si>
    <t>Bellingshausen dome; Benthic communities; Collins glacier; Diversity; Environmental filtering; Glacier retreat; Maxwell bay; South Shetland Islands</t>
  </si>
  <si>
    <t>KING GEORGE ISLAND; ICE; PATTERNS; IMPACT; SEA; SEDIMENTATION; RETREAT</t>
  </si>
  <si>
    <t>Glacier meltdown is a major environmental response to climate change in the West Antarctic Peninsula. Yet, the consequences of this process for local biodiversity are still not well understood. Here, we analyse the diversity and structure of a species-rich marine subtidal macrobenthic community (consumers and primary producers) across two abiotic environmental gradients defined by the distance from a glacier (several km) and depth (between 5 and 20 m depth) in Fildes Bay, King George Island. The analysis of spatially extensive records of seawater turbidity, high-frequency temperature and salinity data, and suction dredge samples of macrobenthic organisms revealed non-linear and functional group-dependent associations between biodiversity, glacier influence, and depth. Turbidity peaked in shallow waters and in the nearby of the glacier. Temperature and salinity, on the other hand, slightly decreased in the proximity of the glacier relative to reference sites. According to the spatial pattern in turbidity, species richness of consumers was lowest in shallow waters and near to the glacier. Also, Shannon's diversity of consumers significantly decreased in the nearby of glacier across depths. Moreover, the spatial variation in community structure of consumers and primary producers depended on both glacier distance and depth. These results suggest that glacier melting can have significant effects on diversity and community structure. Therefore, the accelerated glacier meltdown may have major consequences for the biodiversity in this ecosystem.</t>
  </si>
  <si>
    <t>[Valdivia, Nelson; Garrido, Ignacio; Pinones, Andrea; Miguel Pardo, Luis] Univ Austral Chile, Fac Ciencias, Inst Ciencias Marinas &amp; Limnol, Valdivia, Chile; [Valdivia, Nelson; Garrido, Ignacio; Bruning, Paulina; Pinones, Andrea; Miguel Pardo, Luis] Ctr FONDAP Invest Dinam Ecosistemas Marinos Altas, Valdivia, Chile; [Garrido, Ignacio; Bruning, Paulina] Univ Laval, Dept Biol, Quebec City, PQ, Canada; [Garrido, Ignacio; Bruning, Paulina] Univ Laval, Quebec Ocean Inst, Quebec City, PQ, Canada; [Pinones, Andrea] Univ Concepcion, Ctr Invest Oceanog COPAS Austral, Concepcion, Chile</t>
  </si>
  <si>
    <t>Universidad Austral de Chile; Laval University; Laval University; Universidad de Concepcion</t>
  </si>
  <si>
    <t>Valdivia, N (corresponding author), Univ Austral Chile, Fac Ciencias, Inst Ciencias Marinas &amp; Limnol, Valdivia, Chile.</t>
  </si>
  <si>
    <t>nelson.valdivia@uach.cl; luispardo@uach.cl</t>
  </si>
  <si>
    <t>Pardo, L M/A-3178-2008; Valdivia, Nelson/C-3613-2009</t>
  </si>
  <si>
    <t>Bruning, Paulina/0000-0002-2064-719X; Valdivia, Nelson/0000-0002-5394-2072; Pinones, Andrea/0000-0002-1737-9016; Pardo, Luis Miguel/0000-0002-8179-5057</t>
  </si>
  <si>
    <t>FONDAP [15150003]; CONICYT-FONDECYT grants [1190529, 1181300]; CONICYT [PAI 79160077]</t>
  </si>
  <si>
    <t>FONDAP; CONICYT-FONDECYT grants; CONICYT(Comision Nacional de Investigacion Cientifica y Tecnologica (CONICYT))</t>
  </si>
  <si>
    <t>We thank the invaluable support provided by the IDEAL diving team-particularly Maria Jos.e Diaz, Hans Bartsch, Mateo C.aceres, and Basti.an Garrido-, the INACh crew at Base Profesor Julio Escudero, Dayane Yolette Osman, Charlotte Carrier, and Rossana Reveco. Professor Francesco Regoli and four anonymous reviewers provided insightful comments that improved a previous version of the manuscript. This study was financially supported by FONDAP grant #15150003 (IDEAL). While writing, NV was supported by CONICYT-FONDECYT grants #1190529 and #1181300. AP thanks financial support from CONICYT PAI 79160077.</t>
  </si>
  <si>
    <t>10.1016/j.marenvres.2020.104991</t>
  </si>
  <si>
    <t>WOS:000549328000026</t>
  </si>
  <si>
    <t>Na, GS; Gao, YZ; Li, RJ; Gao, H; Hou, C; Ye, JD; Jin, SC; Zhang, ZF</t>
  </si>
  <si>
    <t>Na, Guangshui; Gao, Yunze; Li, Ruijing; Gao, Hui; Hou, Chao; Ye, Jiandong; Jin, Shuaichen; Zhang, Zhifeng</t>
  </si>
  <si>
    <t>Occurrence and sources of polycyclic aromatic hydrocarbons in atmosphere and soil from 2013 to 2019 in the Fildes Peninsula, Antarctica</t>
  </si>
  <si>
    <t>Fildes peninsula; Polycyclic aromatic hydrocarbons; Long-term trends; Distribution; Sources</t>
  </si>
  <si>
    <t>PERSISTENT ORGANIC POLLUTANTS; SOURCE APPORTIONMENT; PAHS; CHINA; SEDIMENTS; SNOW</t>
  </si>
  <si>
    <t>Long-term monitoring is essential for revealing pollution trends, but relevant studies in the Antarctic remain limited. In this study, a seven-year continuous monitoring of polycyclic aromatic hydrocarbons (PAHs) in the atmosphere and soil was carried out at the Fildes Peninsula, Antarctica. Average concentrations of Sigma(15)PAHs were 7134.491 pg/m(3) and 61.093 ng/g in air and soil, respectively. A declining trend was observed for Sigma(15)PAHs in air during the 2013-2019 summer, but this was not found in soil. Potential sources of PAHs in the Fildes Peninsula were identified by PMF modeling, correlation analysis, air mass back-trajectories and component analysis. The results showed that PAHs in the gas phase were more easily influenced by long-range atmospheric transport (LRAT) than in the particle phase. Moreover, temperature played a key role in the PAHs concentration in particle phase. Occurrence of Sigma(15)PAHs in soil was mainly attributed to local sources including fossil fuel combustion and spilling.</t>
  </si>
  <si>
    <t>[Na, Guangshui; Gao, Yunze; Li, Ruijing; Gao, Hui; Hou, Chao; Ye, Jiandong; Jin, Shuaichen; Zhang, Zhifeng] Natl Marine Environm Monitoring Ctr, Dalian 116023, Peoples R China; [Gao, Yunze; Hou, Chao; Ye, Jiandong] Shanghai Ocean Univ, Coll Marine Ecol &amp; Environm, Shanghai 201306, Peoples R China; [Na, Guangshui] Hainan Trop Ocean Univ, Key Lab Utilizat &amp; Conservat Trop Marine Bioresou, Minist Educ, Sanya 572022, Peoples R China</t>
  </si>
  <si>
    <t>National Marine Environmental Monitoring Center; Shanghai Ocean University; Hainan Tropical Ocean University</t>
  </si>
  <si>
    <t>Na, GS (corresponding author), Natl Marine Environm Monitoring Ctr, Dalian 116023, Peoples R China.</t>
  </si>
  <si>
    <t>gsna@nmemc.org.cn</t>
  </si>
  <si>
    <t>ye, jian/GQH-3702-2022</t>
  </si>
  <si>
    <t>gao, yunze/0000-0003-0317-6805</t>
  </si>
  <si>
    <t>National Key R&amp;D Program of China [2019YFD0901104]; National Natural Science Foundation of China [41976222, 41406088, 21377032]; Open Fund for the Key Laboratory of Ocean-Atmospheric Chemistry and Global Change, State Oceanic Administration [GCMAC1812]; Open Fund for the State Key Laboratory of Environmental Chemistry and Ecotoxicology [KF201805]</t>
  </si>
  <si>
    <t>National Key R&amp;D Program of China; National Natural Science Foundation of China(National Natural Science Foundation of China (NSFC)); Open Fund for the Key Laboratory of Ocean-Atmospheric Chemistry and Global Change, State Oceanic Administration; Open Fund for the State Key Laboratory of Environmental Chemistry and Ecotoxicology</t>
  </si>
  <si>
    <t>The research was supported by the National Key R&amp;D Program of China (2019YFD0901104), National Natural Science Foundation of China (41976222, 41406088, 21377032), Open Fund for the Key Laboratory of Ocean-Atmospheric Chemistry and Global Change, State Oceanic Administration (GCMAC1812), Open Fund for the State Key Laboratory of Environmental Chemistry and Ecotoxicology (KF201805). We also thank Chinese Arctic and Antarctic Administration and Polar Research Institute of China for the arrangements during the Chinese Antarctic Scientific Expedition during 2013-2019.</t>
  </si>
  <si>
    <t>10.1016/j.marpolbul.2020.111173</t>
  </si>
  <si>
    <t>LW5AS</t>
  </si>
  <si>
    <t>WOS:000539160000050</t>
  </si>
  <si>
    <t>Yu, C; Li, K; Tang, SJ; Sun, C; Ma, B; Zhao, Q</t>
  </si>
  <si>
    <t>Yu, Ce; Li, Kun; Tang, Shanjiang; Sun, Chao; Ma, Bin; Zhao, Qing</t>
  </si>
  <si>
    <t>AstroCatR: a mechanism and tool for efficient time series reconstruction of large-scale astronomical catalogues</t>
  </si>
  <si>
    <t>MONTHLY NOTICES OF THE ROYAL ASTRONOMICAL SOCIETY</t>
  </si>
  <si>
    <t>methods: data analysis; techniques: miscellaneous; catalogues; surveys</t>
  </si>
  <si>
    <t>Time series data of celestial objects are commonly used to study valuable and unexpected objects such as extrasolar planets and supernova in time domain astronomy. Due to the rapid growth of data volume, traditional manual methods are becoming extremely hard and infeasible for continuously analysing accumulated observation data. To meet such demands, we designed and implemented a special tool named AstroCatR that can efficiently and flexibly reconstruct time series data from large-scale astronomical catalogues. AstroCatR can load original catalogue data from Flexible Image Transport System (FITS) files or data bases, match each item to determine which object it belongs to, and finally produce time series data sets. To support the high-performance parallel processing of large-scale data sets, AstroCatR uses the extract-transform-load (ETL) pre-processing module to create sky zone files and balance the workload. The matching module uses the overlapped indexing method and an in-memory reference table to improve accuracy and performance. The output of AstroCatR can be stored in CSV files or be transformed other into formats as needed. Simultaneously, the module-based software architecture ensures the flexibility and scalability of AstroCatR. We evaluated AstroCatR with actual observation data from The three Antarctic Survey Telescopes (AST3). The experiments demonstrate that AstroCatR can efficiently and flexibly reconstruct all time series data by setting relevant parameters and configuration files. Furthermore, the tool is approximately 3x faster than methods using relational data base management systems at matching massive catalogues.</t>
  </si>
  <si>
    <t>[Yu, Ce; Li, Kun; Tang, Shanjiang; Sun, Chao] Tianjin Univ, Coll Intelligence &amp; Comp, 135 Yaguan Rd,Haihe Educ Pk, Tianjin 300350, Peoples R China; [Yu, Ce; Li, Kun; Tang, Shanjiang; Sun, Chao] NA0C TJU Joint Res Ctr Astroinformat, 135 Yaguan Rd,Haihe Educ Pk, Tianjin 300350, Peoples R China; [Ma, Bin] Chinese Acad Sci, Natl Astron Observ, 20 Datun Rd, Beijing 100012, Peoples R China; [Zhao, Qing] Tianjin Univ Sci &amp; Technol, Sch Comp Sci &amp; Informat Engn, Tianjin 300457, Peoples R China</t>
  </si>
  <si>
    <t>Tianjin University; Chinese Academy of Sciences; National Astronomical Observatory, CAS; Tianjin University Science &amp; Technology</t>
  </si>
  <si>
    <t>Yu, C (corresponding author), Tianjin Univ, Coll Intelligence &amp; Comp, 135 Yaguan Rd,Haihe Educ Pk, Tianjin 300350, Peoples R China.;Yu, C (corresponding author), NA0C TJU Joint Res Ctr Astroinformat, 135 Yaguan Rd,Haihe Educ Pk, Tianjin 300350, Peoples R China.</t>
  </si>
  <si>
    <t>yuce@tju.edu.cn</t>
  </si>
  <si>
    <t>Yu, Ce/0000-0003-2416-4547</t>
  </si>
  <si>
    <t>National Natural Science Foundation of China [11803022]; National Natural Science Foundation of China (NSFC) [U1731243, U1931130, U1731125]; Chinese Academy of Sciences (CAS) [U1731243, U1931130, U1731125]; China National Astronomical Data Center (NADC); Chinese Virtual Observatory (China-VO)</t>
  </si>
  <si>
    <t>National Natural Science Foundation of China(National Natural Science Foundation of China (NSFC)); National Natural Science Foundation of China (NSFC)(National Natural Science Foundation of China (NSFC)); Chinese Academy of Sciences (CAS)(Chinese Academy of Sciences); China National Astronomical Data Center (NADC); Chinese Virtual Observatory (China-VO)</t>
  </si>
  <si>
    <t>This work is supported by the National Natural Science Foundation of China (11803022), the Joint Research Fund in Astronomy (U1731243, U1931130, U1731125) under cooperative agreement between the National Natural Science Foundation of China (NSFC) and Chinese Academy of Sciences (CAS). Data resources are supported by China National Astronomical Data Center (NADC) and Chinese Virtual Observatory (China-VO).</t>
  </si>
  <si>
    <t>0035-8711</t>
  </si>
  <si>
    <t>1365-2966</t>
  </si>
  <si>
    <t>MON NOT R ASTRON SOC</t>
  </si>
  <si>
    <t>Mon. Not. Roy. Astron. Soc.</t>
  </si>
  <si>
    <t>10.1093/mnras/staa1413</t>
  </si>
  <si>
    <t>NB8SJ</t>
  </si>
  <si>
    <t>WOS:000560784700048</t>
  </si>
  <si>
    <t>Haddam, NA; Michel, E; Siani, G; Licari, L; Dewilde, F</t>
  </si>
  <si>
    <t>Haddam, N. A.; Michel, E.; Siani, G.; Licari, L.; Dewilde, F.</t>
  </si>
  <si>
    <t>Ventilation and Expansion of Intermediate and Deep Waters in the Southeast Pacific During the Last Termination</t>
  </si>
  <si>
    <t>GLOBAL OVERTURNING CIRCULATION; ANTARCTIC SEA-ICE; BENTHIC FORAMINIFERA; OCEAN CIRCULATION; ATMOSPHERIC CO2; SPLIT JET; MODE; TRANSPORT; TEMPERATURE; CONVECTION</t>
  </si>
  <si>
    <t>We investigate the geometry and ventilation of the water masses within bathyal depths (similar to 1,500 to similar to 2,500 m) of the Southeast Pacific (SEP), inferring the lower depth limit variations of the Antarctic Intermediate Water (AAIW) since similar to 22 kyr cal. BP. We use three cores collected at the upper limit of the Pacific deep waters, between 41 degrees S and 49 degrees S, and one core at a greater depth within this same water mass, at 46 degrees S. The benthic foraminiferal assemblages and carbon and oxygen isotopes are used to show strong linkages between the timing of the deglacial Southern Ocean upwelling events and changes in the vertical extension and ventilation of the AAIW. In accordance with local/sublocal oxygen reconstructions, we propose at least three states of ventilation-AAIW vertical extension: (i) the late glacial and the Antarctic Cold Reversal (ACR): AAIW depth-limit shoals, as its formation zone moves northward; (ii) the deglaciation (excluding the ACR): the [O-2] enrichment of the AAIW and the dominance of benthic speciesTrifarina angulosaindicate ventilated AAIW, along with a deepening of its lower limit; and (iii) the Holocene: enhanced influence of the Pacific deep water at bathyal depths (1,500-2,500 m) in the SEP north of similar to 46 degrees S and the circumpolar deep water south of similar to 46 degrees S.</t>
  </si>
  <si>
    <t>[Haddam, N. A.; Siani, G.] Univ Paris Sud Paris Saclay, CNRS, GEOPS Geosci Paris Sud, Orsay, France; [Haddam, N. A.; Michel, E.; Dewilde, F.] CEA CNRS UVSQ, Orme Merisiers, LSCE IPSL Lab Sci Climat &amp; Environm, St Aubin, France; [Licari, L.] Univ Aix Marseille, CNRS, Ctr Europeen Rech Enseignement Geosci Environm, Aix En Provence, France</t>
  </si>
  <si>
    <t>Universite Paris Saclay; Centre National de la Recherche Scientifique (CNRS); CEA; Centre National de la Recherche Scientifique (CNRS); Aix-Marseille Universite</t>
  </si>
  <si>
    <t>Haddam, NA (corresponding author), Univ Paris Sud Paris Saclay, CNRS, GEOPS Geosci Paris Sud, Orsay, France.;Haddam, NA (corresponding author), CEA CNRS UVSQ, Orme Merisiers, LSCE IPSL Lab Sci Climat &amp; Environm, St Aubin, France.</t>
  </si>
  <si>
    <t>haddamn@gmail.com</t>
  </si>
  <si>
    <t>Siani, Giuseppe/0000-0002-2090-5320; Michel, Elisabeth/0000-0001-7810-8888</t>
  </si>
  <si>
    <t>French ministry of research and higher education; French-Swedish project on SO [VR-349-2012-6278]; ECOSUD, SEPORA INSU Project</t>
  </si>
  <si>
    <t>French ministry of research and higher education; French-Swedish project on SO; ECOSUD, SEPORA INSU Project</t>
  </si>
  <si>
    <t>We thank the captains and the crew of the R/V Marion Dufresne during the PACHIDERME cruise for their help retrieving the MD-3082, MD-3088, MD-3100, and MD-3119 cores. This manuscript has been improved by the comments of Helen C. Bostock, an anonymous reviewer, and William R. Gray. Financial support was made by the French ministry of research and higher education and the French-Swedish project on SO VR-349-2012-6278, and ECOSUD, SEPORA INSU Project.</t>
  </si>
  <si>
    <t>e2019PA003743</t>
  </si>
  <si>
    <t>10.1029/2019PA003743</t>
  </si>
  <si>
    <t>WOS:000556646600011</t>
  </si>
  <si>
    <t>Kim, S; Lee, JI; McKay, RM; Yoo, KC; Bak, YS; Lee, MK; Roh, YH; Yoon, HI; Moon, HS; Hyun, CU</t>
  </si>
  <si>
    <t>Kim, Sunghan; Lee, Jae Il; McKay, Robert M.; Yoo, Kyu-Cheul; Bak, Young-Suk; Lee, Min Kyung; Roh, Youn Ho; Yoon, Ho Il; Moon, Heung Soo; Hyun, Chang-Uk</t>
  </si>
  <si>
    <t>Late pleistocene paleoceanographic changes in the Ross Sea - Glacial-interglacial variations in paleoproductivity, nutrient utilization, and deep-water formation</t>
  </si>
  <si>
    <t>Ross sea; Antarctic slope current; Pleistocene; Paleoproductivity; Nutrient utilization; Carbonate; Deep-water formation</t>
  </si>
  <si>
    <t>ANTARCTIC ICE-SHEET; SOUTHERN-OCEAN SEDIMENTS; MAJOR DIATOM TAXA; CONTINENTAL-SLOPE; RETREAT HISTORY; BOTTOM WATER; PENINSULA; SHELF; BAY; PRODUCTIVITY</t>
  </si>
  <si>
    <t>The outer Ross Sea continental shelf has experienced large variations in ice sheet extent over the Pleistocene that are theorized to be largely driven by changes in the westward-flowing Antarctic Slope Current (ASC) at the continental shelf break. This current regulates southward incursions of warm modified Circumpolar Water, and it is thought to have triggered past marine ice sheet retreat. Additionally, expansions of grounded ice sheets on the continental shelf have fundamentally altered the Ross Sea water mass formation processes, influencing surface water salinity, sea ice cover, nutrient utilization, deep-water ventilation, and primary productivity. Here, we report the geochemical, physical properties, grain size, bulk delta N-15, and diatom records during the late Pleistocene from two sediment cores from the Iselin Bank on the outermost continental shelf in the Ross Sea. These core sites were not overridden by grounded ice sheets during the late Pleistocene glacial-interglacial cycles, allowing for a continuous archive of glacimarine environments that were influenced by the ASC. Interglacial periods are typically characterized by high surface water productivity and nutrient utilization, with Chaetoceros resting spores indicating nutrient limitation under open ocean conditions, and glacial periods are typically characterized by low surface water productivity and nutrient utilization, with sea ice diatoms and planktonic foraminifers indicating light limitation under extensive sea ice/ice margin proximal conditions. A grain size analysis indicates coarse-skewed distributions and winnowing in the Iselin Bank region during cold periods. The winnowing may be related to enhanced ASC flow instead of density driven shelf water outflow. (C) 2020 Elsevier Ltd. All rights reserved.</t>
  </si>
  <si>
    <t>[Kim, Sunghan; Lee, Jae Il; Yoo, Kyu-Cheul; Lee, Min Kyung; Roh, Youn Ho; Yoon, Ho Il; Moon, Heung Soo; Hyun, Chang-Uk] Korea Polar Res Inst, Incheon 21990, South Korea; [McKay, Robert M.] Victoria Univ Wellington, Antarctic Res Ctr, Wellington 6140, New Zealand; [Bak, Young-Suk] Chonbuk Natl Univ, Dept Earth &amp; Environm Sci, Jeonju 54896, South Korea; [Roh, Youn Ho] Univ Sci &amp; Technol, Daejeon 34113, South Korea</t>
  </si>
  <si>
    <t>Korea Polar Research Institute (KOPRI); Victoria University Wellington; Jeonbuk National University; University of Science &amp; Technology (UST)</t>
  </si>
  <si>
    <t>Kim, S (corresponding author), Korea Polar Res Inst, Incheon 21990, South Korea.</t>
  </si>
  <si>
    <t>delongksh@kopri.re.kr</t>
  </si>
  <si>
    <t>Kim, Sunghan/CAG-2289-2022</t>
  </si>
  <si>
    <t>McKay, Robert/0000-0002-5602-6985</t>
  </si>
  <si>
    <t>KOPRI project [PE20180]; National Research Foundation of Korea (Korea-Italy Joint Research Program) [2019K1A3A1A25000116]</t>
  </si>
  <si>
    <t>KOPRI project(Korea Polar Research Institute of Marine Research Placement (KOPRI)); National Research Foundation of Korea (Korea-Italy Joint Research Program)(National Research Foundation of Korea)</t>
  </si>
  <si>
    <t>We would like to thank the crewand scientific party of the IBR/V Araon for their support during the onboard gravity coring on board. We would like to thank the KOPRI laboratory members for their assistance with experimental measurements. We appreciate the handling editor (Dr. Ingrid Hendy) and two anonymous reviewers for their important and constructive comments to improve data interpretation and manuscript structure. This research was supported by KOPRI project (PE20180). Tis study was carried out by the National Research Foundation of Korea (Korea-Italy Joint Research Program; 2019K1A3A1A25000116).</t>
  </si>
  <si>
    <t>JUL 1</t>
  </si>
  <si>
    <t>10.1016/j.quascirev.2020.106356</t>
  </si>
  <si>
    <t>LZ3KI</t>
  </si>
  <si>
    <t>WOS:000541126600007</t>
  </si>
  <si>
    <t>Good, SD; Baker, GB; Gummery, M; Votier, SC; Phillips, RA</t>
  </si>
  <si>
    <t>Good, S. D.; Baker, G. B.; Gummery, M.; Votier, S. C.; Phillips, R. A.</t>
  </si>
  <si>
    <t>National Plans of Action (NPOAs) for reducing seabird bycatch: Developing best practice for assessing and managing fisheries impacts</t>
  </si>
  <si>
    <t>BIOLOGICAL CONSERVATION</t>
  </si>
  <si>
    <t>Bycatch; Seabirds; Fisheries management; Incidental mortality; National Plan of Action (NPOA) - Seabirds</t>
  </si>
  <si>
    <t>RISK-ASSESSMENT; LONGLINE FISHERIES; GLOBAL PATTERNS; BY-CATCH; ALBATROSS; MORTALITY; RATES; IMPLEMENTATION; MITIGATION; DESIGN</t>
  </si>
  <si>
    <t>Fisheries bycatch is one of the biggest threats to seabird populations. Managers need to identify where and when bycatch occurs and ensure effective action. In 1999, the Food and Agriculture Organization of the United Nations released the International Plan of Action for Reducing Incidental Catch of Seabirds in Longline Fisheries (IPOA-s) encouraging states to voluntarily assess potential seabird bycatch problems and implement a National Plan of Action (NPOA) if needed. However, the IPOA-s is ambiguous about the steps and objectives, diminishing its value as a conservation tool. We reviewed NPOAs to identify approaches taken to determine whether seabird bycatch is problematic, how bycatch minimisation and population objectives are set, and if thresholds are specified for managing impacts. Our aim was to recommend measures for improving consistency and effectiveness in future NPOAs and other management frameworks for seabirds, with relevance for other threatened marine vertebrates including sharks, turtles, pinnipeds and cetaceans. Globally, 16 NPOAs have been published, but few effectively linked seabird bycatch risk, objectives and management. However, we identified the following best-practice elements that could improve NPOA design: (1) defining explicit risk criteria and methods to assess bycatch problems; (2) setting specific and measurable objectives for minimising bycatch and achieving desired population status; and (3) defining fishery-specific thresholds to trigger management action linked to the population objective. Consistent adoption of NPOA best practice, particularly in states that have not already developed an NPOA, would help to mitigate bycatch threats and ensure fisheries do not reduce the viability of seabird populations.</t>
  </si>
  <si>
    <t>[Good, S. D.; Votier, S. C.] Univ Exeter, Ctr Ecol &amp; Conservat, Cornwall Campus, Penryn TR10 9EF, England; [Baker, G. B.] Univ Tasmania, Inst Marine &amp; Antarctic Studies, Hobart, Tas 7005, Australia; [Gummery, M.] Marine Stewardship Council, Marine House,1-3 Snow Hill, London EC1A 2DH, England; [Phillips, R. A.] NERC, British Antarctic Survey, Madingley Rd, Cambridge CB3 0ET, England</t>
  </si>
  <si>
    <t>University of Exeter; University of Tasmania; UK Research &amp; Innovation (UKRI); Natural Environment Research Council (NERC); NERC British Antarctic Survey</t>
  </si>
  <si>
    <t>Good, SD (corresponding author), Univ Exeter, Environm &amp; Sustainabil Unit, Cornwall Campus, Penryn TR10 9EF, England.</t>
  </si>
  <si>
    <t>sg606@exeter.ac.uk</t>
  </si>
  <si>
    <t>Votier, Stephen/IUO-0154-2023</t>
  </si>
  <si>
    <t>Votier, Stephen/0000-0002-0976-0167; Baker, G. Barry/0000-0003-4766-8182</t>
  </si>
  <si>
    <t>Marine Stewardship Council (MSC); NERC [bas0100035] Funding Source: UKRI</t>
  </si>
  <si>
    <t>Marine Stewardship Council (MSC); NERC(UK Research &amp; Innovation (UKRI)Natural Environment Research Council (NERC))</t>
  </si>
  <si>
    <t>This work was supported in part by the Marine Stewardship Council (MSC). The MSC, through a co-author, Matt Gummery, provided expertise on non-seabird taxa and was involved in the design of the study and drafting of the manuscript.</t>
  </si>
  <si>
    <t>0006-3207</t>
  </si>
  <si>
    <t>1873-2917</t>
  </si>
  <si>
    <t>BIOL CONSERV</t>
  </si>
  <si>
    <t>Biol. Conserv.</t>
  </si>
  <si>
    <t>10.1016/j.biocon.2020.108592</t>
  </si>
  <si>
    <t>LY0XS</t>
  </si>
  <si>
    <t>WOS:000540247600005</t>
  </si>
  <si>
    <t>Phillips, RA; Wood, AG</t>
  </si>
  <si>
    <t>Phillips, R. A.; Wood, A. G.</t>
  </si>
  <si>
    <t>Variation in live-capture rates of albatrosses and petrels in fisheries, post-release survival and implications for management</t>
  </si>
  <si>
    <t>Bycatch; Ecological risk assessment; Fisheries management; Foul-hooked; Incidental mortality; Seabird</t>
  </si>
  <si>
    <t>PELAGIC LONGLINE FISHERIES; SEABIRD BYCATCH; GIANT PETRELS; SOUTH-GEORGIA; FISHING GEAR; GILLNET FISHERIES; INCIDENTAL CATCH; RISK-ASSESSMENT; MORTALITY; MACRONECTES</t>
  </si>
  <si>
    <t>Bycatch of seabirds in longline fisheries includes mortalities and live captures (mainly during hauling). Excluding outliers, the latter accounts for 5-70% (mean 40.4%) of all bycaught birds in demersal, and 3-23% (mean 10.7%) in pelagic longline fisheries. The proportion that later die from injuries is unknown, and this cryptic mortality complicates efforts to quantify fisheries impacts. Over a 26-year period at South Georgia, foul-hooking indices - birds with embedded hooks or entangled among tens of thousands checked at the colony - were broadly similar in wandering albatrosses Diomedea exulans and giant petrels Macronectes spp., an order of magnitude lower in black-browed albatrosses Thalassarche melanophris and nil in two other albatross species. This likely reflected differing degrees of overlap with fisheries and interaction with gear during hauling. Indices peaked in the early-mid 2000s, then declined, broadly corresponding with changing fishing practices, including the lagged effect of a seasonal fisheries-closure, introduction of a new fishing system, reduced effort in some demersal fisheries and general improvements in bycatch mitigation. Foul-hooking indices at colonies can therefore reflect relative risk for different species over time, and be a useful adjunct to vessel-based monitoring of live-capture rates. Taking into account age and status when reported, and annual survival probabilities, subsequent survival of live-caught and released wandering albatrosses was around 40% of that expected for the wider population. This has major implications for ecological risk assessments that seek to determine the impacts of fisheries on seabirds, as most do not currently consider deleterious impacts of live capture.</t>
  </si>
  <si>
    <t>[Phillips, R. A.; Wood, A. G.] NERC, British Antarctic Survey, Madingley Rd, Cambridge CB3 0ET, England</t>
  </si>
  <si>
    <t>Phillips, RA (corresponding author), NERC, British Antarctic Survey, Madingley Rd, Cambridge CB3 0ET, England.</t>
  </si>
  <si>
    <t>raphil@bas.ac.uk</t>
  </si>
  <si>
    <t>Natural Environment Research Council; NERC [bas0100035] Funding Source: UKRI</t>
  </si>
  <si>
    <t>This paper was prompted by discussions at the ACAP Bycatch Working Group in Wellington in 2017, initiated by the submission of a working paper by Nigel Brothers. We thank the many fieldworkers involved in the annual population monitoring, ringing and recording of hooked and entangled seabirds at Bird Island, and to the crew and observers on board vessels, and others that provided the ring reports. Thanks also to the two anonymous reviewers and the editor for their comments which helped improve the manuscript. David Drynan at the Australian Bird &amp; Bat Banding Scheme kindly provided further information on ring reports. We are also grateful to Barry Baker, Nigel Brothers, Marco Favero, Dimas Gianuca, Sebastian Jimenez, Cristian Suazo, Nathan Walker and Oli Yates for providing background information on fisheries. This research represents a contribution to the Ecosystems component of the British Antarctic Survey Polar Science for Planet Earth Programme, funded by the Natural Environment Research Council.</t>
  </si>
  <si>
    <t>10.1016/j.biocon.2020.108641</t>
  </si>
  <si>
    <t>WOS:000540247600028</t>
  </si>
  <si>
    <t>O'Hara, TD; Williams, A; Woolley, SNC; Nau, AW; Bax, NJ</t>
  </si>
  <si>
    <t>O'Hara, Timothy D.; Williams, Alan; Woolley, Skipton N. C.; Nau, Amy W.; Bax, Nicholas J.</t>
  </si>
  <si>
    <t>Deep-sea temperate-tropical faunal transition across uniform environmental gradients</t>
  </si>
  <si>
    <t>DEEP-SEA RESEARCH PART I-OCEANOGRAPHIC RESEARCH PAPERS</t>
  </si>
  <si>
    <t>Megafauna; Benthos; Tasman sea; Australia; Continental margins; Abyss</t>
  </si>
  <si>
    <t>AUSTRALIAN CONTINENTAL-MARGIN; BIODIVERSITY; BIOGEOGRAPHY; SEDIMENTS; ECOLOGY; CLIMATE; SYSTEM; MODEL</t>
  </si>
  <si>
    <t>The biogeography of the deep-sea benthic fauna is uncertain due to the vast size and incomplete exploration of these environments. While shallow water assemblages are differentiated into tropical, temperate and polar faunas, it is unknown whether these units extend to lower depths. Here we use model-based and multivariate statistics to analyse megafaunal benthic samples along a 2300 km transect off the eastern Australian continental margin. We show that a temperate-tropical transition between 33-30 degrees S occurs at both lower bathyal (similar to 2500 m) and abyssal (similar to 4000 m) depths. This transition occurs despite almost uniform temperature, salinity and dissolved oxygen concentrations occurring across latitudes at these depths. Conversely, the patterns are consistent with the flux of organic matter to the seafloor, which varies from being relatively high in the productive temperate off SE Australia to low levels in more-oligotrophic tropical waters. Biodiversity is not uniform across the deep-sea and regional-scale heterogeneity needs to be incorporated into marine park designs.</t>
  </si>
  <si>
    <t>[O'Hara, Timothy D.] Museums Victoria, GPO Box 666, Melbourne, Vic 3001, Australia; [Williams, Alan; Woolley, Skipton N. C.; Nau, Amy W.; Bax, Nicholas J.] CSIRO Oceans &amp; Atmosphere, Hobart, Tas 7001, Australia; [Bax, Nicholas J.] Univ Tasmania, Inst Marine &amp; Antarctic Sci, Hobart, Tas 7001, Australia</t>
  </si>
  <si>
    <t>Melbourne Genomics Health Alliance; Commonwealth Scientific &amp; Industrial Research Organisation (CSIRO); University of Tasmania</t>
  </si>
  <si>
    <t>O'Hara, TD (corresponding author), Museums Victoria, GPO Box 666, Melbourne, Vic 3001, Australia.</t>
  </si>
  <si>
    <t>tohara@museum.vic.gov.au</t>
  </si>
  <si>
    <t>; Bax, Nicholas/A-2321-2012</t>
  </si>
  <si>
    <t>O'Hara, Timothy/0000-0003-0885-6578; Woolley, Skipton/0000-0001-7022-0509; Bax, Nicholas/0000-0002-9697-4963</t>
  </si>
  <si>
    <t>Marine Biodiversity Hub through Australian Government's National Environmental Science Program (NESP)</t>
  </si>
  <si>
    <t>The authors wish to thank the CSIRO Marine National Facility (MNF) for its support in the form of sea time on RV Investigator, support personnel, scientific equipment and data management. All data and samples acquired on the voyage are made publically available in accordance with MNF Policy. We also thank all the scientific staff and crew who participated in voyage IN2017_V03. Project funding was provided by the Marine Biodiversity Hub, supported through the Australian Government's National Environmental Science Program (NESP). The following taxonomists provided specimen identifications: Merricks Ekins and Ella Lejeune (QM, Porifera &amp; Tunicata), Andrea Crowther (SAM, Actiniaria), Michela Mitchell (MV, Actiniaria), Hiroki Kise (University of the Ryukyus, Zoantharia), Phil Alderslade and Candice Untiedt (CSIRO, Octocorallia), Kirrily Moore (TMAG, Octocorallia), Robin Wilson (MV, Annelida), Elena Kupriyanova, Laetitia Gunton, Pat Hutchings, Anna Murray, Jinghuai Zhang and Hannelore Paxton (AM, Annelida), Caroline Farrelly (MV, Decapoda), Shane Ahyong (AM, Decapoda), Andrew Hosie (WAM, Cirripedia), David Staples (MV, Pycnogonida), Hugh McIntosh (MV, Bivalvia), Frank K_ohler, Francesco Criscione and Anders Hallan (AM, Gastropoda), Julian Finn and C.C. Lu (MV, Cephalopoda), Marc El.eaume (MNHN, Crinoidea), Christopher Mah (NMNH, Asteroidea), Tim O'Hara (MV, Ophiuroidea), Ashley Miskelly (AM, Echinoidea), Mark O'Loughlin and Melanie Mackenzie (MV, Holothuroidea), Martin Gomon and Di Bray (MV, Pisces), John Pogonoski and Alistair Graham (CSIRO, Pisces). The photograph of the Faceless Cusk (Fig. 3d) was taken by Rob Zugaro (MV). The material was lawfully collected under the following permits: (1) Access to Biological Resources in a Commonwealth Area for Non-Commercial Purposes, AU-COM2017-352; (2) Approval for Activity in a Commonwealth Marine Reserve, CMR-17-000455; (3) Australian Fisheries Management Authority Scientific Permit, 1003393; (4) Queensland Government General Fisheries Permit, 191670; (5) Museums Victoria Animal Ethics Committee approval, MV AEC 17001.</t>
  </si>
  <si>
    <t>0967-0637</t>
  </si>
  <si>
    <t>1879-0119</t>
  </si>
  <si>
    <t>DEEP-SEA RES PT I</t>
  </si>
  <si>
    <t>Deep-Sea Res. Part I-Oceanogr. Res. Pap.</t>
  </si>
  <si>
    <t>10.1016/j.dsr.2020.103283</t>
  </si>
  <si>
    <t>LY9HT</t>
  </si>
  <si>
    <t>WOS:000540839500004</t>
  </si>
  <si>
    <t>Parra, RRT; Laurido, ALC; Sánchez, JDI</t>
  </si>
  <si>
    <t>Torres Parra, Rafael Ricardo; Caicedo Laurido, Ana Lucia; Iriarte Sanchez, Jose David</t>
  </si>
  <si>
    <t>Hydrographic conditions during two austral summer situations (2015 and 2017) in the Gerlache and Bismarck straits, northern Antarctic Peninsula</t>
  </si>
  <si>
    <t>Antarctic peninsula; OMP analysis; theta-S diagram; Water masses</t>
  </si>
  <si>
    <t>OPTIMUM MULTIPARAMETER ANALYSIS; CARBONATE SYSTEM PROPERTIES; CIRCUMPOLAR DEEP-WATER; BRANSFIELD STRAIT; SEA-ICE; CONTINENTAL-SHELF; WEST; VARIABILITY; CLIMATE; MARINE</t>
  </si>
  <si>
    <t>Hydrography in the Gerlache and Bismarck straits is described based on data collected in Januaries of 2015 and 2017, during austral summer. These straits are in the northern Antarctic Peninsula (NAP) continental shelf. In the study area, temperature in the surface mixed layer during January 2017 was warmer than recorded in other years, contemporaneous with an extreme decrease in Antarctic sea ice extent at the end of 2016. This was probably caused by warm water advected from the north into Gerlache Strait, a consequence of northeasterly surface winds over the NAP, forced by a Southern Annular Mode (SAM) negative phase. Optimum multiparameter analysis indicated that relatively warm, salty and low-oxygenated modified Circumpolar Deep Water (mCDW) intrudes over the NAP continental shelf and dominates the Bismarck Strait, where it enters the Gerlache Strait, especially through its southern extremity. The mCDW mixes with relatively cold, fresh and recently ventilated modified High Salinity Shelf Water (mHSSW), producing temporal variations in water proportions. HSSW forms in the Weddell Sea and is advected southward along the deep basins of the Bransfield Strait, entering as bottom water into Gerlache Strait via its northern limit. There were two fronts in Gerlache Strait during both summers. First was a surface thermal front in the mixed layer represented by the 1 degrees C isotherm (similar to 64.5 degrees S), which separated colder waters toward Bismarck Strait. Second was a sub-pycnocline front, represented by the 0.4 degrees C and 220 mu mol kg(-1) dissolved oxygen contours below similar to 100 dbar, which separated mCDW toward Bismarck Strait from mHSSW on the northern side of the strait. This frontal position varies as a consequence of temporal variations in source water fractions. Moreover, changes in Ekman transport, forced by enhanced westerly winds associated with a SAM positive phase, appeared responsible for a major fraction of mCDW in Gerlache Strait during 2015 relative to 2017. The spatiotemporal variability of source water mixing in the water column structure of the Gerlache Strait might have implications for local biological and chemical cycles, and for regional climate feedbacks, because warm mCDW accelerates glacier retreat in the western Antarctic Peninsula.</t>
  </si>
  <si>
    <t>[Torres Parra, Rafael Ricardo] Univ Norte, Dept Fis &amp; Geociencias, Grp Invest Geociencias GEO4, Km 5 Via Puerto Colombia, Barranquilla, Colombia; [Caicedo Laurido, Ana Lucia; Iriarte Sanchez, Jose David] Direcc Gen Maritima, Barranquilla, Colombia</t>
  </si>
  <si>
    <t>Universidad del Norte Colombia</t>
  </si>
  <si>
    <t>Parra, RRT (corresponding author), Univ Norte, Dept Fis &amp; Geociencias, Grp Invest Geociencias GEO4, Km 5 Via Puerto Colombia, Barranquilla, Colombia.</t>
  </si>
  <si>
    <t>rrtorres@uninorte.edu.co</t>
  </si>
  <si>
    <t>10.1016/j.dsr.2020.103278</t>
  </si>
  <si>
    <t>WOS:000540839500001</t>
  </si>
  <si>
    <t>MacLeod, KG; White, LT; Wainman, CC; Martinez, M; Jones, MM; Batenburg, SJ; Riquier, L; Haynes, SJ; Watkins, DK; Bogus, KA; Brumsack, HJ; Guerra, RD; Edgar, KM; Edvardsen, T; Harry, DL; Hasegawa, T; Hobbs, RW; Huber, BT; Jiang, T; Kuroda, J; Lee, EY; Li, YX; Maritati, A; O'Connor, LK; Petrizzo, MR; Quan, TM; Richter, C; Tejada, MLG; Tagliaro, G; Wolfgring, E; Xu, Z</t>
  </si>
  <si>
    <t>MacLeod, K. G.; White, L. T.; Wainman, C. C.; Martinez, M.; Jones, M. M.; Batenburg, S. J.; Riquier, L.; Haynes, S. J.; Watkins, D. K.; Bogus, K. A.; Brumsack, H-J; Guerra, R. do Monte; Edgar, K. M.; Edvardsen, T.; Harry, D. L.; Hasegawa, T.; Hobbs, R. W.; Huber, B. T.; Jiang, T.; Kuroda, J.; Lee, E. Y.; Li, Y-X; Maritati, A.; O'Connor, L. K.; Petrizzo, M. R.; Quan, T. M.; Richter, C.; Tejada, M. L. G.; Tagliaro, G.; Wolfgring, E.; Xu, Z.</t>
  </si>
  <si>
    <t>Late Cretaceous stratigraphy and paleoceanographic evolution in the Great Australian Bight Basin based on results from IODP Site U1512</t>
  </si>
  <si>
    <t>Cretaceous greenhouse climate; Gondwana breakup; Cretaceous paleoceanography; Great Australian Bight; Australo-Antarctic rifting</t>
  </si>
  <si>
    <t>WESTERN INTERIOR BASIN; NIOBRARA FORMATION; OCEAN CIRCULATION; BOTTOM WATERS; SEA-FLOOR; ORIGIN; RECORD; MARGIN; ANTARCTICA; GLACIATION</t>
  </si>
  <si>
    <t>The Upper Cretaceous sequence at Site U1512 is notable for its lithologic uniformity. Burrow-mottled to massive claystone and silty claystone make up the majority of the almost 700 m section, while rare (n = 28) isolated, 2 to 21 cm thick medium to fine sandstone beds are a minor lithology. Macrofossils present include common inoceramids and rare occurrences of other bivalves and ammonites. Microfossils include common occurrences of calcareous nannofossils, agglutinated and calcareous benthic foraminifera, radiolaria and organic-walled dinoflagellate cysts as well as rare, small, surface dwelling planktonic foraminifera. Carbonate (&lt;7%) and organic carbon (&lt;1.5%) contents are low. Despite the lithologic uniformity, rhythmic alternations in the intensity of magnetic susceptibility and natural gamma radiation are well-resolved in much of the recovered section and continue through minor coring gaps (as documented by downhole logs). Data from Site U1512 provide new perspectives on the deep-water frontier region between Antarctica and Australia. (C) 2020 International Association for Gondwana Research. Published by Elsevier B.V. All rights reserved.</t>
  </si>
  <si>
    <t>[MacLeod, K. G.] Univ Missouri, Dept Geol Sci, Columbia, MO 65211 USA; [White, L. T.] Univ Wollongong, GeoQuEST Res Ctr, Sch Earth Atmospher &amp; Life Sci, Wollongong, NSW 2522, Australia; [Wainman, C. C.] Univ Adelaide, Australian Sch Petr, Adelaide, SA 5005, Australia; [Martinez, M.; Batenburg, S. J.] Univ Rennes 1, Geosci Rennes, Batiment 15,Campus Beaulieu, F-35042 Rennes, France; [Jones, M. M.] Univ Michigan, Dept Geol Sci, 1006 CC Little Bldg, Ann Arbor, MI 48109 USA; [Riquier, L.] Sorbonne Univ, Inst Sci Terre Paris ISTEP, Paris, France; [Haynes, S. J.] Princeton Univ, Dept Geosci, Guyot Hall, Princeton, NJ 08544 USA; [Watkins, D. K.] Univ Nebraska, Earth &amp; Atmospher Sci, Lincoln, NE 68588 USA; [Bogus, K. A.] Univ Exeter, Coll Engn Math &amp; Phys Sci, Camborne Sch Mines, Penryn, England; [Brumsack, H-J] Carl von Ossietzky Univ Oldenburg, Inst Chem &amp; Biol Meeres ICBM, D-26111 Oldenburg, Germany; [Guerra, R. do Monte] Unisinos Univ, Technol Inst Micropaleontol, Av Unisinos 950,B Cristo Rei, BR-93022 Sao Leopoldo, Brazil; [Edgar, K. M.] Univ Birmingham, Sch Geog Earth &amp; Environm Sci, Edgbaston B15 2TT, England; [Edvardsen, T.] Univ Exeter, Coll Engn, Camborne Sch Mines, Penryn, England; [Tejada, M. L. G.] Japan Agcy Marine Earth Sci &amp; Technol, Inst Marine Geodynam IMG, 2-15 Natsushima Cho, Yokosuka, Kanagawa 2370061, Japan; [Harry, D. L.] Colorado State Univ, Geosci, Ft Collins, CO 80523 USA; [Hasegawa, T.] Kanazawa Univ, Fac Geosci &amp; Civil Engn, Inst Sci &amp; Engn, Kanazawa, Ishikawa 9201192, Japan; [Hobbs, R. W.] Univ Durham, Dept Earth Sci, Durham DH1 3LE, England; [Huber, B. T.] Smithsonian Inst, Natl Museum Nat Hist, Washington, DC 20560 USA; [Jiang, T.] China Univ Geosci, Dept Marine Sci &amp; Engn, Hongshan St, Wuhan, Peoples R China; [Kuroda, J.] Univ Tokyo, Dept Ocean Floor GeoSci, 5-1-5 Kashiwanoha, Kashiwa, Chiba 2778564, Japan; [Lee, E. Y.] Chonnam Natl Univ, Fac Earth Syst &amp; Environm Sci, 33 Yongbong No, Gwangju 61186, South Korea; [Li, Y-X] Nanjing Univ, Sch Earth Sci &amp; Engn, Nanjing 210046, Peoples R China; [Maritati, A.] Univ Tasmania, Inst Marine &amp; Antarctic Studies, Hobart, Tas 7001, Australia; [O'Connor, L. K.] Univ Arizona, Dept Geosci, Tucson, AZ 85721 USA; [Petrizzo, M. R.] Univ Milan, Dept Earth Sci, I-20133 Milan, Italy; [Quan, T. M.] Oklahoma State Univ, Boone Pickens Sch Geol, Stillwater, OK 74078 USA; [Richter, C.] Univ Louisiana, Sch Geosci, Lafayette, LA 70504 USA; [Tagliaro, G.] Univ Texas Austin, Inst Geophys, Jackson Sch Geosci, Austin, TX 78758 USA; [Wolfgring, E.] Univ Vienna, Dept Geodynam &amp; Sedimentol, A-1090 Vienna, Austria; [Xu, Z.] Chinese Acad Sci, Inst Oceanol, Qingdao 266071, Shandong, Peoples R China</t>
  </si>
  <si>
    <t>University of Missouri System; University of Missouri Columbia; University of Wollongong; University of Adelaide; Universite de Rennes; University of Michigan System; University of Michigan; Sorbonne Universite; Princeton University; University of Nebraska System; University of Nebraska Lincoln; University of Exeter; Carl von Ossietzky Universitat Oldenburg; University of Birmingham; University of Exeter; Japan Agency for Marine-Earth Science &amp; Technology (JAMSTEC); Colorado State University; Kanazawa University; Durham University; Smithsonian Institution; Smithsonian National Museum of Natural History; China University of Geosciences; University of Tokyo; Chonnam National University; Nanjing University; University of Tasmania; University of Arizona; University of Milan; Oklahoma State University System; Oklahoma State University - Stillwater; University of Louisiana Lafayette; University of Texas System; University of Texas Austin; University of Vienna; Chinese Academy of Sciences; Institute of Oceanology, CAS</t>
  </si>
  <si>
    <t>MacLeod, KG (corresponding author), Univ Missouri, Dept Geol Sci, Columbia, MO 65211 USA.</t>
  </si>
  <si>
    <t>macleodk@missouri.edu; lloydw@uow.edu.au; carmine.wainman@adelaide.edu.au; mathieu.martinez@univ-rennes1.fr; matthewjones2012@u.northwestern.edu; sietske.batenburg@univ-rennes1.fr; laurent.riquier@sorbonne-universite.fr; sjhaynes@princeton.edu; dwatkins1@unl.edu; k.bogus@exeter.ac.uk; brumsack@icbm.de; rmguerra@unisinos.br; k.m.edgar@bham.ac.uk; T.Edvardsen@exeter.ac.uk; dennis.harry@colostate.edu; jh7ujr@staff.kanazawa-u.ac.jp; r.w.hobbs@durham.ac.uk; huberb@si.edu; taojiang@cug.edu.cn; kuroda@aori.u-tokyo.ac.jp; eun.y.lee@chonnam.ac.kr; yxli@nju.edu.cn; alessandro.maritati@utas.edu.au; lko@email.arizona.edu; mrose.petrizzo@unimi.it; tracy.quan@okstate.edu; richter@louisiana.edu; mtejada@jamstec.go.jp; gtagliaro@utexas.edu; erik.wolfgring@univie.ac.at; zhaokaixu@qdio.ac.cn</t>
  </si>
  <si>
    <t>Kuroda, Junichiro/A-3007-2016; Jiang, Tao/N-9447-2018; Petrizzo, Maria Rose/M-8672-2013; Brumsack, Hans-Jürgen/O-7942-2016; Riquier, Laurent/AAZ-4381-2020; Martinez, Mathieu/AAA-7127-2020; Watkins, David/AAJ-2571-2021; White, Lloyd/AAY-8174-2020; Tagliaro, Gabriel/AAR-1556-2020; Lee, Eun Young/AGT-7876-2022; Edgar, Kirsty/AAR-9052-2021; Wolfgring, Erik/HMP-6346-2023; MacLeod, Kenneth Gillies/C-4042-2017; Batenburg, Sietske J./AAD-6896-2019; MacLeod, Kenneth/GWU-8940-2022; Hobbs, Richard/F-1054-2013</t>
  </si>
  <si>
    <t>Kuroda, Junichiro/0000-0002-2218-4854; Riquier, Laurent/0000-0001-5510-2061; Martinez, Mathieu/0000-0003-0741-2940; Tagliaro, Gabriel/0000-0002-9309-758X; Lee, Eun Young/0000-0001-7334-2050; Edgar, Kirsty/0000-0001-7587-9951; Wolfgring, Erik/0000-0003-3457-2026; MacLeod, Kenneth Gillies/0000-0002-6016-0837; Batenburg, Sietske J./0000-0002-4076-1248; Hobbs, Richard/0000-0001-5131-9239; Bogus, Kara/0000-0003-4690-0576; Jones, Matthew/0000-0001-5996-1728; Maritati, Alessandro/0000-0003-0587-8237</t>
  </si>
  <si>
    <t>NERC [NE/R012261/1] Funding Source: UKRI</t>
  </si>
  <si>
    <t>10.1016/j.gr.2020.01.009</t>
  </si>
  <si>
    <t>LY2VO</t>
  </si>
  <si>
    <t>WOS:000540384800006</t>
  </si>
  <si>
    <t>Parker, AE; Christen, JA; Lorenz, L; Smith, H</t>
  </si>
  <si>
    <t>Parker, A. E.; Christen, J. A.; Lorenz, L.; Smith, H.</t>
  </si>
  <si>
    <t>Optimal surface estimation and thresholding of confocal microscope images of biofilms using Beer's Law</t>
  </si>
  <si>
    <t>JOURNAL OF MICROBIOLOGICAL METHODS</t>
  </si>
  <si>
    <t>Attenuation; Thresholding; Maximum likelihood; Beer-Lambert Law; Bayesian; Confocal microscope image analysis</t>
  </si>
  <si>
    <t>QUANTIFICATION; FLUORESCENCE; PROGRAM</t>
  </si>
  <si>
    <t>Beer's Law explains how light attenuates into thick specimens, including thick biofilms. We use a Bayesian optimality criterion, the maximum of the posterior probability distribution, and computationally efficiently fit Beer's Law to the 3D intensity data collected from thick living biofilms by a confocal scanning laser microscope. Using this approach the top surface of the biofilm and an optimal image threshold can be estimated. Biofilm characteristics, such as bio-volumes, can be calculated from this surface. Results from the Bayesian approach are compared to other approaches including the method of maximum likelihood or simply counting bright pixels. Uncertainty quantification (i.e., error bars) can be provided for the parameters of interest. This approach is applied to confocal images of stained biofilms of a common lab strain of Pseudomonas aeruginosa, stained biofilms of Janthinobacterium isolated from the Antarctic, and biofilms of Staphylococcus aureus that have been genetically modified to fluoresce green.</t>
  </si>
  <si>
    <t>[Parker, A. E.; Lorenz, L.; Smith, H.] Montana State Univ, Ctr Biofilm Engn, Bozeman, MT 59717 USA; [Parker, A. E.] Montana State Univ, Dept Math Sci, Bozeman, MT 59717 USA; [Christen, J. A.] Ctr Invest Matemat, Jalisco S-N, Guanajuato 36023, Mexico; [Smith, H.] Montana State Univ, Dept Microbiol &amp; Immunol, Bozeman, MT 59717 USA</t>
  </si>
  <si>
    <t>Montana State University System; Montana State University Bozeman; Montana State University System; Montana State University Bozeman; CIMAT - Centro de Investigacion en Matematicas; Montana State University System; Montana State University Bozeman</t>
  </si>
  <si>
    <t>Parker, AE (corresponding author), Montana State Univ, Ctr Biofilm Engn, Bozeman, MT 59717 USA.</t>
  </si>
  <si>
    <t>parker@math.montana.edu</t>
  </si>
  <si>
    <t>Christen, J Andres/0000-0002-5795-4345</t>
  </si>
  <si>
    <t>Industrial Associates of the CBE; CONACYT grant [CB-2016-01-284451]; RDECOMM grant; ONRG grant</t>
  </si>
  <si>
    <t>Industrial Associates of the CBE; CONACYT grant(Consejo Nacional de Ciencia y Tecnologia (CONACyT)); RDECOMM grant; ONRG grant</t>
  </si>
  <si>
    <t>We thank the Industrial Associates of the CBE for partially supporting this work. JAC is partially funded by CONACYT CB-2016-01-284451, RDECOMM and ONRG grants.</t>
  </si>
  <si>
    <t>0167-7012</t>
  </si>
  <si>
    <t>1872-8359</t>
  </si>
  <si>
    <t>J MICROBIOL METH</t>
  </si>
  <si>
    <t>J. Microbiol. Methods</t>
  </si>
  <si>
    <t>10.1016/j.mimet.2020.105943</t>
  </si>
  <si>
    <t>Biochemical Research Methods; Microbiology</t>
  </si>
  <si>
    <t>LY6WQ</t>
  </si>
  <si>
    <t>WOS:000540669900010</t>
  </si>
  <si>
    <t>Buda, J; Lokas, E; Pietryka, M; Richter, D; Magowski, W; Iakovenko, NS; Porazinska, DL; Budzik, T; Grabiec, M; Grzesiak, J; Klimaszyk, P; Gaca, P; Zawierucha, K</t>
  </si>
  <si>
    <t>Buda, Jakub; Lokas, Edyta; Pietryka, Miroslawa; Richter, Dorota; Magowski, Wojciech; Iakovenko, Nataliia S.; Porazinska, Dorota L.; Budzik, Tomasz; Grabiec, Mariusz; Grzesiak, Jakub; Klimaszyk, Piotr; Gaca, Pawel; Zawierucha, Krzysztof</t>
  </si>
  <si>
    <t>Biotope and biocenosis of cryoconite hole ecosystems on Ecology Glacier in the maritime Antarctic</t>
  </si>
  <si>
    <t>Algae; Antarctic cryoconite; Biodiversity; Contamination of polar regions; Acari and freshwater Rotifera; Glacial ecosystems; Microbial communities;</t>
  </si>
  <si>
    <t>KING-GEORGE-ISLAND; SURFACE-ENERGY BALANCE; NANORCHESTIDAE ACARI; SOUTH SHETLAND; ABLATION ZONE; ICE; CS-137; AM-241; SR-90; PENINSULA</t>
  </si>
  <si>
    <t>Despite recent great interest in glacier ecosystems in the continental Antarctic, little is known about their maritime counterparts. Our study presents descriptive data on cryoconite sediments and cryoconite holes on Ecology Glacier (King George Island) to accomplish three main objectives: (a) to identify main eukaryotic (algae, invertebrates) and prokaryotic (cyanobacteria) components of microbial communities; (b) to provide a baseline of community composition, organic matter and artificial contamination; and (c) to identify key abiotic factors that might be important in community assembly. Cryoconite holes were sampled along an altitudinal gradient of Ecology Glacier in January, mid Austral Summer 2017. Cryoconite holes located in lower altitude were deeper than those located in the middle and the highest altitude. Seventeen species of algae and cyanobacteria with biomass of 0.79 to 5.37 mu g/cm(3) have been found in sediments. Dominant species were cyanobacterial Pseudanabaena frigida and Bacillariophyceae Microcostaus sp. Biomass of Bacillariophyceae was significantly higher than that of Chlorophyta and Cyanobacteria. We found three species of rotifers (potentially two new to science) and for the first time a glacier dwelling Acari (suspension feeder, Nanorchestes nivalis). Organic matter content ranged from 5.4% to 7.6%. Investigated artificial radionuclides included Cs-137, Pu-238, Pu239+240 and Am-241. Pb-210 seems to be related to organic matter content. Overall, cryoconite holes on Ecology Glacier present unique habitats that serve as biodiversity hotspots of psychrophiles, source of organic matter, matrices for radioactivity tracking and model for observing changes in supraglacial ecosystems in the maritime Antarctic.</t>
  </si>
  <si>
    <t>[Buda, Jakub; Magowski, Wojciech; Zawierucha, Krzysztof] Adam Mickiewicz Univ, Dept Anim Taxon &amp; Ecol, Uniwersytetu Poznanskiego 6, Poznan 61614, Poland; [Lokas, Edyta] Polish Acad Sci, Inst Nucl Phys, Dept Mass Spectrometry, Radzikowskiego 152, Krakow 31342, Poland; [Pietryka, Miroslawa; Richter, Dorota] Wroclaw Univ Environm &amp; Life Sci, Dept Bot &amp; Plant Ecol, Pl Grunwaldzki 24a, Wroclaw 50363, Poland; [Iakovenko, Nataliia S.] Czech Univ Life Sci Prague, Fac Forestry &amp; Wood Sci, Kamycka 129, CZ-16521 Prague 6, Czech Republic; [Porazinska, Dorota L.] Univ Florida, Dept Entomol &amp; Nematol, Gainesville, FL 32611 USA; [Budzik, Tomasz; Grabiec, Mariusz] Univ Silesia Katowice, Inst Earth Sci, Bedzinska 60, Sosnowiec 41200, Poland; [Grzesiak, Jakub] Polish Acad Sci, Inst Biochem &amp; Biophys, Dept Antarctic Biol, Warsaw, Poland; [Klimaszyk, Piotr] Adam Mickiewicz Univ, Fac Biol, Dept Water Protect, Poznan 61614, Poland; [Gaca, Pawel] Univ Southampton, Natl Oceanog Ctr, Ocean &amp; Earth Sci, European Way, Southampton SO14 3ZH, Hants, England</t>
  </si>
  <si>
    <t>Adam Mickiewicz University; Polish Academy of Sciences; Institute of Nuclear Physics - Polish Academy of Sciences; Wroclaw University of Environmental &amp; Life Sciences; Czech University of Life Sciences Prague; State University System of Florida; University of Florida; University of Silesia in Katowice; Polish Academy of Sciences; Institute of Biochemistry &amp; Biophysics - Polish Academy of Sciences; Adam Mickiewicz University; NERC National Oceanography Centre; University of Southampton</t>
  </si>
  <si>
    <t>Zawierucha, K (corresponding author), Adam Mickiewicz Univ, Dept Anim Taxon &amp; Ecol, Uniwersytetu Poznanskiego 6, Poznan 61614, Poland.</t>
  </si>
  <si>
    <t>k.p.zawierucha@gmail.com</t>
  </si>
  <si>
    <t>Zawierucha, Krzysztof/HTP-6506-2023; Zawierucha, Krzysztof/HDN-5985-2022; Buda, Jakub/ABE-5873-2021; Grzesiak, Jakub/ABD-5209-2020; Budzik, Tomasz/K-5354-2012; Łokas, Edyta/AAM-4119-2021; Iakovenko, Nataliia/S-6462-2018; Richter, Dorota/S-8850-2016</t>
  </si>
  <si>
    <t>Zawierucha, Krzysztof/0000-0002-0754-1411; Budzik, Tomasz/0000-0003-0601-6890; Łokas, Edyta/0000-0001-9996-6523; Buda, Jakub/0000-0002-4584-5897; Pietryka, Miroslawa/0000-0002-2796-6097; Gaca, Pawel/0000-0003-0786-3143; Iakovenko, Nataliia/0000-0003-4458-9884; Richter, Dorota/0000-0003-3024-9766; Klimaszyk, Piotr/0000-0003-2847-1106; Grzesiak, Jakub/0000-0001-5972-2356; Grabiec, Mariusz/0000-0002-1991-3577</t>
  </si>
  <si>
    <t>Centre for Polar Studies (Leading National Research Centre in Earth Sciences for 2014-2018) [03/KNOW2/2014]; grant EVA4.0 - OP RDE [CZ.02.1.01/0.0/0.0/16_019/0000803]; National Science Canter grant OPUS11 [2016/21/B/ST10/02327]</t>
  </si>
  <si>
    <t>Centre for Polar Studies (Leading National Research Centre in Earth Sciences for 2014-2018); grant EVA4.0 - OP RDE; National Science Canter grant OPUS11</t>
  </si>
  <si>
    <t>The results presented here were initiated by the seminar, The role of cryoconite in the functioning of glacial systems supported by the Centre for Polar Studies (the Leading National Research Centre in Earth Sciences for 2014-2018 No. 03/KNOW2/2014). We are grateful to Professor Jacek Jania for the opportunity of organising the seminar. We thank Danuta Szuminska, Malgorzata Szopinska and Przemyslaw Kapuscinski for help during sampling, andMr. Ronald Laniecki for technical assistance in preparing nanorchestid mites. The samples from the Ecology Glacier used in the paper were collected and transported based on the logistic support of Henryk Arctowski Polish Antarctic Station. Rotifer analyses were supported by grant EVA4.0, No. CZ.02.1.01/0.0/0.0/16_019/0000803 financed by OP RDE to NI. Radionuclide analyses were supported by the National Science Canter grant OPUS11 no. 2016/21/B/ST10/02327 by EL. Authors are grateful to the 4Science Foundation (AdamNawrot) for help in interpretation of results. One of the contributors to the paper, prof. Ziemowit Olasznowski is now deceased. Authors from Adam Mickiewicz University in Poznan would like to pay gratitude and respects to prof. Olszanowski for his help in the identification of mites from various glaciers.</t>
  </si>
  <si>
    <t>10.1016/j.scitotenv.2020.138112</t>
  </si>
  <si>
    <t>LN1EG</t>
  </si>
  <si>
    <t>Green Accepted, Green Published, hybrid, Green Submitted</t>
  </si>
  <si>
    <t>WOS:000532687000004</t>
  </si>
  <si>
    <t>Chen, YH; Yao, GS; Wang, XF; Lv, FL; Shao, DL; Lu, YT; Cao, QB; Tang, PC</t>
  </si>
  <si>
    <t>Chen, Yuhang; Yao, Genshun; Wang, Xiaofeng; Lv, Fuliang; Shao, Dali; Lu, Yintao; Cao, Quanbin; Tang, Pengcheng</t>
  </si>
  <si>
    <t>Flow processes of the interaction between turbidity flows and bottom currents in sinuous unidirectionally migrating channels: An example from the Oligocene channels in the Rovuma Basin, offshore Mozambique</t>
  </si>
  <si>
    <t>Unidirectionally migrating channels; Flow processes; Deflection of bottom currents; Helical flow circulation; Rovuma Basin</t>
  </si>
  <si>
    <t>DEEP-WATER CHANNELS; EAST-AFRICAN RIFT; SUBMARINE CHANNELS; DEPOSITIONAL ELEMENTS; REWORKED SANDS; SLOPE CHANNEL; CONTOURITE; SEDIMENTATION; EVOLUTION; SYSTEM</t>
  </si>
  <si>
    <t>A number of unidirectionally migrating channels have been interpreted as the result of the interaction between turbidity flows and bottom currents. Based on the analysis of the morphology and internal architecture of channels, different conceptual models of unidirectionally migrating channels were built to reveal the flow process of the interaction between turbidity flows and bottom currents. Most previous studies mainly focused on the straight section of channels, however, the relevant models did not elucidate the flow process in sinuous sections, limiting the knowledge on the formation mechanism and evolution of the whole unidirectionally migrating channels. By using 3D seismic data, the current study not only depicted the geomorphology and internal architecture of a sinuous unidirectionally migrating channels in the Rovuma Basin, offshore Mozambique, but also quantitatively analyzed the flow processes in the straight and bend sections of the channels. The results show that the interaction between turbidity flows and the northward-flowing Antarctic Bottom Water (AABW) led to the unidirectional migration of the turbidite channels. In the straight section of channels, fine-grained material from the upper parts of turbidity flows was deflected northward via flow stripping induced by the AABW, and this material was finally deposited as sandy lateral accretion packages and muddy drifts. The lateral deposits steepened northern channel banks and forced the southward migration of channel axes. However, in the bend section of channels, the upper parts of turbidity flows were forced towards the inner (southern) bank due to the helical flow induced by centrifugal forces, which probably offset the effect of the AABW, and therefore no lateral drifts developed. The effect of bottom currents on turbidity flows is related to the relative direction of turbidity flow and bottom currents. The lateral deposition and corresponding erosion induced by bottom currents influence the formation of the unidirectionally migrating channels, and the channels migrate towards the erosional side but away from the lateral deposition. Our results can help reveal the complete flow processes and sedimentation in the unidirectionally migrating channels in deep water basins around the world. (C) 2020 Elsevier B.V. All rights reserved.</t>
  </si>
  <si>
    <t>[Chen, Yuhang] Xian Shiyou Univ, Sch Earth Sci &amp; Engn, Xian 710065, Shaanxi, Peoples R China; [Chen, Yuhang] Qingdao Natl Lab Marine Sci &amp; Technol, Lab Marine Geol, Qingdao 266061, Peoples R China; [Chen, Yuhang] Chinese Acad Sci, Key Lab Ocean &amp; Marginal Sea Geol, Guangzhou 51030, Peoples R China; [Chen, Yuhang; Yao, Genshun; Lv, Fuliang; Shao, Dali; Lu, Yintao; Cao, Quanbin; Tang, Pengcheng] PetroChina Hangzhou Inst Geol, Hangzhou 310023, Peoples R China; [Chen, Yuhang] Xian Shiyou Univ, Shaanxi Key Lab Petr Accumulat Geol, Xian 710065, Shaanxi, Peoples R China; [Wang, Xiaofeng] CNODC Mozambique Lda, Beijing 102249, Peoples R China</t>
  </si>
  <si>
    <t>Xi'an Shiyou University; Laoshan Laboratory; Chinese Academy of Sciences; China National Petroleum Corporation; Xi'an Shiyou University</t>
  </si>
  <si>
    <t>Chen, YH (corresponding author), Xian Shiyou Univ, Sch Earth Sci &amp; Engn, Xian 710065, Shaanxi, Peoples R China.</t>
  </si>
  <si>
    <t>cyh@xsyu.edu.cn</t>
  </si>
  <si>
    <t>Shao, Dali/J-5870-2014</t>
  </si>
  <si>
    <t>National Natural Science Foundation of China [41802128]; Laboratory for Marine Geology, Qingdao National Laboratory for Marine Science and Technology [MGQNLM-KF201716]; Key Laboratory of Ocean and Marginal Sea Geology, Chinese Academyof Sciences [OMG18-12]; Natural Science Foundation of Shaanxi Province of China [2019JQ-828]; Foundation of Clastic Sedimentology and Reservoir Evaluation [2019QNKYCXTD05]; Scientific Research and Technology Development Foundation of China National Petroleum Corporation [2016D-4303]</t>
  </si>
  <si>
    <t>National Natural Science Foundation of China(National Natural Science Foundation of China (NSFC)); Laboratory for Marine Geology, Qingdao National Laboratory for Marine Science and Technology; Key Laboratory of Ocean and Marginal Sea Geology, Chinese Academyof Sciences; Natural Science Foundation of Shaanxi Province of China(Natural Science Foundation of Shaanxi Province); Foundation of Clastic Sedimentology and Reservoir Evaluation; Scientific Research and Technology Development Foundation of China National Petroleum Corporation</t>
  </si>
  <si>
    <t>This study was financially supported by the National Natural Science Foundation of China (Grant No. 41802128), the Laboratory for Marine Geology, Qingdao National Laboratory for Marine Science and Technology (Grant No. MGQNLM-KF201716), the Key Laboratory of Ocean and Marginal Sea Geology, Chinese Academyof Sciences (Grant No. OMG18-12), the Natural Science Foundation of Shaanxi Province of China (Grant No. 2019JQ-828), the Foundation of Clastic Sedimentology and Reservoir Evaluation (Grant No. 2019QNKYCXTD05), and the Scientific Research and Technology Development Foundation of China National Petroleum Corporation (Grant No. 2016D-4303).</t>
  </si>
  <si>
    <t>10.1016/j.sedgeo.2020.105680</t>
  </si>
  <si>
    <t>LY9UM</t>
  </si>
  <si>
    <t>WOS:000540873000007</t>
  </si>
  <si>
    <t>Liu, Q; Jiang, Y</t>
  </si>
  <si>
    <t>Liu, Qian; Jiang, Yong</t>
  </si>
  <si>
    <t>Application of microbial network analysis to discriminate environmental heterogeneity in Fildes Peninsula, Antarctica</t>
  </si>
  <si>
    <t>Planktonic microbes; Environmental heterogeneity; Illumina MiSeq; Co-occurrence networks; Bioassessment; Antarctica</t>
  </si>
  <si>
    <t>KING GEORGE ISLAND; PHYTOPLANKTON; DIVERSITY; COMMUNITY; PATTERNS; BACTERIOPLANKTON; BACTERIAL; ECOSYSTEM; CONTAMINATION; PACIFIC</t>
  </si>
  <si>
    <t>In order to determine the practicability of developing a protocol for bioassessing polar marine environment based on network analysis, microplankton communities and co-occurrence patterns at Ardley Cove and Great Wall Cove (King George Island, Antarctica) were studied in January 2016 through high-through sequencing. The spatial patterns and significant differences between community structures in two coves clearly reflect those in environmental heterogeneity. Moreover, both coves had their discriminated network structure and keystones. Then multivariate analyses to quantify the relationship between environmental variation and planktonic microbes response, give further evidence that nitrate and temperature, alone or in combination with other several parameters, structuring the communities respectively indeed. This study presents the first detailed description on co-occurrence networks between microbes and local environmental parameters in Antarctic coastal water. These findings suggest that co-occurrence networks based on planktonic microbes have the robust potential to assess environmental heterogeneity in polar marine ecosystem.</t>
  </si>
  <si>
    <t>[Liu, Qian; Jiang, Yong] Ocean Univ China, Coll Marine Life Sci, Qingdao 266003, Peoples R China; [Jiang, Yong] Ocean Univ China, Key Lab Polar Oceanog &amp; Global Ocean Change, Qingdao 266003, Peoples R China; [Jiang, Yong] Ocean Univ China, Inst Evolut &amp; Marine Biodivers, Qingdao 266003, Peoples R China</t>
  </si>
  <si>
    <t>Ocean University of China; Ocean University of China; Ocean University of China</t>
  </si>
  <si>
    <t>Jiang, Y (corresponding author), Ocean Univ China, Coll Marine Life Sci, Qingdao 266003, Peoples R China.</t>
  </si>
  <si>
    <t>yongjiang@ouc.edu.cn</t>
  </si>
  <si>
    <t>Jiang, Yong/AGK-3016-2022</t>
  </si>
  <si>
    <t>Jiang, Yong/0000-0002-4072-1668; Jiang, Yong/0000-0001-6055-488X</t>
  </si>
  <si>
    <t>National Natural Science Foundation of China (NFSC) [41676178]; Marine S&amp;T Fund of Shandong Province for Pilot National Laboratory for Marine Science and Technology (Qingdao) [2018SDKJ0406-6, 2018SDKJ0104-4, RFSOCC2020-2025]</t>
  </si>
  <si>
    <t>National Natural Science Foundation of China (NFSC)(National Natural Science Foundation of China (NSFC)); Marine S&amp;T Fund of Shandong Province for Pilot National Laboratory for Marine Science and Technology (Qingdao)</t>
  </si>
  <si>
    <t>This study was supported by the National Natural Science Foundation of China (NFSC) (No. 41676178); Marine S&amp;T Fund of Shandong Province for Pilot National Laboratory for Marine Science and Technology (Qingdao) (Nos. 2018SDKJ0406-6, 2018SDKJ0104-4); the response and feedback of the Southern Ocean to climate change (RFSOCC2020-2025). We would like to thank Editage (www.editage.cn) for English language editing. And we greatly appreciate the editor and anonymous reviewers for their constructive comments.</t>
  </si>
  <si>
    <t>10.1016/j.marpolbul.2020.111244</t>
  </si>
  <si>
    <t>WOS:000539160000004</t>
  </si>
  <si>
    <t>Ryan, PG</t>
  </si>
  <si>
    <t>Ryan, Peter G.</t>
  </si>
  <si>
    <t>Using photographs to record plastic in seabird nests</t>
  </si>
  <si>
    <t>Colour selectivity; Monitoring; Brown noddy; Hartlaub's gull; Ducie Atoll; Inaccessible Island</t>
  </si>
  <si>
    <t>BOOBY SULA-LEUCOGASTER; MARINE DEBRIS; LITTER; DISTURBANCE; PREVALENCE</t>
  </si>
  <si>
    <t>The incidence of plastic in seabird nests can be used to track changes in the amounts of marine debris, but large sample sizes are needed for accurate estimates. Surveys of active nests cause disturbance to breeding birds, so we need an efficient way to sample nest plastics. Photographs of brown noddy Anous stolidus nests at Ducie Atoll, southeast Pacific Ocean, allowed rapid characterisation of plastic use with limited disturbance, and showed selection for blue-green items. Plastic was more prevalent in noddy nests at Ducie Atoll (97%) than at Inaccessible Island, South Atlantic Ocean (41%), despite lower debris densities at Ducie. Differences in nesting habitat and the resultant availability of natural nesting material drive this difference in plastic loads. Using photographs to record plastic in seabird nests reduces disturbance to breeding birds and might decrease the risk of missing cryptic debris items. Photographs also provide a permanent record of pollution levels.</t>
  </si>
  <si>
    <t>[Ryan, Peter G.] Univ Cape Town, DST NRF Ctr Excellence, FitzPatrick Inst African Ornithol, ZA-7701 Rondebosch, South Africa</t>
  </si>
  <si>
    <t>University of Cape Town; National Research Foundation - South Africa</t>
  </si>
  <si>
    <t>Ryan, PG (corresponding author), Univ Cape Town, DST NRF Ctr Excellence, FitzPatrick Inst African Ornithol, ZA-7701 Rondebosch, South Africa.</t>
  </si>
  <si>
    <t>pryan31@gmail.com</t>
  </si>
  <si>
    <t>Ryan, Peter/0000-0002-3356-2056</t>
  </si>
  <si>
    <t>Pitcairn Island Council; UK Foreign and Commonwealth Office</t>
  </si>
  <si>
    <t>I thank Andy Schofield for assistance at Ducie Atoll and Ben Dilley at Inaccessible Island. Davi Tavares provided useful comments and insights. My visit to Pitcairn was part of the 2019 Pitcairn `Explorers' voyage, supported by the Pitcairn Island Council and UK Foreign and Commonwealth Office. We thank the Tristan da Cunha Island Council and Administrator for approving our visit to Inaccessible Island, which was supported logistically by the South African National Antarctic Programme.</t>
  </si>
  <si>
    <t>10.1016/j.marpolbul.2020.111262</t>
  </si>
  <si>
    <t>WOS:000539160000086</t>
  </si>
  <si>
    <t>Tian, Z; Jolliff, BL; Korotev, RL; Fegley, B; Lodders, K; Day, JMD; Chen, H; Wang, K</t>
  </si>
  <si>
    <t>Tian, Zhen; Jolliff, Bradley L.; Korotev, Randy L.; Fegley, Bruce, Jr.; Lodders, Katharina; Day, James M. D.; Chen, Heng; Wang, Kun</t>
  </si>
  <si>
    <t>Potassium isotopic composition of the Moon</t>
  </si>
  <si>
    <t>Potassium isotopes; Moon; urKREEP; Magma ocean; Magmatic degassing</t>
  </si>
  <si>
    <t>PROCELLARUM KREEP TERRANE; MC-ICP-MS; GIANT IMPACT; LUNAR METEORITES; NEUTRON-CAPTURE; MARE BASALTS; VOLATILE LOSS; RUSTY ROCK; ORIGIN; DIFFERENTIATION</t>
  </si>
  <si>
    <t>The Moon is depleted in water and other volatiles compared to Earth and the bulk solar composition. Such depletion of volatile elements and the stable isotope fractionations of these elements can be used to better understand the origin and early differentiation history of the Moon. In this study, we focus on the moderately volatile element, potassium, and we report the K elemental abundances and isotopic compositions (delta K-41 relative to NIST SRM 3141a) for nineteen Apollo lunar rocks and lunar meteorites (twenty-two subsamples), spanning all major geochemical and petrologic types of lunar materials. The K isotopic compositions of low-Ti and high-Ti basalts are indistinguishable, providing a lunar basalt average delta K-41 of -0.07 +/- 0.09 parts per thousand (2SD), which we also consider to be the best estimate of the lunar mantle and the bulk silicate Moon. The significant enrichment of K in its heavier isotopes in the bulk silicate Moon, compared with the bulk silicate Earth (delta K-41 = -0.48 +/- 0.03 parts per thousand), is consistent with previous analyses of K isotopes and other moderately volatile elements (e.g., Cl, Cu, Zn, Ga, and Rb). We also report analyses of K isotopes for lunar nonmare samples, which show large variations of K isotopic ratios compared to lunar basalts. We interpret this large K isotopic fractionation as the result of late-stage magma ocean degassing during urKREEP formation, which is also coupled with Cl isotope fractionation. Degassing of urKREEP likely triggered redistribution of K isotopes in the Moon, enriching the urKREEP reservoir in heavy K isotopes while implanting the light K isotopic signatures onto the lunar surface. This scenario suggests a heterogeneous distribution of K isotopes in the Moon as a consequence of its magmatic evolution. (C) 2020 Elsevier Ltd. All rights reserved.</t>
  </si>
  <si>
    <t>[Tian, Zhen; Jolliff, Bradley L.; Korotev, Randy L.; Fegley, Bruce, Jr.; Lodders, Katharina; Chen, Heng; Wang, Kun] Washington Univ, Dept Earth &amp; Planetary Sci, One Brookings Dr, St Louis, MO 63130 USA; [Tian, Zhen; Jolliff, Bradley L.; Korotev, Randy L.; Fegley, Bruce, Jr.; Lodders, Katharina; Chen, Heng; Wang, Kun] Washington Univ, McDonnell Ctr Space Sci, One Brookings Dr, St Louis, MO 63130 USA; [Day, James M. D.] Univ Calif San Diego, Scripps Inst Oceanog, La Jolla, CA 92093 USA; [Chen, Heng] Columbia Univ, Lamont Doherty Earth Observ, Palisades, NY 10964 USA</t>
  </si>
  <si>
    <t>Washington University (WUSTL); Washington University (WUSTL); University of California System; University of California San Diego; Scripps Institution of Oceanography; Columbia University</t>
  </si>
  <si>
    <t>Tian, Z; Wang, K (corresponding author), Washington Univ, Dept Earth &amp; Planetary Sci, One Brookings Dr, St Louis, MO 63130 USA.;Tian, Z; Wang, K (corresponding author), Washington Univ, McDonnell Ctr Space Sci, One Brookings Dr, St Louis, MO 63130 USA.</t>
  </si>
  <si>
    <t>t.zhen@wustl.edu; wangkun@wustl.edu</t>
  </si>
  <si>
    <t>Tian, Zhen/AAG-6420-2021; Jolliff, Bradley/GOE-3484-2022; Day, James/A-5099-2010</t>
  </si>
  <si>
    <t>Tian, Zhen/0000-0003-1758-3559; Jolliff, Bradley/0000-0002-8294-4501; Fegley, Bruce/0009-0007-2258-8510; Wang, Kun/0000-0003-0691-7058; Day, James/0000-0001-9520-3465; Lodders, Katharina/0000-0001-7531-626X</t>
  </si>
  <si>
    <t>McDonnell Center for the Space Sciences; McDonnell International Academy, Washington University; NSF; NASA</t>
  </si>
  <si>
    <t>McDonnell Center for the Space Sciences; McDonnell International Academy, Washington University; NSF(National Science Foundation (NSF)); NASA(National Aeronautics &amp; Space Administration (NASA))</t>
  </si>
  <si>
    <t>This work was primarily supported by the McDonnell Center for the Space Sciences. Z.T. acknowledges a fellowship from the McDonnell International Academy, Washington University. Editorial handling by Julie Prytulak and reviews from Jessica Barnes and two anonymous reviewers are gratefully acknowledged. We thank CAPTEM, ANSMET, the Meteorite Working Group, Dr. Ryan Zeigler, and Dr. Kevin Righter at NASA's Johnson Space Center for curation and allocation of Apollo lunar samples and Antarctic meteorites.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</si>
  <si>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10.1016/j.gca.2020.04.021</t>
  </si>
  <si>
    <t>LW0HU</t>
  </si>
  <si>
    <t>WOS:000538828600015</t>
  </si>
  <si>
    <t>Thiéblemont, A; Hernández-Molina, FJ; Ponte, JP; Robin, C; Guillocheau, F; Cazzola, C; Raisson, F</t>
  </si>
  <si>
    <t>Thieblemont, Antoine; Hernandez-Molina, F. Javier; Ponte, Jean-Pierre; Robin, Cecile; Guillocheau, Francois; Cazzola, Carlo; Raisson, Francois</t>
  </si>
  <si>
    <t>Seismic stratigraphic framework and depositional history for Cretaceous and Cenozoic contourite depositional systems of the Mozambique Channel, SW Indian Ocean</t>
  </si>
  <si>
    <t>MARINE GEOLOGY</t>
  </si>
  <si>
    <t>Seismic stratigraphy; Morphology; Sedimentary processes; Bottom current; Cretaceous and Cenozoic; Mozambique margin</t>
  </si>
  <si>
    <t>EAST-AFRICAN RIFT; BOTTOM CURRENT ACTIVITY; DEEP-WATER; CONTINENTAL-MARGIN; CRUSTAL STRUCTURE; NATAL VALLEY; SEDIMENTARY PROCESSES; ARGENTINE BASIN; TRANSKEI BASIN; FRACTURE-ZONE</t>
  </si>
  <si>
    <t>This study describes previously unrecognized contourite depositional systems (CDSs) in the Mozambique Channel which constrain palaeoceanographic models for this area. The stratigraphic stacking patterns record nine seismic units (SU1 to SU9) separated by eight major discontinuities (a to h, oldest to youngest). Key seismic markers in CDS evolutionary history occur during Aptian-Albian (similar to 122 Ma), late Cenomanian (94 Ma), early (38.2-36.2 Ma) and late (25-23 Ma) Oligocene, and early-middle Miocene (similar to 17-15 Ma) epochs. These record onset (similar to 122 to 94 Ma), growth (94 to 25-23 Ma), maintenance (25-23 to 17-15 Ma), and burial (17-15 Ma to the actual time) stages for CDSs. CDSs first develop during the onset stage which coincides with the opening and deepening of the African-Southern Ocean gateway (at 122 and 100 Ma, respectively). The growth stage, beginning in the late Cenomanian (94 Ma), correlates with the opening and deepening of the Equatorial Atlantic gateway. During the growth stage, two major shifts in sedimentary stacking pattern occur which coincide with palaeoceanographic changes during the early (38.2-36.2 Ma) and late (25-23 Ma) Oligocene. These in turn coincide with the onset and local enhancement of Antarctic water masses. CDS growth continued until the early-middle Miocene during the maintenance stage (similar to 17-15 Ma). Most CDS growth ceased at the end of the maintenance stage. Circulation of the North Atlantic water mass into the Southern Hemisphere led to a deepening of Antarctic water masses in the area.</t>
  </si>
  <si>
    <t>[Thieblemont, Antoine; Hernandez-Molina, F. Javier] Royal Holloway Univ London, Dept Earth Sci, Egham TW20 0EX, Surrey, England; [Thieblemont, Antoine; Raisson, Francois] TOTAL, R&amp;D Frontier Explorat Program, Ave Larribau, F-64000 Pau, France; [Ponte, Jean-Pierre; Robin, Cecile; Guillocheau, Francois] Univ Rennes, Geosci Rennes, CNRS, UMR 6118, F-35000 Rennes, France; [Cazzola, Carlo] TOTAL, 2 Pl Jean Millier, F-92078 Paris, France</t>
  </si>
  <si>
    <t>University of London; Royal Holloway University London; Total SA; Centre National de la Recherche Scientifique (CNRS); CNRS - National Institute for Earth Sciences &amp; Astronomy (INSU); Universite de Rennes; Total SA</t>
  </si>
  <si>
    <t>Thiéblemont, A (corresponding author), Royal Holloway Univ London, Dept Earth Sci, Egham TW20 0EX, Surrey, England.</t>
  </si>
  <si>
    <t>antoine.thieblemont@total.com</t>
  </si>
  <si>
    <t>RAISSON, Francois/0000-0001-7920-8506</t>
  </si>
  <si>
    <t>TOTAL; Royal Holloway University of London (UK) [CTM 2012-39599-C03, CGL2016-80445-R, CTM2016-75129-C3-1-R]</t>
  </si>
  <si>
    <t>TOTAL(Total SA); Royal Holloway University of London (UK)</t>
  </si>
  <si>
    <t>The authors sincerely thank INP and WesternGeco for use the study area seismic dataset. This research formed part of the Ph.D. thesis for A. Thieblemont funded by TOTAL as part of the Frontier Exploration research program. The research was conducted in the scope of The Drifters Research Group of the Royal Holloway University of London (UK), and is related to projects CTM 2012-39599-C03, CGL2016-80445-R, and CTM2016-75129-C3-1-R. We acknowledge the suggestions of Marco Fonnesu and three anonymous referees that helped in improving this work.</t>
  </si>
  <si>
    <t>0025-3227</t>
  </si>
  <si>
    <t>1872-6151</t>
  </si>
  <si>
    <t>MAR GEOL</t>
  </si>
  <si>
    <t>Mar. Geol.</t>
  </si>
  <si>
    <t>10.1016/j.margeo.2020.106192</t>
  </si>
  <si>
    <t>Geosciences, Multidisciplinary; Oceanography</t>
  </si>
  <si>
    <t>Geology; Oceanography</t>
  </si>
  <si>
    <t>LU6GL</t>
  </si>
  <si>
    <t>WOS:000537851600013</t>
  </si>
  <si>
    <t>Cabrera, MA; Márquez, SL; Quezada, CP; Osorio, MI; Castro-Nallar, E; González-Nilo, FD; Pérez-Donoso, JM</t>
  </si>
  <si>
    <t>Angeles Cabrera, Ma; Marquez, Sebastian L.; Quezada, Carolina P.; Osorio, Manuel, I; Castro-Nallar, Eduardo; Gonzalez-Nilo, Fernando D.; Perez-Donoso, Jose M.</t>
  </si>
  <si>
    <t>Biotransformation of 2,4,6-Trinitrotoluene by Pseudomonas sp. TNT3 isolated from Deception Island, Antarctica</t>
  </si>
  <si>
    <t>YELLOW ENZYME FAMILY; MICROBIAL-METABOLISM; OXIDATIVE STRESS; DEGRADATION; TRANSFORMATION; GENOME; NITROREDUCTASE; AERUGINOSA; GENES; BIODEGRADATION</t>
  </si>
  <si>
    <t>2,4,6-Trinitrotoluene (TNT) is a nitroaromatic explosive, highly toxic and mutagenic for organisms. In this study, we report for the first time the screening and isolation of TNT-degrading bacteria from Antarctic environmental samples with potential use as bioremediation agents. Ten TNT-degrading bacterial strains were isolated from Deception Island. Among them, Pseudomonas sp. TNT3 was selected as the best candidate since it showed the highest tolerance, growth, and TNT biotransformation capabilities. Our results showed that TNT biotransformation involves the reduction of the nitro groups. Additionally, Pseudomonas sp. TNT3 was capable of transforming 100 mg/L TNT within 48 h at 28 degrees C, showing higher biotransformation capability than Pseudomonas putida KT2440, a known TNT-degrading bacterium. Functional annotation of Pseudomonas sp. TNT3 genome revealed a versatile set of molecular functions involved in xenobiotic degradation pathways. Two putative xenobiotic reductases (XenA_TNT3 and XenB_TNT3) were identified by means of homology searches and phylogenetic relationships. These enzymes were also characterized at molecular level using homology modelling and molecular dynamics simulations. Both enzymes share different levels of sequence similarity with other previously described TNT-degrading enzymes and with their closest potential homologues in databases. (C) 2020 Elsevier Ltd. All rights reserved.</t>
  </si>
  <si>
    <t>[Angeles Cabrera, Ma; Marquez, Sebastian L.; Quezada, Carolina P.; Osorio, Manuel, I; Castro-Nallar, Eduardo; Gonzalez-Nilo, Fernando D.; Perez-Donoso, Jose M.] Univ Andres Bello, Fac Life Sci, Ctr Bioinformat &amp; Integrat Biol CBIB, Av Republ 330, Santiago 330, Chile</t>
  </si>
  <si>
    <t>Universidad Andres Bello</t>
  </si>
  <si>
    <t>Pérez-Donoso, JM (corresponding author), Univ Andres Bello, Fac Life Sci, Ctr Bioinformat &amp; Integrat Biol CBIB, Av Republ 330, Santiago 330, Chile.</t>
  </si>
  <si>
    <t>jose.perez@unab.cl</t>
  </si>
  <si>
    <t>Quezada, Carolina Paz/AAG-1981-2019; Castro-Nallar, Eduardo/I-5925-2019; González-Nilo, Fernando/M-5671-2016; Pérez-Donoso, José M./G-3668-2013; Osorio, Manuel/F-6583-2018</t>
  </si>
  <si>
    <t>Quezada, Carolina Paz/0000-0002-0260-5754; Castro-Nallar, Eduardo/0000-0003-4384-8661; Pérez-Donoso, José M./0000-0002-9506-1716; Osorio, Manuel/0000-0002-1297-8351</t>
  </si>
  <si>
    <t>Erika Elcira Donoso Lopez; RDECOM US Army, USA [W911NF-17-2-0156]; FONDECYT, Chile [1151255, 3170718]; INACH, Chile [RT_25-16, FP_02-17]</t>
  </si>
  <si>
    <t>Erika Elcira Donoso Lopez; RDECOM US Army, USA; FONDECYT, Chile(Comision Nacional de Investigacion Cientifica y Tecnologica (CONICYT)CONICYT FONDECYT); INACH, Chile</t>
  </si>
  <si>
    <t>This work was supported by Erika Elcira Donoso Lopez; RDECOM US Army, USA (No. W911NF-17-2-0156); FONDECYT, Chile (JMPD: No. 1151255 and CPQ: No. 3170718); INACH, Chile (JMPD: No. RT_25-16 and CPQ: No. FP_02-17) (Instituto Antartico Chileno, ECA54).</t>
  </si>
  <si>
    <t>10.1016/j.envpol.2020.113922</t>
  </si>
  <si>
    <t>LO3JG</t>
  </si>
  <si>
    <t>WOS:000533524300001</t>
  </si>
  <si>
    <t>Du, ZH; Xiao, CD; Mayewski, PA; Handley, MJ; Li, CJ; Ding, MH; Liu, JF; Yang, J; Liu, K</t>
  </si>
  <si>
    <t>Du, Zhiheng; Xiao, Cunde; Mayewski, Paul A.; Handley, Mike J.; Li, Chuanjin; Ding, Minghu; Liu, Jingfeng; Yang, Jiao; Liu, Ke</t>
  </si>
  <si>
    <t>The iron records and its sources during 1990-2017 from the Lambert Glacial Basin shallow ice core, East Antarctica</t>
  </si>
  <si>
    <t>CHEMOSPHERE</t>
  </si>
  <si>
    <t>Iron record; Volcanic events; Biomass burning; Shallow ice core; East Antarctica</t>
  </si>
  <si>
    <t>ATMOSPHERIC IRON; MULTIPLE SOURCES; ATLANTIC SECTOR; POTENTIAL PROXY; SOUTHERN-OCEAN; RECENT SNOW; DUST; AEROSOL; IMPACT; PRODUCTIVITY</t>
  </si>
  <si>
    <t>In this study, a shallow ice core (12.5 m, called LGB) was drilled at the Lambert Glacial Basin, East Antarctica. The major ion and metal elements were measured at 5-6 cm resolution in this shallow core, which covered the period 1990-2017. Therefore, an annual-resolution record of iron (Fe) concentrations and fluxes were reconstructed in this shallow ice core. Although the Fe data is comparable to previous results, our results emphasized that much more dissolved Fe (DFe) from the Cerro Hudson volcanic event (August 1991) was transported to the East Antarctic ice sheet, in comparison with the Pinatubo volcanic event (June 1991). The aeolian dust may be the primary DFe source during 1990-2017. In particular, the DFe variations may be affected by the biomass burning emissions in two periods (1990-1998 and 2014-2017). While total dissolved Fe (TDFe) variations were controlled by the climatic conditions since 2000 because of the temperature (delta O-18) decreasing at East Antarctica. These Fe data will be useful to assess the modern bioavailable Fe release for the Antarctica ice sheet. (C) 2020 Elsevier Ltd. All rights reserved.</t>
  </si>
  <si>
    <t>[Du, Zhiheng; Li, Chuanjin; Yang, Jiao] Chinese Acad Sci, Northwest Inst Ecoenvironm &amp; Resources, State Key Lab Cryospher Sci, Lanzhou 730000, Peoples R China; [Xiao, Cunde] Beijing Normal Univ, State Key Lab Earth Surface Proc &amp; Resource Ecol, Beijing 100875, Peoples R China; [Mayewski, Paul A.; Handley, Mike J.] Univ Maine, Climate Change Inst, Orono, ME 04469 USA; [Ding, Minghu] Chinese Acad Meteorol Sci, Inst Climate Syst, Beijing 100081, Peoples R China; [Liu, Jingfeng] Northwest Normal Univ, Coll Geog &amp; Environm Sci, Lanzhou 730000, Peoples R China; [Liu, Ke] Nanjing Univ, Sch Geog &amp; Oceanog Sci, Nanjing 210023, Peoples R China</t>
  </si>
  <si>
    <t>Chinese Academy of Sciences; Beijing Normal University; University of Maine System; University of Maine Orono; China Meteorological Administration; Chinese Academy of Meteorological Sciences (CAMS); Northwest Normal University - China; Nanjing University</t>
  </si>
  <si>
    <t>Du, ZH (corresponding author), Chinese Acad Sci, Northwest Inst Ecoenvironm &amp; Resources, State Key Lab Cryospher Sci, Lanzhou 730000, Peoples R China.;Xiao, CD (corresponding author), Beijing Normal Univ, State Key Lab Earth Surface Proc &amp; Resource Ecol, Beijing 100875, Peoples R China.</t>
  </si>
  <si>
    <t>zhihengdu@lzb.ac.cn; cdxiao@bnu.edu.cn</t>
  </si>
  <si>
    <t>Yang, Jiao/JTV-6688-2023; Ding, Minghu/AFU-3600-2022; Mayewski, Paul Andrew/HRD-6969-2023</t>
  </si>
  <si>
    <t>Ding, Minghu/0000-0002-1142-6598;</t>
  </si>
  <si>
    <t>National Natural Science Foundation of China [41425003, 41701071 41721091, 41801054]; Chinese Academy of Sciences [XAD19070103]; State Key Laboratory of Cryospheric Science [SKLCS-ZZ-2019]; State Oceanic Administration of People's Republic of China [CHINARE 2017]; CHINARE</t>
  </si>
  <si>
    <t>National Natural Science Foundation of China(National Natural Science Foundation of China (NSFC)); Chinese Academy of Sciences(Chinese Academy of Sciences); State Key Laboratory of Cryospheric Science; State Oceanic Administration of People's Republic of China; CHINARE</t>
  </si>
  <si>
    <t>This work was supported by the National Natural Science Foundation of China (Grant Nos. 41425003, 41701071 41721091 and 41801054) and the Strategic Priority Research Program of the Chinese Academy of Sciences (XAD19070103). The State Key Laboratory of Cryospheric Science (SKLCS-ZZ-2019). The State Oceanic Administration of People's Republic of China Project (Grant No. CHINARE 2017). Thanks logistics of Fuhai Wei, Xu Yao, Nan Zhang, Zhengyi Hu, Ke Liu, Jinhai Yu, Siyu Lu and Han Zhang. The data utilized in this manuscript is found in 4TU.ResearchData.</t>
  </si>
  <si>
    <t>0045-6535</t>
  </si>
  <si>
    <t>1879-1298</t>
  </si>
  <si>
    <t>Chemosphere</t>
  </si>
  <si>
    <t>10.1016/j.chemosphere.2020.126399</t>
  </si>
  <si>
    <t>LO5BL</t>
  </si>
  <si>
    <t>WOS:000533642900117</t>
  </si>
  <si>
    <t>Porcino, N; Cosenza, A; Azzaro, M</t>
  </si>
  <si>
    <t>Porcino, Nunziatina; Cosenza, Alessandro; Azzaro, Maurizio</t>
  </si>
  <si>
    <t>A review on the geochemistry of lakes in Victoria Land (Antarctica)</t>
  </si>
  <si>
    <t>Antarctica; Terra nova bay; McMurdo valley; Water chemistry</t>
  </si>
  <si>
    <t>TERRA-NOVA BAY; TRACE-ELEMENTS; IMPACTS; FRYXELL; WATERS; POND</t>
  </si>
  <si>
    <t>This paper reports briefly the concentrations of major elements of 3116 samples of lakes in the Victoria Land region. The data obtained by different works were processed through multivariate chemometric techniques to gain insight into the biogeochemical processes taking place in the lacustrine systems. Antarctic ice-free areas contain lakes and ponds that have interesting chemical features and are of wide global significance as early warning indicators of climatic and environmental change. (C) 2020 Elsevier Ltd. All rights reserved.</t>
  </si>
  <si>
    <t>[Porcino, Nunziatina] Natl Res Council CNR, Inst Marine Biol Resources &amp; Biotechnol IRBIM, Sect Messina, Spianata San Raineri 86, I-98122 Messina, ME, Italy; [Cosenza, Alessandro; Azzaro, Maurizio] Natl Res Council ISP CNR, Inst Polar Sci, Spianata San Raineri 86, I-98122 Messina, ME, Italy</t>
  </si>
  <si>
    <t>Consiglio Nazionale delle Ricerche (CNR); Istituto per le Risorse Biologiche Biotecnologie Marine (IRBIM-CNR); Consiglio Nazionale delle Ricerche (CNR); Istituto di Scienze Polari (ISP-CNR)</t>
  </si>
  <si>
    <t>Porcino, N (corresponding author), Natl Res Council CNR, Inst Marine Biol Resources &amp; Biotechnol IRBIM, Sect Messina, Spianata San Raineri 86, I-98122 Messina, ME, Italy.</t>
  </si>
  <si>
    <t>nunziatina.porcino@cnr.it</t>
  </si>
  <si>
    <t>azzaro, Maurizio/AAE-6784-2019; Porcino, Nunziatina/B-7675-2015</t>
  </si>
  <si>
    <t>azzaro, Maurizio/0000-0001-7885-2340; Porcino, Nunziatina/0000-0002-8273-7924</t>
  </si>
  <si>
    <t>Italian National Antarctic Research Program (PNRA) [PNRA16_194, PNRA18_186, PNRA18_194]</t>
  </si>
  <si>
    <t>Italian National Antarctic Research Program (PNRA)(Ministry of Education, Universities and Research (MIUR))</t>
  </si>
  <si>
    <t>This study has been conducted with the financial support of the Italian National Antarctic Research Program (PNRA; PNRA16_194, PNRA18_186, PNRA18_194). We are grateful to the editor and anonymous reviewers for suggestions that greatly improved the manuscript. We are also grateful to Barbara Recupero, for her help in making it more readable.</t>
  </si>
  <si>
    <t>10.1016/j.chemosphere.2020.126229</t>
  </si>
  <si>
    <t>WOS:000533642900010</t>
  </si>
  <si>
    <t>Lewis, PJ; McGrath, TJ; Emmerson, L; Allinson, G; Shimeta, J</t>
  </si>
  <si>
    <t>Lewis, Phoebe J.; McGrath, Thomas J.; Emmerson, Louise; Allinson, Graeme; Shimeta, Jeff</t>
  </si>
  <si>
    <t>Adelie penguin colonies as indicators of brominated flame retardants (BFRs) in East Antarctica</t>
  </si>
  <si>
    <t>Persistent organic pollutants (POPs); Brominated flame retardants (BFRs); Polybrominated diphenyl ethers (PBDEs); Penguin colony soils; Antarctica</t>
  </si>
  <si>
    <t>POLYBROMINATED DIPHENYL ETHERS; PERSISTENT ORGANIC POLLUTANTS; LONG-RANGE TRANSPORT; KING GEORGE ISLAND; CLIMATE-CHANGE; LOCAL-SOURCES; PCBS; PBDES; CONTAMINANTS; STATION</t>
  </si>
  <si>
    <t>While persistent organic pollutant (POP) contamination within Antarctica is largely caused by long-range atmospheric transport (LRAT), Antarctic research bases have been shown to be local sources of POPs such as brominated flame retardants (BFRs). This study compared concentrations of seven polybrominated diphenyl ethers (PBDE) congeners and five novel flame retardants (NBERs) found in Adelie penguin (Pygoscelis adeliae) colony soils near the Australian research stations, Mawson and Davis, to assess the stations as local sources of these contaminants and provide a much needed baseline for contamination of BFRs in East Antarctica. Soil samples (n = 46) were collected from Adelie colonies at close proximity to the research stations as well as further afield during the 2016-17 austral summer. Samples were analysed using selective pressurised liquid extraction (S-PLE) and gas chromatography coupled to tandem mass spectrometry (GC-MS/MS). PBDEs (BDE-28, -47, -99, -100, -153, -154 and -183) were detected in 45/46 samples with Sigma 7PBDE concentrations ranging from &lt;0.01 to 1.63 ng/g dry weight (dw) and NBERs (2,3,4,5,6-pentabromotoluene (PBT), 2,3,4,5,6-pentabromoethylbenzene (PBEB), hexabromobenzene (HBB), 2-ethylhexyl-2,3,4,5-tetrabromobenzoate (EH-TBB) and bis(2,4,6-tribromophenoxy) ethane (BTBPE)) detected in 20/46 samples, with a range of Sigma 5NBFR from not detected (ND) to 0.16 ng/g dw. Soils taken from around the Davis and Mawson research stations were more highly contaminated (n = 10) than penguin colonies (n = 27) and control areas not affiliated with breeding seabirds (n = 8). The most common congener detected was BDE-99, reflecting inputs from LRAT. However, the congener profiles of station soils supported the hypothesis that research stations are a local source of PBDEs to the Antarctic environment. In addition, the NBFR pentabromoethylbenzene (PBEB) was quantified for the first time in Antarctic soils, providing essential information for baseline contamination within the region and highlighting the need for ongoing monitoring as global regulations for the use of BERs continuously change. (C) 2020 Elsevier Ltd. All rights reserved.</t>
  </si>
  <si>
    <t>[Lewis, Phoebe J.; McGrath, Thomas J.; Allinson, Graeme; Shimeta, Jeff] RMIT Univ, Ctr Environm Sustainabil &amp; Remediat EnSuRe, Sch Sci, GPO Box 2476, Melbourne, Vic 3001, Australia; [Lewis, Phoebe J.; Emmerson, Louise] Australian Antarctic Div, 203 Channel Highway, Kingston, Tas 7050, Australia</t>
  </si>
  <si>
    <t>Royal Melbourne Institute of Technology (RMIT); Melbourne Genomics Health Alliance; Australian Antarctic Division</t>
  </si>
  <si>
    <t>Lewis, PJ (corresponding author), RMIT Univ, Ctr Environm Sustainabil &amp; Remediat EnSuRe, Sch Sci, GPO Box 2476, Melbourne, Vic 3001, Australia.</t>
  </si>
  <si>
    <t>phoebe.lewis@rmit.edu.au</t>
  </si>
  <si>
    <t>Shimeta, Jeff/AAR-9642-2021</t>
  </si>
  <si>
    <t>McGrath, Thomas/0000-0002-7358-9253; Shimeta, Jeff/0000-0002-7003-7832; Lewis, Phoebe/0000-0002-6162-850X</t>
  </si>
  <si>
    <t>Australian Antarctic Science Grant [4087]; Australian Government Research Training Program Scholarship</t>
  </si>
  <si>
    <t>Australian Antarctic Science Grant; Australian Government Research Training Program Scholarship(Australian GovernmentDepartment of Industry, Innovation and Science)</t>
  </si>
  <si>
    <t>This work was partially funded by an Australian Antarctic Science Grant (4087) and supported by receipt of an Australian Government Research Training Program Scholarship. The authors would also like to acknowledge the financial support of Dr Bradley O. Clarke as well as the essential assistance from Helen Achurch, Jane Wasley, Greg Hince, Lauren Wise and Paul Morrison in quarantine processes, soil extraction and analysis. Thank you to Tess Egan for locating background material on Australian Antarctic infrastucture. We also thank Anna Lashko, Lisa Meyer, Matt Pauza, Sam Siddins, Rachel McInerney, Brandon Shendruk and Eric Stowell for their assistance in soil sampling.</t>
  </si>
  <si>
    <t>10.1016/j.chemosphere.2020.126320</t>
  </si>
  <si>
    <t>LK2RU</t>
  </si>
  <si>
    <t>WOS:000530709300002</t>
  </si>
  <si>
    <t>Laglera, LM; Tovar-Sanchez, A; Sukekava, CF; Naik, H; Naqvi, SWA; Wolf-Gladrow, DA</t>
  </si>
  <si>
    <t>Laglera, Luis M.; Tovar-Sanchez, A.; Sukekava, C. F.; Naik, H.; Naqvi, S. W. A.; Wolf-Gladrow, D. A.</t>
  </si>
  <si>
    <t>Iron organic speciation during the LOHAFEX experiment: Iron ligands release under biomass control by copepod grazing</t>
  </si>
  <si>
    <t>JOURNAL OF MARINE SYSTEMS</t>
  </si>
  <si>
    <t>LOHAFEX; Iron cycling; Iron speciation; Grazing; Southern Ocean; Iron fertilization</t>
  </si>
  <si>
    <t>CATHODIC STRIPPING VOLTAMMETRY; HUMIC SUBSTANCES; FERTILIZATION EXPERIMENT; COMPLEXING LIGANDS; BINDING LIGANDS; NATURAL-WATERS; DISSOLVED IRON; NORTH PACIFIC; SEA-WATER; COMPLEXATION</t>
  </si>
  <si>
    <t>The LOHAFEX iron fertilization experiment consisted in the fertilization of the closed core of a cyclonic eddy located south of the Antarctic Polar Front in the Atlantic sector of the Southern Ocean. This eddy was characterized by high nitrate and low silicate concentrations. Despite a 2.5 fold increase of the chlorophyll-a (Chl-a) concentrations, the composition of the biological community did not change. Phytoplankton biomass was mostly formed by small autotrophic flagellates whereas zooplankton biomass was mostly comprised by the large copepod Calanus simillimus. Efficient recycling of copepod fecal pellets (the main component of the downward flux of organic matter) in the upper 100-150 m of the water column prevented any significant deep export of particulate organic carbon (POC). Before fertilization, dissolved iron (DFe) concentrations in the upper 200 m were low, but not depleted, at similar to 0.2 nM. High DFe concentrations appeared scattered from day 14 onwards as a result of the grazing activity. A second fertilization on day 21 had no significant effect on the DFe and Chl-a standing stocks. Work with unfiltered samples using different acidification protocols revealed that, by midway of LOHAFEX, rapid recycling of iron-replenished copepod fecal pellets explained the source of bioavailable iron that prolonged the duration of the bloom for many weeks. Here we present the evolution of the organic speciation of iron in the upper 200 m of the water column during LOHAFEX by a Competing Ligand Equilibrium method using voltammetry. During the first 12 days of the experiment, ligands of an affinity for iron similar to the ligands found before fertilization (logK'(Fe'L)similar to 11.9) accumulated in fertilized waters mostly in the upper 80 m (from similar to 1 nM to similar to 2.5 nM). The restriction of ligand accumulation to the depth of Chl-a penetration points to exudation by the growing autotrophic population as the initial source of ligands. From day 5 onwards, we found in many samples a new class of ligands (L-1) characterized by a significant higher conditional stability constant than the background complexation (logK'(Fe'L)similar to 12.9). During the middle section of the experiment (days 12 to 25) the accumulation of overall ligands and specifically L-1, reached an upper limit in surface waters (at similar to 3 nM). Overall ligands and L-1 accumulation was also observed below the mixed layer depth indicating that grazing was the process behind ligand release. During the last 10 days of the experiment ligands kept accumulating in deep waters but suffered a small decrease in the upper 50 m of the water column caused by the vanishing of L-1. Ligand removal restricted to the euphotic layer was probably caused by photodegradation. A high correlation between [DFe] and [L-1] suggested that recycled iron (released during grazing and copepod fecal pellet cycling) was in the form of FeL1 complexes. We hypothesize that the iron binding ligands released to the dissolved phase during LOHAFEX were mostly photosensitive intracellular ligands rapidly degraded in extracellular conditions (e.g.: pigments). Sloppy feeding by copepods and recycling of cells and cellular material in copepod fecal pellets caused the transfer of particulate ligands to the dissolved phase as zooplankton built up as a response to the blooming community.</t>
  </si>
  <si>
    <t>[Laglera, Luis M.; Sukekava, C. F.] Univ Islas Baleares, Dept Quim, FI TRACE, Palma De Mallorca 07122, Balearic Island, Spain; [Laglera, Luis M.] Univ Islas Baleares, Lab Interdisciplinar Canvi Climat, Palma De Mallorca 07122, Balearic Island, Spain; [Tovar-Sanchez, A.] CSIC, Dept Ecol &amp; Coastal Management, Andalusian Inst Marine Sci, ICMAN, Campus Univ Rio San Pedro, Cadiz, Spain; [Naik, H.; Naqvi, S. W. A.] Natl Inst Oceanog, Panaji, Goa, India; [Wolf-Gladrow, D. A.] Helmholtz Zentrum Polar &amp; Meeresforsch, Alfred Wegener Inst, Handelshafen 12, D-27570 Bremerhaven, Germany</t>
  </si>
  <si>
    <t>Universitat de les Illes Balears; Universitat de les Illes Balears; Consejo Superior de Investigaciones Cientificas (CSIC); CSIC - Instituto de Ciencias Marinas de Andalucia (ICMAN); Council of Scientific &amp; Industrial Research (CSIR) - India; CSIR - National Institute of Oceanography (NIO); Helmholtz Association; Alfred Wegener Institute, Helmholtz Centre for Polar &amp; Marine Research</t>
  </si>
  <si>
    <t>Laglera, LM (corresponding author), Univ Islas Baleares, Dept Quim, FI TRACE, Palma De Mallorca 07122, Balearic Island, Spain.</t>
  </si>
  <si>
    <t>luis.laglera@uib.es</t>
  </si>
  <si>
    <t>Sukekava, Camila/GWZ-5322-2022; Laglera, Luis/B-7983-2010; Tovar-Sánchez, Antonio/B-8003-2010</t>
  </si>
  <si>
    <t>Laglera, Luis/0000-0002-5941-5900; Tovar-Sanchez, Antonio/0000-0003-4375-1982; Sukekava, Camila/0000-0003-0822-8029</t>
  </si>
  <si>
    <t>Government of Spain (MINECO) [CTM2008-01864-E/ANT, CTM2014-59244-C3-3-R]</t>
  </si>
  <si>
    <t>Government of Spain (MINECO)</t>
  </si>
  <si>
    <t>This work was supported by the Government of Spain (MINECO CTM2008-01864-E/ANT and CTM2014-59244-C3-3-R).</t>
  </si>
  <si>
    <t>0924-7963</t>
  </si>
  <si>
    <t>1879-1573</t>
  </si>
  <si>
    <t>J MARINE SYST</t>
  </si>
  <si>
    <t>J. Mar. Syst.</t>
  </si>
  <si>
    <t>10.1016/j.jmarsys.2019.02.002</t>
  </si>
  <si>
    <t>Geosciences, Multidisciplinary; Marine &amp; Freshwater Biology; Oceanography</t>
  </si>
  <si>
    <t>Geology; Marine &amp; Freshwater Biology; Oceanography</t>
  </si>
  <si>
    <t>LK2DZ</t>
  </si>
  <si>
    <t>WOS:000530669800006</t>
  </si>
  <si>
    <t>Pessini, F; Cotroneo, Y; Olita, A; Sorgente, R; Ribotti, A; Jendersie, S; Perilli, A</t>
  </si>
  <si>
    <t>Pessini, Federica; Cotroneo, Yuri; Olita, Antonio; Sorgente, Roberto; Ribotti, Alberto; Jendersie, Stefan; Perilli, Angelo</t>
  </si>
  <si>
    <t>Life history of an anticyclonic eddy in the Algerian basin from altimetry data, tracking algorithm and in situ observations</t>
  </si>
  <si>
    <t>MEDITERRANEAN SEA; MESOSCALE EDDIES; SATELLITE ALTIMETRY; SPRING BLOOM; MIXED-LAYER; CIRCULATION; VARIABILITY; GLIDER; FRONT; OCEAN</t>
  </si>
  <si>
    <t>Frequently-forming long-life mesoscale eddies are observed in the Algerian Basin that influence the circulation of the wider Western Mediterranean Sea. Most of these structures store and transport water masses including associated physical and biological properties throughout the entire basin. In order to study the evolution of a long-life anticyclonic eddy, we use a multiplatform approach based on remote sensing data analysis and in situ measurements. We present a case study of an anticyclonic eddy that persisted for 17 months within the basin. The feature was identified through a hybrid method of eddy detection and tracking applied to altimetry data, and sampled twice during two different oceanographic cruises in autumn 2004 and late spring 2005. Transect observations of potential temperature, salinity, density and the dissolved oxygen concentration were utilised to infer water mass properties and eddy characteristics. In situ data show that water of Atlantic origin, initially trapped by the eddy during its formation, was modified during the eddy lifetime. The time evolution of radius, kinetic energy and vorticity suggests dividing the eddy lifetime into three phases: the eddy formation, an intermediate period of high variability and a final, lower energy phase. The track followed by the eddy confirms the hypothesis of an interaction with the North Balearic Front and a consequent change of the eddy's physical properties. Decomposing the eddy's kinetic energy into mean and fluctuating terms allows us to describe its interaction with the mean circulation of the basin. In particular during formation, the southern part of the eddy absorbs energy from the mean circulation, while it provides energy to the mean flow in its northern part. In the second phase, when the eddy is far from the coast, it receives energy from the mean flow. Combining in situ data analysis with the results of the satellite-imagery-based detection and tracking method has proven to be a very useful method in assessing the evolution of a mesoscale structure in the Algerian Basin and its interaction with the large scale ocean dynamics of the Western Mediterranean Sea.</t>
  </si>
  <si>
    <t>[Pessini, Federica; Sorgente, Roberto; Ribotti, Alberto; Perilli, Angelo] Inst Study Anthropogen Impacts &amp; Sustainabil Mari, Oristano, Italy; [Cotroneo, Yuri] Univ Napoli Parthenope, Naples, Italy; [Olita, Antonio] Inst Atmospher Sci &amp; Climate ISAC CNR, Cagliari, Italy; [Jendersie, Stefan] Victoria Univ Wellington, Antarctic Res Ctr, Wellington, New Zealand</t>
  </si>
  <si>
    <t>Parthenope University Naples; Consiglio Nazionale delle Ricerche (CNR); Istituto di Scienze dell'Atmosfera e del Clima (ISAC-CNR); Victoria University Wellington</t>
  </si>
  <si>
    <t>Pessini, F (corresponding author), Inst Study Anthropogen Impacts &amp; Sustainabil Mari, Oristano, Italy.</t>
  </si>
  <si>
    <t>federica.pessini@ias.cnr.it</t>
  </si>
  <si>
    <t>Jendersie, Stefan/HKW-3913-2023; Ribotti, Alberto/A-8408-2016; Sorgente, Roberto/AAX-1879-2020; Perilli, Angelo/C-7090-2015; Cotroneo, Yuri/M-4010-2019</t>
  </si>
  <si>
    <t>Ribotti, Alberto/0000-0002-6709-1600; Cotroneo, Yuri/0000-0002-0099-0142; Jendersie, Stefan/0000-0002-8658-3184</t>
  </si>
  <si>
    <t>10.1016/j.jmarsys.2020.103346</t>
  </si>
  <si>
    <t>WOS:000530669800009</t>
  </si>
  <si>
    <t>Wojtasiewicz, B; Trull, TW; Bhaskar, TVSU; Gauns, M; Prakash, S; Ravichandran, M; Shenoy, DM; Slawinski, D; Hardman-Mountford, NJ</t>
  </si>
  <si>
    <t>Wojtasiewicz, Bozena; Trull, Thomas W.; Bhaskar, T. V. S. Udaya; Gauns, Mangesh; Prakash, Satya; Ravichandran, M.; Shenoy, Damodar M.; Slawinski, Dirk; Hardman-Mountford, Nick J.</t>
  </si>
  <si>
    <t>Autonomous profiling float observations reveal the dynamics of deep biomass distributions in the denitrifying oxygen minimum zone of the Arabian Sea</t>
  </si>
  <si>
    <t>Oxygen minimum zone; Arabian Sea; BGC-Argo; Particulate backscattering; Denitrification</t>
  </si>
  <si>
    <t>OCEANIC FIXED NITROGEN; BACKSCATTERING COEFFICIENT; OPTICAL BACKSCATTERING; HIGH-RESOLUTION; DENITRIFICATION; FLUORESCENCE; VARIABILITY; PACIFIC; CYCLE; NITRITE</t>
  </si>
  <si>
    <t>Data from 13 autonomous profiling BGC-Argo floats, equipped with biogeochemical and bio-optical sensors deployed between 2011 and 2016, were used to explore the potential of bio-optical methods to map deep biomass distribution in the Arabian Sea oxygen minimum zone (OMZ). Dissolved oxygen sensors revealed concentrations below 5 mu mol kg(-1) for much of the depth range between 200 and 400 m and below 1 mu mol kg(-1) in the centre of the OMZ, which is well below climatological values. Optical particle backscatter sensors revealed intensities within the upper OMZ that were nearly as high as within the euphotic zone. The distribution of these particulate scatterers was confined to oxygen concentrations below 1 mu mol kg(-1), with vertical distributions that exhibited maxima just below the top of the OMZ and decreased downward with similar attenuation to that expected for sinking organic matter. These distributions were very similar to those of nitrate deficits (Delta NO3) estimated from a float with an ultra-violet nitrate sensor (R-2 = 0.54, p &lt; 0.01), suggesting backscatter may be a useful proxy to investigate the changing dynamics of denitrification. Weak correlations between the upper OMZ particulate backscatter signals and both backscatter and chlorophyll fluorescence in the overlying euphotic zone is consistent with previous suggestions that advection of organic matter from remote sources is likely to be an important control on denitrification in the Arabian Sea. These results offer a useful path for examining denitrification dynamics in OMZs, which can be augmented by additional sensors for pH to quantify carbon respiration and dissolved organic matter to examine its possible importance relative to particulate oxygen demand. They clearly demonstrate the powerful insights that can be gained from arrays of autonomous profiling floats equipped with biogeochemical sensors for understanding globally significant, large-scale biogeochemical patterns and processes.</t>
  </si>
  <si>
    <t>[Wojtasiewicz, Bozena; Slawinski, Dirk; Hardman-Mountford, Nick J.] CSIRO Oceans &amp; Atmosphere, Indian Ocean Marine Res Ctr, Crawley, WA, Australia; [Wojtasiewicz, Bozena] Univ Gdansk, Inst Oceanog, Gdynia, Poland; [Trull, Thomas W.] CSIRO Oceans &amp; Atmosphere &amp; Antarctic Climate &amp; E, Hobart, Tas 7001, Australia; [Bhaskar, T. V. S. Udaya] Minist Earth Sci, Indian Natl Ctr Ocean Informat Serv INCOIS, Hyderabad 500090, India; [Gauns, Mangesh; Shenoy, Damodar M.] CSIR Natl Inst Oceanog, Panaji 403004, Goa, India; [Prakash, Satya; Ravichandran, M.] ESSO Natl Ctr Antarctic &amp; Ocean Res, Vasco Da Gama, Goa, India</t>
  </si>
  <si>
    <t>Commonwealth Scientific &amp; Industrial Research Organisation (CSIRO); University of Western Australia; Fahrenheit Universities; University of Gdansk; Ministry of Earth Sciences (MoES) - India; Indian National Centre for Ocean Information Services (INCOIS); Council of Scientific &amp; Industrial Research (CSIR) - India; CSIR - National Institute of Oceanography (NIO); Ministry of Earth Sciences (MoES) - India; National Centre for Polar and Ocean Research (NCPOR)</t>
  </si>
  <si>
    <t>Wojtasiewicz, B (corresponding author), CSIRO Oceans &amp; Atmosphere, Indian Ocean Marine Res Ctr, Crawley, WA, Australia.</t>
  </si>
  <si>
    <t>bozena.wojtasiewicz@csiro.au</t>
  </si>
  <si>
    <t>Wojtasiewicz, Bozena/E-4322-2019; Prakash, Satya/HNS-9397-2023; Slawinski, Dirk/C-6186-2013; Gauns, Mangesh/AAT-9684-2021; Wojtasiewicz, Bozena/JCE-4175-2023</t>
  </si>
  <si>
    <t>Gauns, Mangesh/0000-0002-4737-9252;</t>
  </si>
  <si>
    <t>Australian Government through the Australia-India Strategic Research Fund [AISRF06940]; CSIRO OCE Postdoctoral Fellowship</t>
  </si>
  <si>
    <t>Australian Government through the Australia-India Strategic Research Fund(Australian GovernmentDepartment of Industry, Innovation and Science); CSIRO OCE Postdoctoral Fellowship</t>
  </si>
  <si>
    <t>The project was funded by the Australian Government through the Australia-India Strategic Research Fund (AISRF06940). BW was supported through a CSIRO OCE Postdoctoral Fellowship. We thank Craig Neill (CSIRO) for discussions regarding optimal oxygen sensor calibration and quality control procedures. We seek to pay tribute to the pioneering insights of Dr. Wajih Naqvi and his long dedication to understanding the dynamics of the Arabian Sea oxygen minimum zone. Without these efforts, we would have little ability to interpret the growing volumes of data available from new biogeochemical observing platforms. We are very grateful for the commitment to open data access from the International Biogeochemical Argo program, and specifically from the Monterey Bay Aquarium Research Institute (MBARI), which allowed us to explore the correlation of optical backscatter signals from the floats launched by India with the nitrate depletion signal from the float launched by MBARI. We thank Peter Burkill and an anonymous reviewer for their insightful comments and suggestions that helped us improve the paper.</t>
  </si>
  <si>
    <t>10.1016/j.jmarsys.2018.07.002</t>
  </si>
  <si>
    <t>WOS:000530669800001</t>
  </si>
  <si>
    <t>Lanci, L; Delmonte, B; Salvatore, MC; Baroni, C</t>
  </si>
  <si>
    <t>Lanci, Luca; Delmonte, Barbara; Salvatore, Maria Cristina; Baroni, Carlo</t>
  </si>
  <si>
    <t>Insight Into Provenance and Variability of Atmospheric Dust in Antarctic Ice Cores During the Late Pleistocene From Magnetic Measurements</t>
  </si>
  <si>
    <t>isothermal remanent magnetization; magnetic properties; Atmospheric dust concentration; Antarctic ice cores; dust source area</t>
  </si>
  <si>
    <t>EAST ANTARCTICA; AEOLIAN DUST; VICTORIA LAND; TALOS DOME; GREENLAND ICE; CLIMATE; SECTOR; VOSTOK; CONSTRAINTS; EPICA</t>
  </si>
  <si>
    <t>We measured saturation isothermal remanent magnetization (SIRM), coercivity of remanence (H-cr), and insoluble dust mass concentration (IDC) of 49 ice samples from Vostok and EPICA Dome-C ice cores (Antarctica) as a measure of magnetic properties of the aerosol dust trapped in the ice. Samples range in age from marine isotopic stage (MIS) 7 to 19 in EPICA Dome-C ice core and from MIS 1 to 11 in Vostok ice core. Data from ice samples were compared with 86 samples from possible source areas (PSA) from East Antarctica, including 11 samples from South America and New Zealand. Previous results from MIS 1 to MIS 6 found that magnetic properties of aerosol dust could be divided in two distinct groups characterized by high-H(cr)and low-SIRM(dust)for glacial samples, and low-H(cr)and high-SIRMdust, for interglacial samples. The new data from older ice samples highlighted several discrepancies from this expectation with significant differences between Vostok and Dome-C sites. Magnetic properties of Antarctic PSA sample show a large variability, however, PSA samples from Victoria Land and few other, have magnetic properties compatible with that of the glacial dust, or more precisely with samples characterized by high dust flux. The new data from Pleistocene ice and from PSA samples confirm South American and Antarctic provenance of the largest atmospheric dust load typical of glacial stages. On the other hand, we did not found any PSA sample with properties compatible with the highly magnetic samples (mostly from interglacial stages), which are characterized by low IDC. These samples from the oldest and deepest part of the cores revealed a more complex picture than previously outlined from the analysis of MIS 1-6, and show unusual magnetic properties which can be tentatively attributed to post-depositional alteration occurring into the ice.</t>
  </si>
  <si>
    <t>[Lanci, Luca] Univ Urbino, Dept Pure &amp; Appl Sci, Urbino, Italy; [Delmonte, Barbara] Univ Milano Bicocca, Dept Environm Sci, Milan, Italy; [Salvatore, Maria Cristina; Baroni, Carlo] Univ Pisa, Dept Earth Sci, Pisa, Italy; [Salvatore, Maria Cristina; Baroni, Carlo] CNR, IGG, Inst Geosci &amp; Earth Resources, Pisa, Italy</t>
  </si>
  <si>
    <t>University of Urbino; University of Milano-Bicocca; University of Pisa; Consiglio Nazionale delle Ricerche (CNR); Istituto di Geoscienze e Georisorse (IGG-CNR)</t>
  </si>
  <si>
    <t>Lanci, L (corresponding author), Univ Urbino, Dept Pure &amp; Appl Sci, Urbino, Italy.</t>
  </si>
  <si>
    <t>luca.lanci@uniurb.it</t>
  </si>
  <si>
    <t>Baroni, Carlo/D-8184-2012; Salvatore, Maria Cristina/AAS-4000-2020; Delmonte, Barbara/L-2555-2015</t>
  </si>
  <si>
    <t>Baroni, Carlo/0000-0001-5905-4650; Salvatore, Maria Cristina/0000-0002-1590-7284; Delmonte, Barbara/0000-0002-9074-2061</t>
  </si>
  <si>
    <t>University of Urbino; DiSPeA research project 2019</t>
  </si>
  <si>
    <t>H This work is a contribution to the PRIN 2009 research project Variability and geographic provenance of eolian dust in Antarctica during the late Quaternary: a multiparametric approach with the use of cutting-edge techniques and partial supported by University of Urbino and DiSPeA research project 2019.</t>
  </si>
  <si>
    <t>JUN 30</t>
  </si>
  <si>
    <t>10.3389/feart.2020.00258</t>
  </si>
  <si>
    <t>MQ3GL</t>
  </si>
  <si>
    <t>WOS:000552785000001</t>
  </si>
  <si>
    <t>Stark, JS; Mohammad, M; McMinn, A; Ingels, J</t>
  </si>
  <si>
    <t>Stark, Jonathan S.; Mohammad, Mahadi; McMinn, Andrew; Ingels, Jeroen</t>
  </si>
  <si>
    <t>Diversity, Abundance, Spatial Variation, and Human Impacts in Marine Meiobenthic Nematode and Copepod Communities at Casey Station, East Antarctica</t>
  </si>
  <si>
    <t>meiofauna; benthic community; marine sediments; metals; Antarctic; human impacts; nematodes; copepods</t>
  </si>
  <si>
    <t>SOFT-SEDIMENT ASSEMBLAGES; PETROLEUM HYDROCARBON CONTAMINATION; BENTHIC DIATOM COMMUNITIES; SHALLOW-WATER MEIOFAUNA; KING-GEORGE ISLAND; DEEP-SEA MEIOFAUNA; ENVIRONMENTAL VARIABLES; METAL CONTAMINATION; SPECIES-DIVERSITY; WEDDELL SEA</t>
  </si>
  <si>
    <t>The composition, spatial structure, diversity and abundance of Antarctic nematode and copepod meiobenthic communities was examined in shallow (5-25 m) marine coastal sediments at Casey Station, East Antarctica. The sampling design incorporated spatial scales ranging from 10 meters to kilometers and included testing for human impacts by comparing polluted (metal and hydrocarbon contaminated sediments adjacent to old waste disposal sites) and control areas. A total of 38 nematode genera and 20 copepod families were recorded with nematodes being dominant, comprising up to 95% of the total abundance. Variation was greatest at the largest scale (km's) but each location had distinct assemblages. At smaller scales there were different patterns of variation for nematodes and copepods. There were significant differences between communities at control and impacted locations. Community patterns had strong correlations with concentrations of metals introduced by human activity in sediments as well as sediment grain size and total organic content. Given the strong association with environmental patterns, particularly those associated with human impacts, we provide further evidence that meiofauna are very useful indicators of anthropogenic environmental changes in Antarctica.</t>
  </si>
  <si>
    <t>[Stark, Jonathan S.] Australian Antarctic Div, Antarctic Conservat &amp; Management Program, Kingston, Tas, Australia; [Mohammad, Mahadi; McMinn, Andrew] Univ Tasmania, Inst Menne &amp; Antarctic Studies, Hobart, Tas, Australia; [Ingels, Jeroen] Florida State Univ, Coastal &amp; Marine Lab, St Teresa, FL 32358 USA; [Mohammad, Mahadi] Univ Sains Malaysia, Sch Biol Sci, George Town, Malaysia</t>
  </si>
  <si>
    <t>Australian Antarctic Division; University of Tasmania; State University System of Florida; Florida State University; Universiti Sains Malaysia</t>
  </si>
  <si>
    <t>Stark, JS (corresponding author), Australian Antarctic Div, Antarctic Conservat &amp; Management Program, Kingston, Tas, Australia.;Ingels, J (corresponding author), Florida State Univ, Coastal &amp; Marine Lab, St Teresa, FL 32358 USA.</t>
  </si>
  <si>
    <t>jonny.stark@aad.gov.au; jingels@fsu.edu</t>
  </si>
  <si>
    <t>Stark, Jonathan/ABF-4025-2020; Ingels, Jeroen/A-1691-2008; Mohammad, Mahadi/ABF-5206-2020</t>
  </si>
  <si>
    <t>Stark, Jonathan/0000-0002-4268-8072; Mohammad, Mahadi/0000-0003-4091-3739</t>
  </si>
  <si>
    <t>Universiti Sains Malaysia; Australian Antarctic Division (AAS) [2201, 4180]; Institute for Marine and Antarctic Studies at the University of Tasmania</t>
  </si>
  <si>
    <t>Universiti Sains Malaysia(Universiti Sains Malaysia); Australian Antarctic Division (AAS); Institute for Marine and Antarctic Studies at the University of Tasmania</t>
  </si>
  <si>
    <t>This study was funded by the Universiti Sains Malaysia, Australian Antarctic Division (AAS projects 2201 and 4180) and Institute for Marine and Antarctic Studies at the University of Tasmania.</t>
  </si>
  <si>
    <t>10.3389/fmars.2020.00480</t>
  </si>
  <si>
    <t>MJ6GH</t>
  </si>
  <si>
    <t>WOS:000548185800001</t>
  </si>
  <si>
    <t>Ross, N; Corr, H; Siegert, M</t>
  </si>
  <si>
    <t>Ross, Neil; Corr, Hugh; Siegert, Martin</t>
  </si>
  <si>
    <t>Large-scale englacial folding and deep-ice stratigraphy within the West Antarctic Ice Sheet</t>
  </si>
  <si>
    <t>WEDDELL SEA SECTOR; GREENLAND ICE; PHYSICAL-PROPERTIES; FLOW DIRECTION; RADAR; BENEATH; SCATTERING; MODEL; CORE; MECHANISMS</t>
  </si>
  <si>
    <t>It has been hypothesized that complex englacial structures identified within the East Antarctic and Greenland ice sheets are generated by (i) water freezing to the ice sheet base and evolving under ice flow, (ii) deformation of ice of varying rheology, or (iii) entrainment of basal material. Using ice-penetrating radar, we identify a widespread complex of deep-ice facies in West Antarctica that exist in the absence of basal water. These deep-ice units are extensive, thick (&gt; 500 m), and incorporate multiple highly reflective englacial layers. At the lateral margin of an enhanced flow tributary of the Institute Ice Stream, these units are heavily deformed and folded by the action of lateral flow convergence. Radar reflectivity analysis demonstrates that the uppermost reflector of the deep-ice package is highly anisotropic, due to abrupt alternations in crystal orientation fabric, and consequently will have a different rheology to the ice above and below it. Deformation and folding of the deep-ice package is an englacial response to the combination of laterally-convergent ice flow and the physical properties of the ice column.</t>
  </si>
  <si>
    <t>[Ross, Neil] Newcastle Univ, Sch Geog Polit &amp; Sociol, Newcastle Upon Tyne, Tyne &amp; Wear, England; [Corr, Hugh] British Antarctic Survey, Cambridge, England; [Siegert, Martin] Imperial Coll London, Grantham Inst, London, England; [Siegert, Martin] Imperial Coll London, Dept Earth Sci &amp; Engn, London, England</t>
  </si>
  <si>
    <t>Newcastle University - UK; UK Research &amp; Innovation (UKRI); Natural Environment Research Council (NERC); NERC British Antarctic Survey; Imperial College London; Imperial College London</t>
  </si>
  <si>
    <t>Ross, N (corresponding author), Newcastle Univ, Sch Geog Polit &amp; Sociol, Newcastle Upon Tyne, Tyne &amp; Wear, England.</t>
  </si>
  <si>
    <t>neil.ross@newcastle.ac.uk</t>
  </si>
  <si>
    <t>Corr, Hugh/C-5398-2011; Siegert, Martin/M-9939-2019</t>
  </si>
  <si>
    <t>Siegert, Martin/0000-0002-0090-4806</t>
  </si>
  <si>
    <t>Natural Environment Research Council [NE/G013071/1]; NERC [bas0100034, NE/G013071/1] Funding Source: UKRI</t>
  </si>
  <si>
    <t>This research has been supported by the Natural Environment Research Council (grant no. NE/G013071/1).</t>
  </si>
  <si>
    <t>10.5194/tc-14-2103-2020</t>
  </si>
  <si>
    <t>MG3UC</t>
  </si>
  <si>
    <t>gold, Green Submitted, Green Accepted</t>
  </si>
  <si>
    <t>WOS:000545958000001</t>
  </si>
  <si>
    <t>Arndt, JE; Larter, RD; Hillenbrand, CD; Sorli, SH; Forwick, M; Smith, JA; Wacker, L</t>
  </si>
  <si>
    <t>Arndt, Jan Erik; Larter, Robert D.; Hillenbrand, Claus-Dieter; Sorli, Simon H.; Forwick, Matthias; Smith, James A.; Wacker, Lukas</t>
  </si>
  <si>
    <t>Past ice sheet-seabed interactions in the northeastern Weddell Sea embayment, Antarctica</t>
  </si>
  <si>
    <t>SCALE GLACIAL LINEATIONS; GROUNDING-LINE RETREAT; PINE ISLAND BAY; GEOMORPHOLOGICAL RECORD; GEOLOGICAL CONSTRAINTS; ICEBERG PLOUGHMARKS; FILCHNER TROUGH; SHELF; BENEATH; FLOW</t>
  </si>
  <si>
    <t>The Antarctic ice sheet extent in the Weddell Sea embayment (WSE) during the Last Glacial Maximum (LGM; ca. 19-25 calibrated kiloyears before present, ka cal BP) and its subsequent retreat from the shelf are poorly constrained, with two conflicting scenarios being discussed. Today, the modern Brunt Ice Shelf, the last remaining ice shelf in the northeastern WSE, is only pinned at a single location and recent crevasse development may lead to its rapid disintegration in the near future. We investigated the seafloor morphology on the northeastern WSE shelf and discuss its implications, in combination with marine geological records, to create reconstructions of the past behaviour of this sector of the East Antarctic Ice Sheet (EAIS), including ice-seafloor interactions. Our data show that an ice stream flowed through Stancomb-Wills Trough and acted as the main conduit for EAIS drainage during the LGM in this sector. Post-LGM ice stream retreat occurred stepwise, with at least three documented grounding-line still-stands, and the trough had become free of grounded ice by similar to 10.5 ka cal BP. In contrast, slow-flowing ice once covered the shelf in Brunt Basin and extended westwards toward McDonald Bank. During a later time period, only floating ice was present within Brunt Basin, but large ice slabs enclosed within the ice shelf occasionally ran aground at the eastern side of McDonald Bank, forming 10 unusual ramp-shaped seabed features. These ramps are the result of temporary ice shelf grounding events buttressing the ice further upstream. To the west of this area, Halley Trough very likely was free of grounded ice during the LGM, representing a potential refuge for benthic shelf fauna at this time.</t>
  </si>
  <si>
    <t>[Arndt, Jan Erik] Helmholtz Ctr Polar &amp; Marine Res, Alfred Wegener Inst, Handelshafen 12, D-27570 Bremerhaven, Germany; [Arndt, Jan Erik; Larter, Robert D.; Hillenbrand, Claus-Dieter; Smith, James A.] British Antarctic Survey, Madingley Rd, Cambridge CB3 0ET, England; [Sorli, Simon H.; Forwick, Matthias] UiT Arctic Univ Norway, Dept Geosci, Postboks 6050 Langnes, N-9037 Tromso, Norway; [Wacker, Lukas] Swiss Fed Inst Technol, Lab Ion Beam Phys, Schafmattstr 20, CH-8093 Zurich, Switzerland</t>
  </si>
  <si>
    <t>Helmholtz Association; Alfred Wegener Institute, Helmholtz Centre for Polar &amp; Marine Research; UK Research &amp; Innovation (UKRI); Natural Environment Research Council (NERC); NERC British Antarctic Survey; UiT The Arctic University of Tromso; Swiss Federal Institutes of Technology Domain; ETH Zurich</t>
  </si>
  <si>
    <t>Arndt, JE (corresponding author), Helmholtz Ctr Polar &amp; Marine Res, Alfred Wegener Inst, Handelshafen 12, D-27570 Bremerhaven, Germany.;Arndt, JE (corresponding author), British Antarctic Survey, Madingley Rd, Cambridge CB3 0ET, England.</t>
  </si>
  <si>
    <t>jan.erik.arndt@awi.de</t>
  </si>
  <si>
    <t>Arndt, Jan Erik/0000-0002-9413-1612; Larter, Robert/0000-0002-8414-7389; Wacker, Lukas/0000-0002-8215-2678</t>
  </si>
  <si>
    <t>Deutsche Forschungsgemeinschaft [AR 1087/1-1]; Aker BP ASA; NERC [bas0100030] Funding Source: UKRI</t>
  </si>
  <si>
    <t>Deutsche Forschungsgemeinschaft(German Research Foundation (DFG)); Aker BP ASA; NERC(UK Research &amp; Innovation (UKRI)Natural Environment Research Council (NERC))</t>
  </si>
  <si>
    <t>Jan Erik Arndt has been supported by the Deutsche Forschungsgemeinschaft (grant no. AR 1087/1-1). Simon H. Sorli and Matthias Forwick thank Aker BP ASA for financial support.</t>
  </si>
  <si>
    <t>10.5194/tc-14-2115-2020</t>
  </si>
  <si>
    <t>gold, Green Published, Green Submitted, Green Accepted</t>
  </si>
  <si>
    <t>WOS:000545958000002</t>
  </si>
  <si>
    <t>Landwehr, S; Thurnherr, I; Cassar, N; Gysel-Beer, M; Schmale, J</t>
  </si>
  <si>
    <t>Landwehr, Sebastian; Thurnherr, Iris; Cassar, Nicolas; Gysel-Beer, Martin; Schmale, Julia</t>
  </si>
  <si>
    <t>Using global reanalysis data to quantify and correct airflow distortion bias in shipborne wind speed measurements</t>
  </si>
  <si>
    <t>ATMOSPHERIC MEASUREMENT TECHNIQUES</t>
  </si>
  <si>
    <t>SEA-SURFACE WIND; VALIDATION; PLATFORMS; SATELLITE; EXCHANGE; PRODUCTS; CLIMATE; FLUX</t>
  </si>
  <si>
    <t>At sea, wind forcing is responsible for the formation and development of surface waves and represents an important source of near-surface turbulence. Therefore, processes related to near-surface turbulence and wave breaking, such as sea spray emission and air-sea gas exchange, are often parameterised with wind speed. Thus, shipborne wind speed measurements provide highly relevant observations. They can, however, be compromised by flow distortion due to the ship's structure and objects near the anemometer that modify the airflow, leading to a deflection of the apparent wind direction and positive or negative acceleration of the apparent wind speed. The resulting errors in the estimated true wind speed can be greatly magnified at low wind speeds. For some research ships, correction factors have been derived from computational fluid dynamic models or through direct comparison with wind speed measurements from buoys. These correction factors can, however, lose their validity due to changes in the structures near the anemometer and, thus, require frequent re-evaluation, which is costly in either computational power or ship time. Here, we evaluate if global atmospheric reanalysis data can be used to quantify the flow distortion bias in shipborne wind speed measurements. The method is tested on data from the Antarctic Circumnavigation Expedition onboard the R/V Akademik Tryoshnikov, which are compared to ERA-5 reanalysis wind speeds. We find that, depending on the relative wind direction, the relative wind speed and direction measurements are biased by -37 % to +22 % and -17 degrees to +11 degrees respectively. The resulting error in the true wind speed is +11.5 % on average but ranges from -4 % to +41 % (5th and 95th percentile). After applying the bias correction, the uncertainty in the true wind speed is reduced to +/- 5 % and depends mainly on the average accuracy of the ERA-5 data over the period of the experiment. The obvious drawback of this approach is the potential intrusion of model biases in the correction factors. We show that this problem can be somewhat mitigated when the error propagation in the true wind correction is accounted for and used to weight the observations. We discuss the potential caveats and limitations of this approach and conclude that it can be used to quantify flow distortion bias for ships that operate on a global scale. The method can also be valuable to verify computational fluid dynamic studies of airflow distortion on research vessels.</t>
  </si>
  <si>
    <t>[Landwehr, Sebastian; Gysel-Beer, Martin; Schmale, Julia] Paul Scherrer Inst, Lab Atmospher Chem, Villigen, Switzerland; [Thurnherr, Iris] Swiss Fed Inst Technol, Inst Atmospher &amp; Climate Sci, Zurich, Switzerland; [Cassar, Nicolas] Duke Univ, Nicholas Sch Environm, Div Earth &amp; Ocean Sci, Durham, NC 27708 USA; [Landwehr, Sebastian; Schmale, Julia] Ecole Polytech Fed Lausanne, Sch Architecture Civil &amp; Environm Engn, Extreme Environm Res Lab, Lausanne, Switzerland</t>
  </si>
  <si>
    <t>Swiss Federal Institutes of Technology Domain; Paul Scherrer Institute; Swiss Federal Institutes of Technology Domain; ETH Zurich; Duke University; Swiss Federal Institutes of Technology Domain; Ecole Polytechnique Federale de Lausanne</t>
  </si>
  <si>
    <t>Landwehr, S; Schmale, J (corresponding author), Paul Scherrer Inst, Lab Atmospher Chem, Villigen, Switzerland.;Landwehr, S; Schmale, J (corresponding author), Ecole Polytech Fed Lausanne, Sch Architecture Civil &amp; Environm Engn, Extreme Environm Res Lab, Lausanne, Switzerland.</t>
  </si>
  <si>
    <t>sebastian.landwehr@epfl.ch; julia.schmale@epfl.ch</t>
  </si>
  <si>
    <t>Gysel-Beer, Martin/C-3843-2008; Schmale, Julia/F-8851-2016; Cassar, Nicolas/B-4260-2011</t>
  </si>
  <si>
    <t>Gysel-Beer, Martin/0000-0002-7453-1264; Landwehr, Sebastian/0000-0003-2622-577X; Schmale, Julia/0000-0002-1048-7962; Cassar, Nicolas/0000-0003-0100-3783; Thurnherr, Iris/0000-0003-3647-0373</t>
  </si>
  <si>
    <t>FP7Environment project BACCHUS [603445]; Swiss Data Science Center [c17-02]; Swiss Polar Institute (ACE7 grant); Ferring Pharmaceuticals (ACE7 grant)</t>
  </si>
  <si>
    <t>FP7Environment project BACCHUS; Swiss Data Science Center; Swiss Polar Institute (ACE7 grant); Ferring Pharmaceuticals (ACE7 grant)</t>
  </si>
  <si>
    <t>This research has been supported by the FP7Environment project BACCHUS (grant no. 603445), the Swiss Data Science Center (grant no. c17-02), the Swiss Polar Institute (ACE7 grant), and the Ferring Pharmaceuticals (ACE7 grant).</t>
  </si>
  <si>
    <t>1867-1381</t>
  </si>
  <si>
    <t>1867-8548</t>
  </si>
  <si>
    <t>ATMOS MEAS TECH</t>
  </si>
  <si>
    <t>Atmos. Meas. Tech.</t>
  </si>
  <si>
    <t>10.5194/amt-13-3487-2020</t>
  </si>
  <si>
    <t>MG3SK</t>
  </si>
  <si>
    <t>Green Published, Green Accepted, gold, Green Submitted</t>
  </si>
  <si>
    <t>WOS:000545953600002</t>
  </si>
  <si>
    <t>Sannino, C; Borruso, L; Mezzasoma, A; Battistel, D; Zucconi, L; Selbmann, L; Azzaro, M; Onofri, S; Turchetti, B; Buzzini, P; Guglielmin, M</t>
  </si>
  <si>
    <t>Sannino, Ciro; Borruso, Luigimaria; Mezzasoma, Ambra; Battistel, Dario; Zucconi, Laura; Selbmann, Laura; Azzaro, Maurizio; Onofri, Silvano; Turchetti, Benedetta; Buzzini, Pietro; Guglielmin, Mauro</t>
  </si>
  <si>
    <t>Intra- and inter-cores fungal diversity suggests interconnection of different habitats in an Antarctic frozen lake (Boulder Clay, Northern Victoria Land)</t>
  </si>
  <si>
    <t>ENVIRONMENTAL MICROBIOLOGY</t>
  </si>
  <si>
    <t>TERRA-NOVA BAY; EXTRACELLULAR ENZYMATIC-ACTIVITIES; MICROBIAL LIFE; ANCIENT FUNGI; YEASTS; ICE; PERMAFROST; TEMPERATURE; ADAPTATION; ECOSYSTEMS</t>
  </si>
  <si>
    <t>A perennially frozen lake at Boulder Clay site (Victoria Land, Antarctica), characterized by the presence of frost mounds, have been selected as anin situmodel for ecological studies. Different samples of permafrost, glacier ice and brines have been studied as a unique habitat system. An additional sample of brines (collected in another frozen lake close to the previous one) was also considered. Alpha- and beta-diversity of fungal communities showed both intra- and inter-cores significant (p&lt; 0.05) differences, which suggest the presence of interconnection among the habitats. Therefore, the layers of frost mound and the deep glacier could be interconnected while the brines could probably be considered as an open habitat system not interconnected with each other. Moreover, the absence of similarity between the lake ice and the underlying permafrost suggested that the lake is perennially frozen based. The predominance of positive significant (p&lt; 0.05) co-occurrences among some fungal taxa allowed to postulate the existence of an ecological equilibrium in the habitats systems. The positive significant (p&lt; 0.05) correlation between salt concentration, total organic carbon and pH, and some fungal taxa suggests that a few abiotic parameters could drive fungal diversity inside these ecological niches.</t>
  </si>
  <si>
    <t>[Sannino, Ciro; Mezzasoma, Ambra; Turchetti, Benedetta; Buzzini, Pietro] Univ Perugia, Ind Yeasts Collect DBVPG, Dept Agr Food &amp; Environm Sci, Borgo XX Giugno 74, I-06121 Perugia, Italy; [Borruso, Luigimaria] Free Univ Bozen Bolzano, Fac Sci &amp; Technol, Bozen Bolzano, Italy; [Battistel, Dario] Univ Ca Foscari, Dept Environm Sci Informat &amp; Stat, Venice, Italy; [Zucconi, Laura; Selbmann, Laura; Onofri, Silvano] Univ Tuscia, Dept Ecol &amp; Biol Sci, Viterbo, Italy; [Selbmann, Laura] Italian Antarctic Natl Museum MNA, Mycol Sect, Genoa, Italy; [Azzaro, Maurizio] CNR, Inst Polar Sci, Messina, Italy; [Guglielmin, Mauro] Insubria Univ, Dept Theoret &amp; Appl Sci, Varese, Italy</t>
  </si>
  <si>
    <t>University of Perugia; Free University of Bozen-Bolzano; Universita Ca Foscari Venezia; Tuscia University; Consiglio Nazionale delle Ricerche (CNR); Istituto di Scienze Polari (ISP-CNR); University of Insubria</t>
  </si>
  <si>
    <t>Buzzini, P (corresponding author), Univ Perugia, Ind Yeasts Collect DBVPG, Dept Agr Food &amp; Environm Sci, Borgo XX Giugno 74, I-06121 Perugia, Italy.</t>
  </si>
  <si>
    <t>pietro.buzzini@unipg.it</t>
  </si>
  <si>
    <t>azzaro, Maurizio/AAE-6784-2019; Selbmann, Laura/L-3056-2013; Zucconi, L./U-9781-2018</t>
  </si>
  <si>
    <t>azzaro, Maurizio/0000-0001-7885-2340; Selbmann, Laura/0000-0002-8967-3329; Zucconi, L./0000-0001-9793-2303; turchetti, benedetta/0000-0002-7370-3028; Borruso, Luigimaria/0000-0002-7445-3454; Buzzini, Pietro/0000-0001-6793-0606</t>
  </si>
  <si>
    <t>Italian National Program for Antarctic Researches</t>
  </si>
  <si>
    <t>The authors wish to thank the Italian National Program for Antarctic Researches for funding sampling campaigns and research activities in Italy in the frame of PNRA projects.</t>
  </si>
  <si>
    <t>1462-2912</t>
  </si>
  <si>
    <t>1462-2920</t>
  </si>
  <si>
    <t>ENVIRON MICROBIOL</t>
  </si>
  <si>
    <t>Environ. Microbiol.</t>
  </si>
  <si>
    <t>10.1111/1462-2920.15117</t>
  </si>
  <si>
    <t>JUN 2020</t>
  </si>
  <si>
    <t>NE3ZN</t>
  </si>
  <si>
    <t>WOS:000544115700001</t>
  </si>
  <si>
    <t>Basford, AJ; Mos, B; Francis, DS; Turchini, GM; White, CA; Dworjanyn, S</t>
  </si>
  <si>
    <t>Basford, Alexander J.; Mos, Benjamin; Francis, David S.; Turchini, Giovanni M.; White, Camille A.; Dworjanyn, Symon</t>
  </si>
  <si>
    <t>A microalga is better than a commercial lipid emulsion at enhancing live feeds for an ornamental marine fish larva</t>
  </si>
  <si>
    <t>Amphiprion; Anemonefish; Cryptomonad; Larval rearing; Phospholipids; Fatty acids; 22:6n-3; 22:5n-6</t>
  </si>
  <si>
    <t>FATTY-ACID-COMPOSITION; ROTIFERS BRACHIONUS-PLICATILIS; DIFFERENTLY ENRICHED ROTIFERS; SERIOLA-LALANDI VALENCIENNES; GADUS-MORHUA; EARLY GROWTH; COD LARVAE; YELLOWTAIL KINGFISH; EARLY ONTOGENY; MATERNAL DIET</t>
  </si>
  <si>
    <t>High mortality during larval rearing is a persistent bottleneck in finfish aquaculture and is often caused by inadequate nutrition. Nutritional deficiencies in live feeds are usually overcome by enrichment with commercial lipid emulsions; however, enriching live feeds using microalgae may be more effective. This study investigated the efficacy of the microalga Proteomonas sulcata as a live feed enhancement for rearing larvae of the wide-band anemonefish, Amphiprion latezonatus. We found A. latezonatus larvae fed live feeds enhanced with P. sulcata had higher survival and better growth at 7 days post hatch (dph) compared to fish fed live feeds enriched with a commercial lipid emulsion or left unenriched. At 14 dph, A. latezonatus initially fed rotifers cultured on P. sulcata for several generations had the highest survival overall. These results may be due to the high phospholipid content in rotifers enhanced on P. sulcata compared to other diets. Survival, length, depth, and eye diameter of 7 dph A. latezonatus was also positively correlated with omega-6 docosapentaenoic acid (DPAn-6, 22:5n-6) and high ratios of DPAn-6 to docosahexaenoic acid (DHA, 22:6n-3) in their tissues, highlighting the need to better understand the role of DPAn-6 in larval fish ontogeny. Surprisingly, given their high survival and growth, A. latezonatus larvae fed P. sulcata enhanced live feeds had lower levels of DHA compared to the more poorly performing fish fed the commercial lipid emulsion enriched live feeds; this challenges the paradigm of a positive correlation between DHA and growth and survival that is documented in many other marine fish larvae. This study demonstrates the benefits of using P. sulcata to enhance the nutritional quality of live feeds and highlights the need for a better understanding of the role of n-6 long-chain polyunsaturated fatty acids in the early development of larval fish.</t>
  </si>
  <si>
    <t>[Basford, Alexander J.; Mos, Benjamin; Dworjanyn, Symon] Southern Cross Univ, Natl Marine Sci Ctr, Sch Environm Sci &amp; Engn, Coffs Harbour 2450, Australia; [Basford, Alexander J.] Darwin Aquaculture Ctr, Dept Primary Ind &amp; Resources, Northern Terr Govt, Channel Island 0822, Australia; [Francis, David S.; Turchini, Giovanni M.] Deakin Univ, Sch Life &amp; Environm Sci, Geelong, Vic 3220, Australia; [White, Camille A.] Univ Tasmania, Inst Marine &amp; Antarctic Studies, Taroona 7052, Australia</t>
  </si>
  <si>
    <t>Southern Cross University; Northern Territory Government; Deakin University; University of Tasmania</t>
  </si>
  <si>
    <t>Basford, AJ (corresponding author), Southern Cross Univ, Natl Marine Sci Ctr, Coffs Harbour 2450, Australia.</t>
  </si>
  <si>
    <t>alex.basford@scu.edu.au</t>
  </si>
  <si>
    <t>Turchini, Giovanni/A-9147-2008; Mos, Benjamin/P-2538-2017; dworjanyn, symon/O-5633-2017</t>
  </si>
  <si>
    <t>Mos, Benjamin/0000-0003-3687-516X; Turchini, Giovanni/0000-0003-0694-4283; dworjanyn, symon/0000-0002-6690-8033</t>
  </si>
  <si>
    <t>Mars Symbioscience [51647]; Australian Government Research Training Program scholarship</t>
  </si>
  <si>
    <t>Mars Symbioscience; Australian Government Research Training Program scholarship(Australian GovernmentDepartment of Industry, Innovation and Science)</t>
  </si>
  <si>
    <t>This study was approved by the Southern Cross University Animal Care and Ethics Committee (approval number 17/27). Financial support was provided by Mars Symbioscience (grant number 51647) and the Australian Government Research Training Program scholarship.</t>
  </si>
  <si>
    <t>10.1016/j.aquaculture.2020.735203</t>
  </si>
  <si>
    <t>LE0LC</t>
  </si>
  <si>
    <t>WOS:000526415400050</t>
  </si>
  <si>
    <t>Stammerjohn, SE; Scambos, TA</t>
  </si>
  <si>
    <t>Stammerjohn, Sharon E.; Scambos, Ted A.</t>
  </si>
  <si>
    <t>Warming reaches the South Pole</t>
  </si>
  <si>
    <t>NATURE CLIMATE CHANGE</t>
  </si>
  <si>
    <t>ICE; GLACIER</t>
  </si>
  <si>
    <t>Over the last half of the twentieth century, surface temperature over the South Pole was steady if not slightly cooling, suggesting the high Antarctic interior might be immune to warming. Research now shows a dramatic switch; in the past 30 years, the South Pole has been warming at over three times the global rate.</t>
  </si>
  <si>
    <t>[Stammerjohn, Sharon E.] Univ Colorado, Inst Arctic &amp; Alpine Res, Boulder, CO 80309 USA; [Scambos, Ted A.] Univ Colorado, Cooperat Inst Res Environm Sci, Boulder, CO 80309 USA</t>
  </si>
  <si>
    <t>University of Colorado System; University of Colorado Boulder; University of Colorado System; University of Colorado Boulder</t>
  </si>
  <si>
    <t>Stammerjohn, SE (corresponding author), Univ Colorado, Inst Arctic &amp; Alpine Res, Boulder, CO 80309 USA.;Scambos, TA (corresponding author), Univ Colorado, Cooperat Inst Res Environm Sci, Boulder, CO 80309 USA.</t>
  </si>
  <si>
    <t>sharon.stammerjohn@colorado.edu; tascambos@colorado.edu</t>
  </si>
  <si>
    <t>SCAMBOS, Ted A./0000-0003-4268-6322; STAMMERJOHN, SHARON/0000-0002-1697-8244</t>
  </si>
  <si>
    <t>1758-678X</t>
  </si>
  <si>
    <t>1758-6798</t>
  </si>
  <si>
    <t>NAT CLIM CHANGE</t>
  </si>
  <si>
    <t>Nat. Clim. Chang.</t>
  </si>
  <si>
    <t>10.1038/s41558-020-0827-8</t>
  </si>
  <si>
    <t>Environmental Sciences; Environmental Studies; Meteorology &amp; Atmospheric Sciences</t>
  </si>
  <si>
    <t>MT2IN</t>
  </si>
  <si>
    <t>WOS:000544168800008</t>
  </si>
  <si>
    <t>Kim, Y; Jeong, MS; Seo, HM; Kim, H; Lee, WS; Choi, CY</t>
  </si>
  <si>
    <t>Kim, Youmin; Jeong, Min-Su; Seo, Hae-Min; Kim, Hankyu; Lee, Woo-Shin; Choi, Chang-Yong</t>
  </si>
  <si>
    <t>Growth-related changes in salt gland mass in gentoo and chinstrap penguin chicks</t>
  </si>
  <si>
    <t>Pygoscelis; salt gland; osmoregulation; osmotic stress</t>
  </si>
  <si>
    <t>KING-GEORGE-ISLAND; ADELIE PENGUINS; ECOLOGY; GULLS</t>
  </si>
  <si>
    <t>The salt gland is a well-developed osmoregulation organ in marine birds, and its relative size often reflects an individual's feeding environment and osmoregulation capability. The development and functions of salt glands have been described for the Adelie penguin (Pygoscelis adeliae), but this information has been poorly documented in the other two pygoscelid species: gentoo (P. papua) and chinstrap penguins (P. antarcticus). To describe the growth-related changes in salt gland masses in relation to chick growth, we measured the wet mass of the salt glands collected from dead gentoo and chinstrap chicks during the early breeding period. The mass of the salt glands was linearly proportional to their body measurements, especially to body mass, in both species, and no significant difference was detected between the two species. Penguins are obligate marine dwellers throughout their life cycle, and the development of the salt gland in penguin chicks suggests that their ability to regulate dietary osmotic stress begins at an early stage of development after hatching. Furthermore, the linear relationship between the gland mass and body mass also suggests that the osmoregulation capability may continue to develop as penguin chicks grow. This descriptive note provides novel and quantitative information on the early developmental pattern of salt glands in gentoo and chinstrap penguins.</t>
  </si>
  <si>
    <t>[Kim, Youmin; Jeong, Min-Su; Seo, Hae-Min; Kim, Hankyu; Lee, Woo-Shin; Choi, Chang-Yong] Seoul Natl Univ, Dept Forest Sci, Seoul, South Korea; [Kim, Hankyu] Oregon State Univ, Dept Forest Ecosyst &amp; Soc, Corvallis, OR 97331 USA; [Lee, Woo-Shin; Choi, Chang-Yong] Seoul Natl Univ, Res Inst Agr &amp; Life Sci, Seoul 08826, South Korea</t>
  </si>
  <si>
    <t>Seoul National University (SNU); Oregon State University; Seoul National University (SNU)</t>
  </si>
  <si>
    <t>Choi, CY (corresponding author), Seoul Natl Univ, Res Inst Agr &amp; Life Sci, Seoul 08826, South Korea.</t>
  </si>
  <si>
    <t>subbuteo@hanmail.net</t>
  </si>
  <si>
    <t>Kim, Hankyu/ABF-9703-2022; Choi, Chang-Yong/Q-9577-2019</t>
  </si>
  <si>
    <t>Kim, Hankyu/0000-0001-8682-8535; Choi, Chang-Yong/0000-0002-4519-7957</t>
  </si>
  <si>
    <t>Korean Ministry of Environment [171]</t>
  </si>
  <si>
    <t>Korean Ministry of Environment(Ministry of Environment (ME), Republic of Korea)</t>
  </si>
  <si>
    <t>The Korean Ministry of Environment funded this study, as part of a long-term ecosystem monitoring in the Antarctic Specially Protected Area no. 171 on King George Island.</t>
  </si>
  <si>
    <t>JUN 29</t>
  </si>
  <si>
    <t>10.33265/polar.v39.3702</t>
  </si>
  <si>
    <t>MN2JN</t>
  </si>
  <si>
    <t>WOS:000550672500001</t>
  </si>
  <si>
    <t>Nel, W; Boelhouwers, JC; Borg, CJ; Cotrina, JH; Hansen, CD; Haussmann, NS; Hedding, DW; Meiklejohn, KI; Nguna, AA; Rudolph, EM; Sinuka, SS; Sumner, PD</t>
  </si>
  <si>
    <t>Nel, Werner; Boelhouwers, Jan C.; Borg, Carl-Johan; Cotrina, Julian H.; Hansen, Christel D.; Haussmann, Natalie S.; Hedding, David W.; Meiklejohn, K. Ian; Nguna, Abuyiselwe A.; Rudolph, Elizabeth M.; Sinuka, Sibusiso S.; Sumner, Paul D.</t>
  </si>
  <si>
    <t>Earth science research on Marion Island (1996-2020): a synthesis and new findings</t>
  </si>
  <si>
    <t>SOUTH AFRICAN GEOGRAPHICAL JOURNAL</t>
  </si>
  <si>
    <t>Marion Island; geomorphology; earth science; climate change; recent technologies</t>
  </si>
  <si>
    <t>LAST GLACIAL MAXIMUM; CLIMATE-CHANGE; PRONIVAL RAMPARTS; AZORELLA-SELAGO; STREAM WATER; MARITIME; LANDFORMS; TEMPERATURES; DEGLACIATION; TRANSPORT</t>
  </si>
  <si>
    <t>Marion Island is a peak of a shield volcano located in the southern Indian Ocean. The island is strategically important for the collection of climatological data and marine and terrestrial research in a vast, oceanic region of the globe. This paper reviews the series of earth science programmes on Marion Island over the last 25 years, provides a synthesis of the research outcomes and demonstrates how field and laboratory methods have developed over time. Marion Island has, globally, one of the most active soil frost environments in a distinctive periglacial setting and understanding this contemporary periglacial environment has been a key objective of the research programmes. Geomorphological processes have important implications for local ecosystem functioning and define the regional and global significance for diurnal soil frost environments and climate change. Keeping abreast with the advancements of appropriate methodologies and technologies and the continued employment of a mix of new and established methods has driven the earth science research in this unique island environment. A series of short vignettes present the most recent advancements on old key questions and indicate that new techniques continuously challenge us to re-evaluate the most basic of assumptions that exist within our research.</t>
  </si>
  <si>
    <t>[Nel, Werner; Nguna, Abuyiselwe A.; Sinuka, Sibusiso S.; Sumner, Paul D.] Univ Ft Hare, Dept Geog &amp; Environm Sci, ZA-5700 Alice, South Africa; [Boelhouwers, Jan C.; Cotrina, Julian H.] Uppsala Univ, Dept Social &amp; Econ Geog, Uppsala, Sweden; [Borg, Carl-Johan; Meiklejohn, K. Ian] Rhodes Univ, Dept Geog, Grahamstown, South Africa; [Hansen, Christel D.; Haussmann, Natalie S.] Univ South Africa, Dept Geog Geoinformat &amp; Meteorol, Florida, South Africa; [Hedding, David W.] Univ South Africa, Dept Geog, Florida, South Africa; [Rudolph, Elizabeth M.] Univ Free State, Dept Geog, Bloemfontein, South Africa</t>
  </si>
  <si>
    <t>University of Fort Hare; Uppsala University; Rhodes University; University of South Africa; University of South Africa; University of the Free State</t>
  </si>
  <si>
    <t>Nel, W (corresponding author), Univ Ft Hare, Dept Geog &amp; Environm Sci, ZA-5700 Alice, South Africa.</t>
  </si>
  <si>
    <t>wnel@ufh.ac.za</t>
  </si>
  <si>
    <t>Hansen, Christel D/C-8783-2012; Sumner, Paul D/J-4579-2012; Hedding, David William/F-3044-2011; Rudolph, Elizabeth M/GOJ-7266-2022</t>
  </si>
  <si>
    <t>Hansen, Christel D/0000-0001-7510-2720; Hedding, David William/0000-0002-9748-4499; Rudolph, Elizabeth M/0000-0002-3823-3278; Nel, Werner/0000-0002-3769-4937; Nguna, Abuyiselwe Athandile/0009-0008-9500-3576; SUMNER, PAUL/0000-0002-0772-1500</t>
  </si>
  <si>
    <t>National Research Foundation [SANAP-NRF: 110723]</t>
  </si>
  <si>
    <t>National Research Foundation</t>
  </si>
  <si>
    <t>The numerous field assistants that worked tirelessly on the island over the last 25 years are gratefully acknowledged. The South African National Antarctic Programme and the Department of Environmental Affairs are thanked for logistical support, and the National Research Foundation for financial support (SANAP-NRF: 110723).</t>
  </si>
  <si>
    <t>0373-6245</t>
  </si>
  <si>
    <t>2151-2418</t>
  </si>
  <si>
    <t>S AFR GEOGR J</t>
  </si>
  <si>
    <t>S. Afr. Geogr. J.</t>
  </si>
  <si>
    <t>JAN 5</t>
  </si>
  <si>
    <t>10.1080/03736245.2020.1786445</t>
  </si>
  <si>
    <t>Geography</t>
  </si>
  <si>
    <t>QG3GR</t>
  </si>
  <si>
    <t>WOS:000549476200001</t>
  </si>
  <si>
    <t>Madin, EMP; Madin, JS; Harmer, AMT; Barrett, NS; Booth, DJ; Caley, MJ; Cheal, AJ; Edgar, GJ; Emslie, MJ; Gaines, SD; Sweatman, HPA</t>
  </si>
  <si>
    <t>Madin, Elizabeth M. P.; Madin, Joshua S.; Harmer, Aaron M. T.; Barrett, Neville S.; Booth, David J.; Caley, M. Julian; Cheal, Alistair J.; Edgar, Graham J.; Emslie, Michael J.; Gaines, Steven D.; Sweatman, Hugh P. A.</t>
  </si>
  <si>
    <t>Latitude and protection affect decadal trends in reef trophic structure over a continental scale</t>
  </si>
  <si>
    <t>coral reef; cross-ecosystem; fisheries; food web; kelp forest; marine reserve</t>
  </si>
  <si>
    <t>FOOD-WEB COMPLEXITY; GREAT-BARRIER-REEF; MARINE RESERVES; TOP-DOWN; SPECIES-DIVERSITY; GLOBAL PATTERNS; CASCADES; COMMUNITY; FISH; GRADIENTS</t>
  </si>
  <si>
    <t>The relative roles of top-down (consumer-driven) and bottom-up (resource-driven) forcing in exploited marine ecosystems have been much debated. Examples from a variety of marine systems of exploitation-induced, top-down trophic forcing have led to a general view that human-induced predator perturbations can disrupt entire marine food webs, yet other studies that have found no such evidence provide a counterpoint. Though evidence continues to emerge, an unresolved debate exists regarding both the relative roles of top-down versus bottom-up forcing and the capacity of human exploitation to instigate top-down, community-level effects. Using time-series data for 104 reef communities spanning tropical to temperate Australia from 1992 to 2013, we aimed to quantify relationships among long-term trophic group population density trends, latitude, and exploitation status over a continental-scale biogeographic range. Specifically, we amalgamated two long-term monitoring databases of marine community dynamics to test for significant positive or negative trends in density of each of three key trophic levels (predators, herbivores, and algae) across the entire time series at each of the 104 locations. We found that trophic control tended toward bottom-up driven in tropical systems and top-down driven in temperate systems. Further, alternating long-term population trends across multiple trophic levels (a method of identifying trophic cascades), presumably due to top-down trophic forcing, occurred in roughly fifteen percent of locations where the prerequisite significant predator trends occurred. Such alternating trophic trends were significantly more likely to occur at locations with increasing predator densities over time. Within these locations, we found a marked latitudinal gradient in the prevalence of long-term, alternating trophic group trends, from rare in the tropics (&lt;5% of cases) to relatively common in temperate areas (-45%). Lastly, the strongest trends in predator and algal density occurred in older no-take marine reserves; however, exploitation status did not affect the likelihood of alternating long-term trophic group trends occurring. Our data suggest that the type and degree of trophic forcing in this system are likely related to one or more covariates of latitude, and that ecosystem resiliency to top-down control does not universally vary in this system based on exploitation level.</t>
  </si>
  <si>
    <t>[Madin, Elizabeth M. P.; Madin, Joshua S.; Harmer, Aaron M. T.] Macquarie Univ, Dept Biol Sci, Sydney, NSW, Australia; [Madin, Elizabeth M. P.; Booth, David J.] Univ Technol Sydney, Sch Life Sci, Sydney, NSW, Australia; [Madin, Elizabeth M. P.; Madin, Joshua S.] Univ Hawaii, Hawaii Inst Marine Biol, Kaneohe, HI USA; [Harmer, Aaron M. T.] Massey Univ, Sch Nat &amp; Computat Sci, Auckland, New Zealand; [Barrett, Neville S.; Edgar, Graham J.] Univ Tasmania, Inst Marine &amp; Antarctic Studies, Hobart, Tas, Australia; [Caley, M. Julian] Queensland Univ Technol, Sch Math Sci, Brisbane, Qld, Australia; [Caley, M. Julian] Univ Melbourne, Australian Res Council Ctr Excellence Math &amp; Stat, Parkville, Vic, Australia; [Cheal, Alistair J.; Emslie, Michael J.; Sweatman, Hugh P. A.] Australian Inst Marine Sci, Townsville, Qld, Australia; [Gaines, Steven D.] Univ Calif Santa Barbara, Bren Sch Environm Sci &amp; Management, Santa Barbara, CA 93106 USA</t>
  </si>
  <si>
    <t>Macquarie University; University of Technology Sydney; University of Hawaii System; Massey University; University of Tasmania; Queensland University of Technology (QUT); University of Melbourne; Australian Institute of Marine Science; University of California System; University of California Santa Barbara</t>
  </si>
  <si>
    <t>Madin, EMP (corresponding author), Univ Hawaii Manoa, Hawaii Inst Marine Biol, Kaneohe, HI 96744 USA.</t>
  </si>
  <si>
    <t>emadin@hawaii.edu</t>
  </si>
  <si>
    <t>Edgar, Graham/AAY-3797-2020; Barrett, Neville/J-7593-2014</t>
  </si>
  <si>
    <t>Edgar, Graham/0000-0003-0833-9001; Madin, Joshua/0000-0002-5005-6227; Barrett, Neville/0000-0002-6167-1356; Gaines, Steven/0000-0002-7604-3483; Madin, Elizabeth/0000-0002-2391-2542; Booth, David/0000-0002-8256-1412</t>
  </si>
  <si>
    <t>US National Science Foundation International Postdoctoral Fellowship; Fulbright Alumni Initiative Grant; World Wildlife Fund's Kathryn S. Fuller Science for Nature Fund; Australian Research Council DECRA Fellowship; Australian Research Council Linkage Grant program</t>
  </si>
  <si>
    <t>US National Science Foundation International Postdoctoral Fellowship; Fulbright Alumni Initiative Grant; World Wildlife Fund's Kathryn S. Fuller Science for Nature Fund; Australian Research Council DECRA Fellowship(Australian Research Council); Australian Research Council Linkage Grant program(Australian Research Council)</t>
  </si>
  <si>
    <t>10.1002/ece3.6347</t>
  </si>
  <si>
    <t>MU4PL</t>
  </si>
  <si>
    <t>WOS:000548001000001</t>
  </si>
  <si>
    <t>Yin, ZC; Jin, ZHN; Ying, S; Li, SJ; Liu, QQ</t>
  </si>
  <si>
    <t>Yin, Zhangcai; Jin, Zhanghaonan; Ying, Shen; Li, Sanjuan; Liu, Qingquan</t>
  </si>
  <si>
    <t>A spatial data model for urban spatial-temporal accessibility analysis</t>
  </si>
  <si>
    <t>JOURNAL OF GEOGRAPHICAL SYSTEMS</t>
  </si>
  <si>
    <t>Time geography; Spatial data model; Layer; Velocity; Accessibility</t>
  </si>
  <si>
    <t>SPACE-TIME PRISMS; UNCERTAINTY; MOVEMENT; TRANSIT; TRIP; GIS</t>
  </si>
  <si>
    <t>Time geography represents the uncertainty of the space-time position of moving objects through two basic structures, the space-time path and space-time prism, which are subject to the speed allowed in the travel environment. Thus, any attempt at a quantitative time-geographic analysis must consider the actual velocity with respect to space. In a trip, individuals tend to pass through structurally varying spaces, such as linear traffic networks and planar walking surfaces, which are not suitable for use in a single GIS spatial data model (i.e., network, raster) that is only applicable to a single spatial structure (i.e., point, line, polygon). In this study, a velocity model is developed for a traffic network and walking surface-constrained travel environment through the divide-and-conquer principle. The construction of this model can be divided into three basic steps: the spatial layering of the dual-constrained travel environment; independent modelling of each layer using different spatial data models; and generation of layer-based time-geographic framework by merging models of each layer. We demonstrate the usefulness of the model for studying the space-time accessibility of a moving object over a study area with varying spatial structures. Finally, an example is given to analyse the effectiveness of the proposed model.</t>
  </si>
  <si>
    <t>[Yin, Zhangcai; Jin, Zhanghaonan; Li, Sanjuan] Wuhan Univ Technol, Sch Resources &amp; Environm Engn, Wuhan 430070, Peoples R China; [Ying, Shen] Wuhan Univ, Sch Resource &amp; Environm Sci, Wuhan 430061, Peoples R China; [Liu, Qingquan] Wuhan Univ, China Antarctic Surveying &amp; Mapping Res Ctr, Wuhan 430061, Peoples R China</t>
  </si>
  <si>
    <t>Wuhan University of Technology; Wuhan University; Wuhan University</t>
  </si>
  <si>
    <t>Ying, S (corresponding author), Wuhan Univ, Sch Resource &amp; Environm Sci, Wuhan 430061, Peoples R China.</t>
  </si>
  <si>
    <t>yinzhangcai@whut.edu.cn; 219610@whut.edu.cn; shy@whu.edu.cn; lisanjuan@whut.edu.cn; lqqgis@outlook.com</t>
  </si>
  <si>
    <t>National Key R&amp;D Program of China [2017YFB0503700, 2017YFB0503500]; National Science Foundation of China (NSFC) [41671381, 41531177]</t>
  </si>
  <si>
    <t>National Key R&amp;D Program of China; National Science Foundation of China (NSFC)(National Natural Science Foundation of China (NSFC))</t>
  </si>
  <si>
    <t>The authors would like to thank the National Key R&amp;D Program of China (Grant number 2017YFB0503700), (Grant number 2017YFB0503500); the National Science Foundation of China (NSFC) (Grant number 41671381) and (Grant number 41531177) for their support in this research.</t>
  </si>
  <si>
    <t>1435-5930</t>
  </si>
  <si>
    <t>1435-5949</t>
  </si>
  <si>
    <t>J GEOGR SYST</t>
  </si>
  <si>
    <t>J. Geogr. Syst.</t>
  </si>
  <si>
    <t>10.1007/s10109-020-00330-6</t>
  </si>
  <si>
    <t>NN0YF</t>
  </si>
  <si>
    <t>WOS:000544183600001</t>
  </si>
  <si>
    <t>Clem, KR; Fogt, RL; Turner, J; Lintner, BR; Marshall, GJ; Miller, JR; Renwick, JA</t>
  </si>
  <si>
    <t>Clem, Kyle R.; Fogt, Ryan L.; Turner, John; Lintner, Benjamin R.; Marshall, Gareth J.; Miller, James R.; Renwick, James A.</t>
  </si>
  <si>
    <t>Record warming at the South Pole during the past three decades</t>
  </si>
  <si>
    <t>ANTARCTIC SEA-ICE; CLIMATE-CHANGE; SURFACE; HEMISPHERE; TEMPERATURE; PENINSULA; IMPACTS; TRENDS; OSCILLATION; SIGNATURES</t>
  </si>
  <si>
    <t>Over the last three decades, the South Pole has experienced a record-high statistically significant warming of 0.61 +/- 0.34 degrees C per decade, more than three times the global average. Here, we use an ensemble of climate model experiments to show this recent warming lies within the upper bounds of the simulated range of natural variability. The warming resulted from a strong cyclonic anomaly in the Weddell Sea caused by increasing sea surface temperatures in the western tropical Pacific. This circulation, coupled with a positive polarity of the Southern Annular Mode, advected warm and moist air from the South Atlantic into the Antarctic interior. These results underscore the intimate linkage of interior Antarctic climate to tropical variability. Further, this study shows that atmospheric internal variability can induce extreme regional climate change over the Antarctic interior, which has masked any anthropogenic warming signal there during the twenty-first century. Surface air temperatures at the South Pole warmed at over three times the global rate in recent decades. Research shows this trend was driven remotely by the tropics and locally by a positive phase of the Southern Annular Mode, increasing the influx of warm moist air atop anthropogenic warming.</t>
  </si>
  <si>
    <t>[Clem, Kyle R.; Renwick, James A.] Victoria Univ Wellington, Sch Geog Environm &amp; Earth Sci, Wellington, New Zealand; [Fogt, Ryan L.] Ohio Univ, Dept Geog, Athens, OH 45701 USA; [Turner, John; Marshall, Gareth J.] British Antarctic Survey, Nat Environm Res Council, Cambridge, England; [Lintner, Benjamin R.; Miller, James R.] Rutgers State Univ, New Brunswick, NJ USA</t>
  </si>
  <si>
    <t>Victoria University Wellington; University System of Ohio; Ohio University; UK Research &amp; Innovation (UKRI); Natural Environment Research Council (NERC); NERC British Antarctic Survey; Rutgers University System; Rutgers University New Brunswick</t>
  </si>
  <si>
    <t>Clem, KR (corresponding author), Victoria Univ Wellington, Sch Geog Environm &amp; Earth Sci, Wellington, New Zealand.</t>
  </si>
  <si>
    <t>kyle.clem@vuw.ac.nz</t>
  </si>
  <si>
    <t>Clem, Kyle/AAG-6626-2021; Fogt, Ryan L/B-6989-2008</t>
  </si>
  <si>
    <t>Clem, Kyle/0000-0002-1419-2758; Fogt, Ryan L/0000-0002-5398-3990; Miller, James/0000-0002-6376-7976; Marshall, Gareth/0000-0001-8887-7314</t>
  </si>
  <si>
    <t>National Science Foundation [US NSF PLR-1744998]; UK Natural Environment Research Council through the British Antarctic Survey research programme Polar Science for Planet Earth; NERC [bas0100032] Funding Source: UKRI</t>
  </si>
  <si>
    <t>National Science Foundation(National Science Foundation (NSF)); UK Natural Environment Research Council through the British Antarctic Survey research programme Polar Science for Planet Earth; NERC(UK Research &amp; Innovation (UKRI)Natural Environment Research Council (NERC))</t>
  </si>
  <si>
    <t>R.L.F. is grateful for funding from the National Science Foundation under grant no. US NSF PLR-1744998. J.T. and G.J.M. were supported by the UK Natural Environment Research Council through the British Antarctic Survey research programme Polar Science for Planet Earth. We thank the Rutgers Office of Advanced Research Computing and G. Collier for assistance with the CESM simulations. We thank A. Orr and A. Moody for valuable discussion during this study. We acknowledge the World Climate Research Programme's Working Group on Coupled Modelling, which is responsible for CMIP, and we thank the climate modelling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</si>
  <si>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10.1038/s41558-020-0815-z</t>
  </si>
  <si>
    <t>WOS:000544168800007</t>
  </si>
  <si>
    <t>Eisermann, H; Eagles, G; Ruppel, A; Smith, EC; Jokat, W</t>
  </si>
  <si>
    <t>Eisermann, Hannes; Eagles, Graeme; Ruppel, Antonia; Smith, Emma Clare; Jokat, Wilfried</t>
  </si>
  <si>
    <t>Bathymetry Beneath Ice Shelves of Western Dronning Maud Land, East Antarctica, and Implications on Ice Shelf Stability</t>
  </si>
  <si>
    <t>subglacial topography; bathymetry model; gravity inversion; Fimbul; Jelbart; Ekstrom</t>
  </si>
  <si>
    <t>GONDWANA BREAK-UP; MELT RATES; CAVITY; MODEL; SEA; PROVINCES; GLACIER; SURFACE; DRIVEN; WATER</t>
  </si>
  <si>
    <t>Antarctica's ice shelves play a key role in stabilizing the ice streams that feed them. Since basal melting largely depends on ice-ocean interactions, it is vital to attain consistent bathymetry models to estimate water and heat exchange beneath ice shelves. We have constructed bathymetry models beneath the ice shelves of western Dronning Maud Land by inverting airborne gravity data and incorporating seismic, multibeam, and radar depth references. Our models reveal deep glacial troughs beneath the ice shelves and terminal moraines close to the continental shelf breaks, which currently limit the entry of Warm Deep Water from the Southern Ocean. The ice shelves buttress a catchment that comprises an ice volume equivalent to nearly 1 m of eustatic sea level rise, partly susceptible to ocean forcing. Changes in water temperature and thermocline depth may accelerate marine-based ice sheet drainage and constitute an underestimated contribution to future global sea level rise. Plain Language Summary The grounded ice sheets of Antarctica are stabilized by floating ice shelves. Any loss in ice shelf mass is matched by an increase in ice sheet drainage, which contributes to rising sea level. The ice shelves of western Dronning Maud Land are currently in balance with an inland ice volume that has the potential to raise global sea level by nearly 1 m. Ice shelves lose most of their mass from their bases when warm water intrudes from the surrounding ocean. The extent to which this occurs depends on the depth and shape of the seafloor beneath the ice shelves. We have modeled water depths beneath the ice shelves of Dronning Maud Land using airborne gravity data and depth measurements from seismic, multibeam, and radar data. Our bathymetric models show deep troughs beneath the ice shelves and shallow sills close to the continental shelf. These sills currently limit water mass exchange with Warm Deep Water from the Southern Ocean and so protect the ice shelves from significant melting at their bases. A changing climate with increasing ocean temperatures or a shallowing of warm water masses may increase ice shelf melting and lead to an increased sea level contribution.</t>
  </si>
  <si>
    <t>[Eisermann, Hannes; Eagles, Graeme; Smith, Emma Clare; Jokat, Wilfried] Alfred Wegener Inst, Bremerhaven, Germany; [Ruppel, Antonia] Fed Inst Geosci &amp; Nat Resources, Hannover, Germany; [Jokat, Wilfried] Univ Bremen, Fac Geosci, Bremen, Germany</t>
  </si>
  <si>
    <t>Helmholtz Association; Alfred Wegener Institute, Helmholtz Centre for Polar &amp; Marine Research; University of Bremen</t>
  </si>
  <si>
    <t>Eisermann, H (corresponding author), Alfred Wegener Inst, Bremerhaven, Germany.</t>
  </si>
  <si>
    <t>heiserma@awi.de</t>
  </si>
  <si>
    <t>Smith, Emma/AAO-5329-2021</t>
  </si>
  <si>
    <t>Smith, Emma/0000-0002-8672-8259; Ruppel, Antonia/0000-0001-5101-411X; Eisermann, Hannes/0000-0002-5604-6484; Eagles, Graeme/0000-0001-5325-0810</t>
  </si>
  <si>
    <t>Alfred Wegener Institute (AWI); Federal Institute for Geosciences and Natural Resources (BGR); AWI-BGR SubEIS-Obs project; Deutsche Forschungsgemeinschaft (DFG) [EI672/10-1]</t>
  </si>
  <si>
    <t>Alfred Wegener Institute (AWI); Federal Institute for Geosciences and Natural Resources (BGR); AWI-BGR SubEIS-Obs project; Deutsche Forschungsgemeinschaft (DFG)(German Research Foundation (DFG))</t>
  </si>
  <si>
    <t>GEA is jointly funded by the Alfred Wegener Institute (AWI) and the Federal Institute for Geosciences and Natural Resources (BGR). Seismic data beneath Fimbul and Ekstrom were supplied by the Norwegian Polar Institute and the Alfred Wegener Institute (Glaciology), respectively. ECS was funded through the AWI-BGR SubEIS-Obs project and grant EI672/10-1 Cost-S2S by the Deutsche Forschungsgemeinschaft (DFG) in the framework of the priority programme Antarctic Research with comparative investigations in Arctic ice areas. The authors would like to thank Emerson E&amp;P Software, Emerson Automation Solutions, for providing licenses for the seismic software Paradigm in the scope of the Emerson Academic Program. We are grateful to two anonymous reviewers, whose comments greatly enhanced the manuscript. We thank the science and technician crew of airborne campaigns as well as the crews of RV Polarstern and the AWI bathymetry group for acquiring and processing bathymetry data.</t>
  </si>
  <si>
    <t>JUN 28</t>
  </si>
  <si>
    <t>e2019GL086724</t>
  </si>
  <si>
    <t>10.1029/2019GL086724</t>
  </si>
  <si>
    <t>MO3YE</t>
  </si>
  <si>
    <t>WOS:000551464800008</t>
  </si>
  <si>
    <t>King, MA; Watson, CS</t>
  </si>
  <si>
    <t>King, Matt A.; Watson, Christopher S.</t>
  </si>
  <si>
    <t>Antarctic Surface Mass Balance: Natural Variability, Noise, and Detecting New Trends</t>
  </si>
  <si>
    <t>CLIMATE; SNOWFALL; GRACE; ERROR; MODEL</t>
  </si>
  <si>
    <t>The emergence of new, statistically robust trends in Antarctic surface mass balance (SMB) requires an understanding of the underlying SMB variability (noise). We show that simple white or AR[1] noise models do not adequately represent the variability of SMB in both the RACMO2.3p2 SMB model output (1979-2017) and composite ice core records (1800-2010), underestimating low-frequency variability. By testing a range of noise models, we find that a Generalized Gauss Markov (GGM) model better approximates the noise around a linear trend. The general preference for GGM noise applies over spatial scales from the total ice sheet down to individual drainage basins. Over the longest timescales considered, trend uncertainties are 1.3-2.3 times larger using a GGM model compared to using an AR1 model at the ice sheet scale. Overall, our results suggest that larger trends or longer periods are required before new SMB trends can be robustly separated from background noise. Plain Language Summary The rate of snowfall in Antarctica varies over months to millennia. Snowfall is expected to increase over coming decades as the climate warms and evaporates more water from the Southern Ocean and then falls as snow. The question we focus on is when can we be sure a new trend has emerged?. To help answer this question we examine the variability of snowfall since 1800 as recorded in ice cores and as predicted since 1979 by a weather model. We find that variations in snowfall are largest over longer periods (decades) and that traditional ways of estimating the natural variability underestimate the noise at these long periods, by a factor of up to about 10. As a result, it is harder to detect genuine changes in trends in Antarctic snowfall than previously thought-they will need to be larger or persist for longer to confidently detect them. It is clear, nonetheless, that Antarctica is losing overall mass due to increased discharge from key glaciers, and this is expected to dominate any changes to snowfall.</t>
  </si>
  <si>
    <t>[King, Matt A.; Watson, Christopher S.] Univ Tasmania, Sch Technol Environm &amp; Design, Surveying &amp; Spatial Sci, Hobart, Tas, Australia</t>
  </si>
  <si>
    <t>King, MA (corresponding author), Univ Tasmania, Sch Technol Environm &amp; Design, Surveying &amp; Spatial Sci, Hobart, Tas, Australia.</t>
  </si>
  <si>
    <t>matt.king@utas.edu.au</t>
  </si>
  <si>
    <t>Watson, Christopher S/D-4707-2013; King, Matt/B-4622-2008</t>
  </si>
  <si>
    <t>King, Matt/0000-0001-5611-9498; Watson, Christopher/0000-0002-7464-4592</t>
  </si>
  <si>
    <t>Centre for Southern Hemisphere Oceans Research; Australian Research Council's Special Research Initiative for Antarctic Gateway Partnership [SR140300001]</t>
  </si>
  <si>
    <t>Centre for Southern Hemisphere Oceans Research(Commonwealth Scientific &amp; Industrial Research Organisation (CSIRO)); Australian Research Council's Special Research Initiative for Antarctic Gateway Partnership(Australian Research Council)</t>
  </si>
  <si>
    <t>This work was supported by the Centre for Southern Hemisphere Oceans Research, a joint research center between QNLM and CSIRO, and the Australian Research Council's Special Research Initiative for Antarctic Gateway Partnership (Project ID SR140300001). We thank Machiel Bos for making HECTOR software available and providing support in its application. We thank Michiel van den Broeke and Melchior van Wessem for making RACMO2.3p2 model output available and Liz Thomas for providing the composite ice core records in Gt/yr. Tessa Vance helped with understanding ice core sampling errors. Simon Williams and an anonymous reviewer provided very constructive reviews which helped improve the manuscript.</t>
  </si>
  <si>
    <t>e2020GL087493</t>
  </si>
  <si>
    <t>10.1029/2020GL087493</t>
  </si>
  <si>
    <t>WOS:000551464800038</t>
  </si>
  <si>
    <t>Zhang, RD; Wang, HL; Fu, Q; Rasch, PJ</t>
  </si>
  <si>
    <t>Zhang, Rudong; Wang, Hailong; Fu, Qiang; Rasch, Philip J.</t>
  </si>
  <si>
    <t>Assessing Global and Local Radiative Feedbacks Based on AGCM Simulations for 1980-2014/2017</t>
  </si>
  <si>
    <t>radiative feedback; climate modeling; Arctic amplification; CMIP6; AMIP6; radiative forcing</t>
  </si>
  <si>
    <t>CLIMATE SENSITIVITY; SURFACE-TEMPERATURE; VARIABILITY; AMPLIFICATION; PATTERNS; KERNELS</t>
  </si>
  <si>
    <t>We examine radiative feedbacks based on short-term climate variability by analyzing atmospheric general circulation model (AGCM) simulations, including Atmospheric Model Intercomparison Project within CMIP phase 6 (AMIP6) with known effective radiative forcing (ERF) for 1980-2014 and one with zero ERF for 1980-2017. We first verify the Kernel-Gregory feedback calculation by showing that both clear-sky radiative fluxes and all-sky radiative feedbacks from the kernel method agree with model simulations. We find that global-mean net feedback for 1980-2017/2014 is -2 W m(-2) K-1, about twice the feedback estimated for long-term warming (4 x CO2) experiments. This difference is mainly caused by a near-zero global-mean net cloud feedback for 19802017/2014. We show that the lapse rate feedback for 1980-2017/2014 is the largest contributor to the amplified temperature change over the three poles (Arctic, Antarctic, and Tibetan Plateau), followed by surface albedo feedback and Planck feedback deviation from its global mean. Except for a higher surface albedo feedback in Antarctic, other feedbacks are similar between Arctic and Antarctic. Plain Language Summary The global annual mean temperature at the Earth's surface has risen rapidly in recent decades. Three regions (Arctic, Antarctic, and Tibetan Plateau) of the Earth, called the three poles, have warmed more than the global mean, a phenomenon commonly known as polar amplification. The global warming and polar amplification are a consequence of historical external forcings (due to changes in greenhouse gases, aerosols, ozone, solar radiation, volcanic eruptions, and land use) and feedback processes that influence the planet's response. Because of a short measurement record (since 1980) and natural variability, it is difficult to rigorously quantify how individual feedbacks explain polar amplification. Here, we use simulations without external forcing changes but with observed sea surface temperature (SST) changes for 1980-2017 and newly available simulations from many models with prescribed SSTs to verify a kernel method to estimate radiative fluxes and feedbacks. We then investigate the global feedback and local feedback over the three poles. We found that models indicate a stronger negative global-mean net feedback for 1980-2017 than will occur over longer time periods when warming will be stronger. This is primarily due to a near-zero global mean net cloud feedback estimated for the recent past.</t>
  </si>
  <si>
    <t>[Zhang, Rudong; Wang, Hailong; Rasch, Philip J.] Pacific Northwest Natl Lab, Atmospher Sci &amp; Global Change Div, Richland, WA 99352 USA; [Fu, Qiang] Univ Washington, Dept Atmospher Sci, Seattle, WA 98195 USA</t>
  </si>
  <si>
    <t>United States Department of Energy (DOE); Pacific Northwest National Laboratory; University of Washington; University of Washington Seattle</t>
  </si>
  <si>
    <t>Zhang, RD; Wang, HL (corresponding author), Pacific Northwest Natl Lab, Atmospher Sci &amp; Global Change Div, Richland, WA 99352 USA.</t>
  </si>
  <si>
    <t>rudong.zhang@pnnl.gov; hailong.wang@pnnl.gov</t>
  </si>
  <si>
    <t>Rasch, Philip J/F-7978-2018; Fu, Qiang/W-5836-2019; Wang, Hailong/AAM-1464-2021</t>
  </si>
  <si>
    <t>Wang, Hailong/0000-0002-1994-4402; Qiang, Fu/0000-0001-5371-8460</t>
  </si>
  <si>
    <t>U.S. Department of Energy (DOE), Office of Science, Biological and Environmental Research, as part of the Regional and Global Model Analysis (RGMA) program; DOE [DE-AC05-76RLO1830]</t>
  </si>
  <si>
    <t>U.S. Department of Energy (DOE), Office of Science, Biological and Environmental Research, as part of the Regional and Global Model Analysis (RGMA) program(United States Department of Energy (DOE)); DOE(United States Department of Energy (DOE))</t>
  </si>
  <si>
    <t>This work was based on research supported by the U.S. Department of Energy (DOE), Office of Science, Biological and Environmental Research, as part of the Regional and Global Model Analysis (RGMA) program. The Pacific Northwest National Laboratory (PNNL) is operated for DOE by Battelle Memorial Institute under contract DE-AC05-76RLO1830. We are grateful to Yue Dong, Angeline G. Pendergrass, and Yufei Zou for helpful comments on the paper. We acknowledge the World Climate Research Programme's Working Group on Coupled Modeling for coordinating and promoting CMIP6. We thank the climate modeling groups for producing and making available their model output, the Earth System Grid Federation (ESGF) for archiving the data and providing access, and the multiple funding agencies who support CMIP6 and ESGF. We thank DOE's RGMA program area, the Data Management program, and National Energy Research Scientific Computing Center (NERSC) for making this coordinated CMIP6 analysis activity possible. The CAM5 model simulations were performed using PNNL's Research Computing resources. We thank the editor and two anonymous reviewers for the careful review and constructive comments.</t>
  </si>
  <si>
    <t>e2020GL088063</t>
  </si>
  <si>
    <t>10.1029/2020GL088063</t>
  </si>
  <si>
    <t>WOS:000551464800042</t>
  </si>
  <si>
    <t>Hedding, DW</t>
  </si>
  <si>
    <t>Hedding, David W.</t>
  </si>
  <si>
    <t>Comment on Clinopyroxene megacrysts from Marion Island, Antarctic Ocean: evidence for a late stage shallow origin (2019) by R. J. Roberts, K. D. Lehong, A. E. J. Botha, G. Costin, F. C. De Beer, W. J. Hoffman and C. J. Hetherington</t>
  </si>
  <si>
    <t>MINERALOGY AND PETROLOGY</t>
  </si>
  <si>
    <t>Marion Island; Clinopyroxene megacrysts; Volcanics; Geographical location</t>
  </si>
  <si>
    <t>[Hedding, David W.] Univ South Africa, Dept Geog, Pioneer Ave, ZA-1710 Florida, South Africa</t>
  </si>
  <si>
    <t>University of South Africa</t>
  </si>
  <si>
    <t>Hedding, DW (corresponding author), Univ South Africa, Dept Geog, Pioneer Ave, ZA-1710 Florida, South Africa.</t>
  </si>
  <si>
    <t>heddidw@unisa.ac.za</t>
  </si>
  <si>
    <t>Hedding, David William/F-3044-2011</t>
  </si>
  <si>
    <t>Hedding, David William/0000-0002-9748-4499</t>
  </si>
  <si>
    <t>SPRINGER WIEN</t>
  </si>
  <si>
    <t>WIEN</t>
  </si>
  <si>
    <t>SACHSENPLATZ 4-6, PO BOX 89, A-1201 WIEN, AUSTRIA</t>
  </si>
  <si>
    <t>0930-0708</t>
  </si>
  <si>
    <t>1438-1168</t>
  </si>
  <si>
    <t>MINER PETROL</t>
  </si>
  <si>
    <t>Mineral. Petrol.</t>
  </si>
  <si>
    <t>10.1007/s00710-020-00713-z</t>
  </si>
  <si>
    <t>Geochemistry &amp; Geophysics; Mineralogy</t>
  </si>
  <si>
    <t>MJ2BJ</t>
  </si>
  <si>
    <t>WOS:000543708800001</t>
  </si>
  <si>
    <t>Roberts, RJ; Lehong, KD; Botha, AEJ; Costin, G; De Beer, FC; Hoffman, WJ; Hetherington, CJ</t>
  </si>
  <si>
    <t>Roberts, R. James; Lehong, Keabetswe D.; Botha, Andries E. J.; Costin, Gelu; De Beer, Frikkie C.; Hoffman, Willem J.; Hetherington, Callum J.</t>
  </si>
  <si>
    <t>Comment on Clinopyroxene megacrysts from Marion Island, Antarctic Ocean: evidence for a late stage shallow origin (2019) by R. J. Roberts, K. D. Lehong, A. E. J. Botha, G. Costin, F. C. De Beer, W. J. Hoffman and C. J. Hetherington Reply</t>
  </si>
  <si>
    <t>[Roberts, R. James; Lehong, Keabetswe D.; Botha, Andries E. J.] Univ Pretoria, Dept Geol, Lynnwood Rd, ZA-0002 Pretoria, South Africa; [Costin, Gelu] Rhodes Univ, Dept Geol, Artillery Rd, ZA-6140 Grahamstown, South Africa; [Costin, Gelu] Rice Univ, Dept Earth Environm &amp; Planetary Sci, MS-126,6100 Main St, Houston, TX 77005 USA; [De Beer, Frikkie C.; Hoffman, Willem J.] South African Nucl Energy Corp Necsa, Radiat Sci Dept, Elias Motsoaledi St,Extens Church St West, ZA-0240 Hartbeespoort, South Africa; [Hetherington, Callum J.] Texas Tech Univ, Dept Geosci, Sci Bldg 125,1053 Main St, Lubbock, TX 79401 USA</t>
  </si>
  <si>
    <t>University of Pretoria; Rhodes University; Rice University; The South African Nuclear Energy Corporation SOC Limited (Necsa); Texas Tech University System; Texas Tech University</t>
  </si>
  <si>
    <t>Roberts, RJ (corresponding author), Univ Pretoria, Dept Geol, Lynnwood Rd, ZA-0002 Pretoria, South Africa.</t>
  </si>
  <si>
    <t>james.roberts@up.ac.za</t>
  </si>
  <si>
    <t>Roberts, Richard James/A-6817-2010</t>
  </si>
  <si>
    <t>Roberts, Richard James/0000-0002-2950-9949; Hetherington, Callum/0000-0003-1389-8641</t>
  </si>
  <si>
    <t>10.1007/s00710-020-00714-y</t>
  </si>
  <si>
    <t>WOS:000543708800002</t>
  </si>
  <si>
    <t>Ramezanzadeh, S; Kenari, AA; Esmaeili, N; Rombenso, A</t>
  </si>
  <si>
    <t>Ramezanzadeh, Sara; Kenari, Abdolmohammad Abedian; Esmaeili, Noah; Rombenso, Artur</t>
  </si>
  <si>
    <t>Effects of different forms of barberry root (Berberis vulgaris) on growth performance, muscle fatty acids profile, whole-body composition, and digestive enzymes of rainbow trout (Oncorhynchus mykiss)</t>
  </si>
  <si>
    <t>JOURNAL OF THE WORLD AQUACULTURE SOCIETY</t>
  </si>
  <si>
    <t>antioxidant; digestive enzymes; fish nutrition; herbal medicine; omega 3</t>
  </si>
  <si>
    <t>OREOCHROMIS-NILOTICUS L.; ALLIUM-SATIVUM POWDER; CONVERSION EFFICIENCY; MEDICINAL-PLANTS; FEED-UTILIZATION; NILE TILAPIA; FISH-MEAL; DIETARY; PARAMETERS; SUPPLEMENTATION</t>
  </si>
  <si>
    <t>The supplementation of fish diets with herbal medicines aimed at improving growth and flesh quality is an attractive subject in fish nutrition research. In the present study, the effects of barberry root on the growth performance, muscle fatty acids profile, whole-body composition, and digestive enzymes of rainbow trout were investigated. A total of 306 rainbow trout fingerlings (15.55 +/- 0.76 g) were fed various diets in groups including the control (C), BRP10 (10 g/kg of barberry root powder), BRP20 (20 g/kg of barberry root powder), BRE250 (250 mg/kg of barberry root extract), BRE500 (500 mg/kg of barberry root extract), and OTC30 (30 g/kg oxytetracycline) groups. After 56 days, the results indicated that fish fed the BRE250, BRE500, and OTC30 diets had significantly higher weight gain (592.23, 580.43, and 605.21%, respectively) compared with the other dietary treatments (p&lt; .05). Whole-body protein and fat content showed significant differences among fish fed the treatments and the control, displaying significantly higher and lower values, respectively, compared with those fed the BRP20, BRE250, and BRE500 diets (p&lt; .05). Muscle in fish fed the OTC30 diet displayed a significantly lower content of omega 3 compared with those fed the BRP20 and BRE500 diets (p&lt; .05). Although digestive enzymes revealed no special trend across dietary groups, fish fed the BRP20 diet presented the highest values of amylase (22 U/mg protein(-1)), trypsin (57.16 U/mg protein(-1)), and lipase (5.62 U/mg protein(-1)). Based on the current findings, barberry root is suggested to be a promising and strategic feed additive in the aquaculture industry as it promotes growth performance and improves flesh quality.</t>
  </si>
  <si>
    <t>[Ramezanzadeh, Sara; Kenari, Abdolmohammad Abedian] Tarbiat Modares Univ, Fac Nat Resources &amp; Marine Sci, Dept Aquaculture, POB 64414-356, Noor, Mazandaran, Iran; [Esmaeili, Noah] Univ Tasmania, Inst Marine &amp; Antarctic Studies, Hobart, Tas, Australia; [Rombenso, Artur] CSIRO, Agr &amp; Food, Aquaculture Program, Bribie Isl Res Ctr, Woorim, Qld, Australia</t>
  </si>
  <si>
    <t>Tarbiat Modares University; University of Tasmania; Queensland Department of Agriculture &amp; Fisheries; Commonwealth Scientific &amp; Industrial Research Organisation (CSIRO)</t>
  </si>
  <si>
    <t>Kenari, AA (corresponding author), Tarbiat Modares Univ, Fac Nat Resources &amp; Marine Sci, Dept Aquaculture, POB 64414-356, Noor, Mazandaran, Iran.</t>
  </si>
  <si>
    <t>aabedian@modares.ac.ir</t>
  </si>
  <si>
    <t>Rombenso, Artur N/B-6978-2019; Abedian Kenari, Abdolmohammad/JWP-0761-2024; Esmaeili, Noah/Q-4536-2019</t>
  </si>
  <si>
    <t>Esmaeili, Noah/0000-0001-8704-939X; Abedian Kenari, Abdolmohammad/0000-0003-3410-3908</t>
  </si>
  <si>
    <t>Tarbiat Moallem University; Tarbiat Modares University</t>
  </si>
  <si>
    <t>0893-8849</t>
  </si>
  <si>
    <t>1749-7345</t>
  </si>
  <si>
    <t>J WORLD AQUACULT SOC</t>
  </si>
  <si>
    <t>J. World Aquacult. Soc.</t>
  </si>
  <si>
    <t>APR</t>
  </si>
  <si>
    <t>10.1111/jwas.12722</t>
  </si>
  <si>
    <t>RN4XK</t>
  </si>
  <si>
    <t>WOS:000543352300001</t>
  </si>
  <si>
    <t>Shirai, N; Karouji, Y; Kumagai, K; Uesugi, M; Hirahara, K; Ito, M; Tomioka, N; Uesugi, K; Yamaguchi, A; Imae, N; Ohigashi, T; Yada, T; Abe, M</t>
  </si>
  <si>
    <t>Shirai, Naoki; Karouji, Yuzuru; Kumagai, Kazuya; Uesugi, Masayuki; Hirahara, Kaori; Ito, Motoo; Tomioka, Naotaka; Uesugi, Kentaro; Yamaguchi, Akira; Imae, Naoya; Ohigashi, Takuji; Yada, Toru; Abe, Masanao</t>
  </si>
  <si>
    <t>The effects of possible contamination by sample holders on samples to be returned by Hayabusa2</t>
  </si>
  <si>
    <t>METEORITICS &amp; PLANETARY SCIENCE</t>
  </si>
  <si>
    <t>ACTIVATION ANALYSIS; ITOKAWA; CHONDRITES; SYSTEM; EARTH; CLASSIFICATION; HETEROGENEITY; IMPURITIES; ABUNDANCES; EVOLUTION</t>
  </si>
  <si>
    <t>Chemical compositions of materials used for new sample holders (vertically aligned carbon nanotubes [VACNTs] and polyimide film), which were developed for the analysis of Hayabusa2-return samples, were determined by instrumental neutron activation analysis and/or instrumental photon activation analysis, to estimate contamination effects from the sample holders. The synthetic quartz plate used for the sample holders was also analyzed. Ten elements (Na, Al, Cr, Mn, Fe, Ni, Eu, W, Au, and Th) and 14 elements (Na, Al, K, Sc, Ti, Cr, Zn, Ga, Br, Sb, La, Eu, Ir, and Au) could be detected in the VACNTs and polyimide film, respectively. The VACNT data show that contamination by this material with respect to the Murchison meteorite is negligible in terms of the elemental ratios (e.g., Fe/Mn, Na/Al, and Mn/Cr) used for the classification of meteorites due to the extremely low density of VACNTs. However, for the Au/Cr ratio, even small degrees (1.7 wt%) of contamination by VACNTs will change the Au/Cr ratio. Elemental ratios used for the classification of meteorites are only influenced by large amounts of contamination (&gt;60 wt%) of polyimide film, which is unlikely to occur. In contrast, detectable effects on Ti isotopic compositions are caused by &gt;0.1 and &gt;0.3 wt% contamination by VACNTs and polyimide film, respectively, and Hf isotopic changes are caused by &gt;0.1 wt% contamination by VACNTs. The new sample holders (VACNTs and polyimide film) are suitable for chemical classification of Hayabusa2-return samples, because of their ease of use, applicability to multiple analytical instruments, and low contamination levels for most elements.</t>
  </si>
  <si>
    <t>[Shirai, Naoki] Tokyo Metropolitan Univ, Grad Sch Sci, Dept Chem, Hachioji, Tokyo 1920397, Japan; [Karouji, Yuzuru] Japan Aerosp Explorat Agcy JAXA, JAXA Space Explorat Ctr, 3-1-1 Yoshinodai, Sagamihara, Kanagawa 2525210, Japan; [Kumagai, Kazuya] Marine Works Japan Ltd, Yokosuka, Kanagawa 2370063, Japan; [Uesugi, Masayuki; Uesugi, Kentaro] Japan Synchrotron Radiat Res Inst JASRI, 1-1-1 Koto, Sayo, Hyogo 6795197, Japan; [Hirahara, Kaori] Osaka Univ, Dept Mech Engn, 2-1 Yamadaoka, Suita, Osaka 5650871, Japan; [Hirahara, Kaori] Osaka Univ, Ctr Atom &amp; Mol Technol, 2-1 Yamadaoka, Suita, Osaka 5650871, Japan; [Ito, Motoo; Tomioka, Naotaka] Japan Agcy Marine Earth Sci Technol JAMSTEC, Kochi Inst Core Sample Res, 200 Monobe Otsu, Nankoku, Kochi 7838502, Japan; [Yamaguchi, Akira; Imae, Naoya] Natl Inst Polar Res, Antarctic Meteorite Res Ctr, Tachikawa, Tokyo 1908518, Japan; [Yamaguchi, Akira; Imae, Naoya] Grad Univ Adv Sci, Dept Polar Sci, Sch Multidisciplinary Sci, Tachikawa, Tokyo 1908518, Japan; [Ohigashi, Takuji] Inst Mol Sci, UVSOR Facil, 38 Nishigo Naka, Okazaki, Aichi 4448585, Japan; [Yada, Toru; Abe, Masanao] Japan Aerosp Explorat Agcy JAXA, Inst Space &amp; Astronaut Sci, 3-1-1 Yoshinodai, Sagamihara, Kanagawa 2525210, Japan</t>
  </si>
  <si>
    <t>Tokyo Metropolitan University; Japan Aerospace Exploration Agency (JAXA); Japan Synchrotron Radiation Research Institute; Osaka University; Osaka University; Japan Agency for Marine-Earth Science &amp; Technology (JAMSTEC); Research Organization of Information &amp; Systems (ROIS); National Institute of Polar Research (NIPR) - Japan; National Institutes of Natural Sciences (NINS) - Japan; Institute for Molecular Science (IMS); Japan Aerospace Exploration Agency (JAXA); Institute of Space &amp; Astronautical Science (ISAS)</t>
  </si>
  <si>
    <t>Shirai, N (corresponding author), Tokyo Metropolitan Univ, Grad Sch Sci, Dept Chem, Hachioji, Tokyo 1920397, Japan.</t>
  </si>
  <si>
    <t>shirai-naoki@tmu.ac.jp</t>
  </si>
  <si>
    <t>Hirahara, Kaori/C-5286-2014; Tomioka, Naotaka/AID-3472-2022; Tomioka, Naotaka/B-1888-2011</t>
  </si>
  <si>
    <t>Hirahara, Kaori/0000-0002-7776-4493; Tomioka, Naotaka/0000-0001-5725-9513; da dong, zuo zhi/0000-0003-4778-5645; Shirai, Naoki/0000-0003-0988-8571</t>
  </si>
  <si>
    <t>JSPS KAKENHI [JP18957117, JP15555937, JP18022314, JP18040912]</t>
  </si>
  <si>
    <t>JSPS KAKENHI(Ministry of Education, Culture, Sports, Science and Technology, Japan (MEXT)Japan Society for the Promotion of ScienceGrants-in-Aid for Scientific Research (KAKENHI))</t>
  </si>
  <si>
    <t>We thank M. Ebihara for providing the SI Allende meteorite, Y. Oura for providing JB-1a, and S. Sekimoto for providing the USGS reference materials. This research was performed by using facilities of the Institute for Integrated Radiation and Nuclear Science, Kyoto University. This research was supported in part by JSPS KAKENHI grants JP18957117 (NS), JP15555937 (MU), and JP18022314 and JP18040912 (MI). We thank the reviewers, K. Righter and an anonymous reviewer, and the associate editor M. Zolensky for the constructive comments.</t>
  </si>
  <si>
    <t>1086-9379</t>
  </si>
  <si>
    <t>1945-5100</t>
  </si>
  <si>
    <t>METEORIT PLANET SCI</t>
  </si>
  <si>
    <t>Meteorit. Planet. Sci.</t>
  </si>
  <si>
    <t>10.1111/maps.13480</t>
  </si>
  <si>
    <t>NQ3YK</t>
  </si>
  <si>
    <t>WOS:000543156200001</t>
  </si>
  <si>
    <t>Eastman, JT</t>
  </si>
  <si>
    <t>Eastman, Joseph T.</t>
  </si>
  <si>
    <t>The buoyancy-based biotope axis of the evolutionary radiation of Antarctic cryonotothenioid fishes</t>
  </si>
  <si>
    <t>Pelagic biotope; Ecological plasticity; Ross Sea; Intraguild predation</t>
  </si>
  <si>
    <t>TOOTHFISH DISSOSTICHUS-MAWSONI; ROSS SEA REGION; MCMURDO SOUND; NOTOTHENIOID FISHES; ADAPTIVE RADIATION; PLEURAGRAMMA-ANTARCTICA; WEDDELL SEALS; PERCIFORMES; SILVERFISH; BIOLOGY</t>
  </si>
  <si>
    <t>In the absence of any prior comprehensive analysis, I evaluate divergence along the biotope axis in the habitat stage of the evolutionary radiation of Antarctic cryonotothenioids. I utilize the available percentage buoyancy (%B) measurements as habitat proxies for recognition of the pelagic, semipelagic, demersal, and benthic biotopes that include, respectively, 5%, 10%, 73%, and 12% of the 59 species and 1749 specimens in the study. The majority of species retain the ancestral demersal biotope ofEleginops maclovinus, and this probably enhances ecological plasticity. Divergence into the pelagic biotope is the most distinctive organismal feature of the radiation and, although only 5% of species are pelagic, this biotope is not depauperate in global comparisons. Pelagic or potentially pelagic species areDissostichus mawsoni,D. eleginoides,Pleuragramma antarctica,Aethotaxis mitopteryx, andGvozdarus svetovidovi. Small ontogenetic changes in %Bwith growth are typical; however, this is extensive inD. mawsoni, a species with the potential to transition through benthic to pelagic biotopes over ontogeny. Occupation of the pelagic biotope by largeD. mawsonimay be impermanent as it is lipid-dependent, a contingency reliant on the availability ofP. antarcticaas prey. In unusual conditions, the specialized sacs ofP. antarcticacan also yield their lipid for metabolism with possible loss of buoyancy. Pelagic species are inordinately important in the food web. In the southwestern Ross Sea a guild of large mammalian and avian predators, which includesD. mawsoni, is reliant on lipid-rich, energy-dense cryonotothenioid prey. This includes asymmetrical intraguild predation onD. mawsoni, withP. antarcticaas a basal resource for the guild.</t>
  </si>
  <si>
    <t>[Eastman, Joseph T.] Ohio Univ, Dept Biomed Sci, Athens, OH 45701 USA</t>
  </si>
  <si>
    <t>University System of Ohio; Ohio University</t>
  </si>
  <si>
    <t>Eastman, JT (corresponding author), Ohio Univ, Dept Biomed Sci, Athens, OH 45701 USA.</t>
  </si>
  <si>
    <t>eastman@ohio.edu</t>
  </si>
  <si>
    <t>Eastman, Joseph T./O-6150-2019</t>
  </si>
  <si>
    <t>Eastman, Joseph T./0000-0003-3868-261X</t>
  </si>
  <si>
    <t>NSF [ANT 04-36190]</t>
  </si>
  <si>
    <t>For providing information, advice or permissions to use photos, I thank David Ainley (H.T. Harvey &amp; Associates Ecological Consultants), Maggie Amsler (University of Alabama, Birmingham), Arcady Balushkin (Zoological Institute, Russian Academy of Sciences), Elena Boucher, Stacy Kim (Moss Landing Marine Labs), Komoda Masazumi (NHK Japan), Thomas Near (Yale University), and John Priscu (Montana State University). Three reviewers provided useful comments. The work was supported by NSF ANT 04-36190.</t>
  </si>
  <si>
    <t>10.1007/s00300-020-02702-6</t>
  </si>
  <si>
    <t>WOS:000543594200001</t>
  </si>
  <si>
    <t>Colleoni, F; De Santis, L; Montoli, E; Olivo, E; Sorlien, CC; Bart, PJ; Gasson, EGW; Bergamasco, A; Sauli, C; Wardell, N; Prato, S</t>
  </si>
  <si>
    <t>Colleoni, Florence; De Santis, Laura; Montoli, Enea; Olivo, Elisabetta; Sorlien, Christopher C.; Bart, Philip J.; Gasson, Edward G. W.; Bergamasco, Andrea; Sauli, Chiara; Wardell, Nigel; Prato, Stefano</t>
  </si>
  <si>
    <t>Past continental shelf evolution increased Antarctic ice sheet sensitivity to climatic conditions (vol 8, 11323, 2018)</t>
  </si>
  <si>
    <t>flocolleoni@gmail.com</t>
  </si>
  <si>
    <t>Colleoni, Florence/JMQ-7847-2023</t>
  </si>
  <si>
    <t>Colleoni, Florence/0000-0003-4582-812X; Gasson, Edward/0000-0003-4653-6217; De Santis, Laura/0000-0002-7752-7754</t>
  </si>
  <si>
    <t>OGS under HPC-TRES Program [2018-01]; CINECA under HPC-TRES Program [2018-01]; PNRA national Italian projects [PNRA16_ 00016 WHISPERS, PNRA16_00293 GLEVORS]; MAE bilateral Italy-US Project [US16GR04]</t>
  </si>
  <si>
    <t>OGS under HPC-TRES Program; CINECA under HPC-TRES Program; PNRA national Italian projects; MAE bilateral Italy-US Project</t>
  </si>
  <si>
    <t>This work is supported by OGS and CINECA under HPC-TRES Program Award Number 2018-01, by the PNRA national Italian projects PNRA16_ 00016 WHISPERS and PNRA16_00293 GLEVORS, and by the MAE bilateral Italy-US Project US16GR04, Global Sea Level Rise &amp; Antarctic Ice Sheet Stability predictions: guessing future by learning from past (GSLAISS). We acknowledge the CMCC Foundation for providing computing resources. We acknowledge the Antarctic Seismic Data Library (https ://sdls.ogs.trieste.it) for providing open access to international marine seismic data. This research is a contribution to the SCAR PAIS program (https://www.scar.org/science/pais/).</t>
  </si>
  <si>
    <t>JUN 25</t>
  </si>
  <si>
    <t>10.1038/s41598-020-67554-w</t>
  </si>
  <si>
    <t>MH4PL</t>
  </si>
  <si>
    <t>WOS:000546713000002</t>
  </si>
  <si>
    <t>Dawson, GJ; Bamber, JL</t>
  </si>
  <si>
    <t>Dawson, Geoffrey J.; Bamber, Jonathan L.</t>
  </si>
  <si>
    <t>Measuring the location and width of the Antarctic grounding zone using CryoSat-2</t>
  </si>
  <si>
    <t>ROSS ICE SHELF; LINE RETREAT; WEST ANTARCTICA; SATELLITE-RADAR; ELEVATION MODEL; KOHLER GLACIERS; TIDAL FLEXURE; INTERFEROMETRY; THICKNESS; GREENLAND</t>
  </si>
  <si>
    <t>We present the results of mapping the limit of the tidal flexure (point F) and hydrostatic equilibrium (point H) of the grounding zone of Antarctic ice shelves from CryoSat-2 standard and swath elevation data. Overall we were able to map 31 % of the grounding zone of the Antarctic floating ice shelves and outlet glaciers. We obtain near-complete coverage of the Filchner-Ronne Ice Shelf. Here we manage to map areas of Support Force Glacier and the Doake Ice Rumples, which have previously only been mapped using breakin-slope methods. Over the Ross Ice Shelf, Dronning Maud Land and the Antarctic Peninsula, we obtained partial coverage, and we could not map a continuous grounding zone for the Amery Ice Shelf and the Amundsen Sea sector. Tidal amplitude and distance south (i.e. across-track spacing) are controlling factors in the quality of the coverage and performance of the approach. The location of the point F agrees well with previous observations that used differential satellite radar interferometry (DInSAR) and ICESat-1, with an average landward bias of 0.1 and 0.6 km and standard deviation of 1.1 and 1.5 km for DInSAR and ICESat measurements, respectively. We also compared the results directly with DInSAR interferograms from the Sentinel-1 satellites, acquired over the Evans Ice Stream and the Carlson Inlet (Ronne Ice Shelf), and found good agreement with the mapped points F and H. We also present the results of the spatial distribution of the grounding zone width (the distance between points F and H) and used a simple elastic beam model, along with ice thickness calculations, to calculate an effective Young modulus of ice of E = 1.4 +/- 0.9 GPa.</t>
  </si>
  <si>
    <t>[Dawson, Geoffrey J.; Bamber, Jonathan L.] Univ Bristol, Bristol Glaciol Ctr, Sch Geog Sci, Bristol, Avon, England</t>
  </si>
  <si>
    <t>University of Bristol</t>
  </si>
  <si>
    <t>Dawson, GJ (corresponding author), Univ Bristol, Bristol Glaciol Ctr, Sch Geog Sci, Bristol, Avon, England.</t>
  </si>
  <si>
    <t>geoffrey.dawson@bristol.ac.uk</t>
  </si>
  <si>
    <t>Bamber, Jonathan/C-7608-2011</t>
  </si>
  <si>
    <t>Bamber, Jonathan/0000-0002-2280-2819; Dawson, Geoffrey/0000-0001-9873-2266</t>
  </si>
  <si>
    <t>UK Natural Environment Research Council (NERC) [NE/N011511/1]; NERC [NE/N011511/1] Funding Source: UKRI</t>
  </si>
  <si>
    <t>UK Natural Environment Research Council (NERC)(UK Research &amp; Innovation (UKRI)Natural Environment Research Council (NERC)); NERC(UK Research &amp; Innovation (UKRI)Natural Environment Research Council (NERC))</t>
  </si>
  <si>
    <t>This research has been supported by the UK Natural Environment Research Council (NERC) (grant no. NE/N011511/1).</t>
  </si>
  <si>
    <t>10.5194/tc-14-2071-2020</t>
  </si>
  <si>
    <t>MD2FD</t>
  </si>
  <si>
    <t>WOS:000543788100001</t>
  </si>
  <si>
    <t>Zhang, XR; Liu, YD; Wang, M; Wang, MW; Jiang, T; Sun, JH; Gao, C; Jiang, Y; Guo, C; Shao, HB; Liang, YT; McMinn, A</t>
  </si>
  <si>
    <t>Zhang, Xinran; Liu, Yundan; Wang, Min; Wang, Meiwen; Jiang, Tong; Sun, Jianhua; Gao, Chen; Jiang, Yong; Guo, Cui; Shao, Hongbing; Liang, Yantao; McMinn, Andrew</t>
  </si>
  <si>
    <t>Characterization and Genome Analysis of a Novel Marine Alteromonas Phage P24</t>
  </si>
  <si>
    <t>VIRUSES; SEQUENCE; INTEGRASE; EVOLUTION</t>
  </si>
  <si>
    <t>AlthoughAlteromonasis ubiquitous in the marine environment, very little is known aboutAlteromonasphages, with only ten, thus far, being isolated and reported on. In this study, a novel double-stranded DNA phage,Alteromonasphage P24, which infectsAlteromonas macleodii, was isolated from the coastal waters off Qingdao.Alteromonasphage P24 has a siphoviral morphology, with an icosahedral head, 61 +/- 1 nm in diameter, and a tail length of 105 +/- 1 nm.Alteromonasphage P24 contains lipids. It has an optimal temperature and pH for growth of 20celcius and 5-7, respectively. A one-step growth curve shows a latent period of 55 min, a rise period of 65 min, and an average burst size of approximately 147 virions per cell.Alteromonasphage P24 has the genome of 46,945 bp with 43.80% GC content and 74 open reading frames (ORFs) without tRNA. The results of the phylogenetic tree, based on themcpandterLgenes, show thatAlteromonasphage P24 is closely related toAeromonasphage phiARM81ld. Meanwhile, phylogenetic analysis based on the whole genome of P24 indicates that it forms a unique viral sub-cluster withinSiphoviridae. This study contributes to the understanding of the genomic characteristics and the virus-host interactions ofAlteromonasphages.</t>
  </si>
  <si>
    <t>[Zhang, Xinran; Liu, Yundan; Wang, Min; Wang, Meiwen; Jiang, Tong; Sun, Jianhua; Gao, Chen; Jiang, Yong; Guo, Cui; Shao, Hongbing; Liang, Yantao; McMinn, Andrew] Ocean Univ China, Coll Marine Life Sci, 5 Yushan Rd, Qingdao 266071, Peoples R China; [Wang, Min; Jiang, Yong; Guo, Cui; Shao, Hongbing; Liang, Yantao; McMinn, Andrew] Ocean Univ China, Inst Evolut &amp; Marine Biodivers, Qingdao, Peoples R China; [Wang, Min; Jiang, Yong; Guo, Cui; Shao, Hongbing; Liang, Yantao] Ocean Univ China, Key Lab Polar Oceanog &amp; Global Ocean Change, Qingdao, Peoples R China; [McMinn, Andrew] Univ Tasmania, Inst Marine &amp; Antarctic Studies, Hobart, Tas, Australia</t>
  </si>
  <si>
    <t>Ocean University of China; Ocean University of China; Ocean University of China; University of Tasmania</t>
  </si>
  <si>
    <t>Shao, HB; Liang, YT (corresponding author), Ocean Univ China, Coll Marine Life Sci, 5 Yushan Rd, Qingdao 266071, Peoples R China.;Shao, HB; Liang, YT (corresponding author), Ocean Univ China, Inst Evolut &amp; Marine Biodivers, Qingdao, Peoples R China.;Shao, HB; Liang, YT (corresponding author), Ocean Univ China, Key Lab Polar Oceanog &amp; Global Ocean Change, Qingdao, Peoples R China.</t>
  </si>
  <si>
    <t>hbshao@ouc.edu.cn; liangyantao@ouc.edu.cn</t>
  </si>
  <si>
    <t>Wang, Min/AFR-9645-2022; Jiang, Yong/AGK-3016-2022; Wang, meiwen/IXN-2116-2023; Gao, Chen/AAT-5126-2021</t>
  </si>
  <si>
    <t>Wang, Min/0000-0002-2357-589X; Jiang, Yong/0000-0002-4072-1668; Gao, Chen/0000-0001-9892-7928; Jiang, Yong/0000-0001-6055-488X</t>
  </si>
  <si>
    <t>Marine SAMP; T Fund of Shandong Province for Pilot National Laboratory for Marine Science and Technology (Qingdao) [2018SDKJ0406-6]; National Key Research and Development Program of China [2018YFC1406704]; Fundamental Research Funds for the Central Universities [201812002]; Natural Science Foundation of China [41606153, 41976117, 41676178, 41906126]</t>
  </si>
  <si>
    <t>Marine SAMP; T Fund of Shandong Province for Pilot National Laboratory for Marine Science and Technology (Qingdao); National Key Research and Development Program of China; Fundamental Research Funds for the Central Universities(Fundamental Research Funds for the Central Universities); Natural Science Foundation of China(National Natural Science Foundation of China (NSFC))</t>
  </si>
  <si>
    <t>This study was financially supported by the Marine S&amp; T Fund of Shandong Province for Pilot National Laboratory for Marine Science and Technology (Qingdao) (No.2018SDKJ0406-6), National Key Research and Development Program of China: 2018YFC1406704, The Fundamental Research Funds for the Central Universities (201812002), Natural Science Foundation of China(No. 41606153; 41976117; 41676178; 41906126).</t>
  </si>
  <si>
    <t>10.1007/s00284-020-02077-1</t>
  </si>
  <si>
    <t>WOS:000543315600001</t>
  </si>
  <si>
    <t>Middleton, L; Taylor, JR</t>
  </si>
  <si>
    <t>Middleton, Leo; Taylor, John R.</t>
  </si>
  <si>
    <t>A general criterion for the release of background potential energy through double diffusion</t>
  </si>
  <si>
    <t>JOURNAL OF FLUID MECHANICS</t>
  </si>
  <si>
    <t>double diffusive convection; ocean processes; stratified flows</t>
  </si>
  <si>
    <t>DENSITY; FLUID</t>
  </si>
  <si>
    <t>Double diffusion occurs when the fluid density depends on two components that diffuse at different rates (e.g. heat and salt in the ocean). Double diffusion can lead to an up-gradient buoyancy flux and drive motion at the expense of potential energy. Here, we follow the work of Lorenz (Tellus, vol. 7 (no. 2), 1955, pp. 157-167) and Winters et al. (J. Fluid Mech., vol. 289, 1995, pp. 115-128) for a single-component fluid and define the background potential energy (BPE) as the energy associated with an adiabatically sorted density field and derive its budget for a double-diffusive fluid. We find that double diffusion can convert BPE into available potential energy (APE), unlike in a single-component fluid, where the transfer of APE to BPE is irreversible. We also derive an evolution equation for the sorted buoyancy in a double-diffusive fluid, extending the work of Winters &amp; D'Asaro (J. Fluid Mech., vol. 317, 1996, pp. 179-193) and Nakamura (J. Atmos. Sci., vol. 53 (no. 11), 1996, pp. 1524-1537). The criterion we develop for a release of BPE can be used to analyse the energetics of mixing and double diffusion in the ocean and other multiple-component fluids, and we illustrate its application using two-dimensional simulations of salt fingering.</t>
  </si>
  <si>
    <t>[Middleton, Leo; Taylor, John R.] Univ Cambridge, Ctr Math Sci, Dept Appl Math &amp; Theoret Phys, Wilberforce Rd, Cambridge CB3 0WA, England; [Middleton, Leo] British Antarctic Survey, Madingley Rd, Cambridge CB3 0ET, England</t>
  </si>
  <si>
    <t>University of Cambridge; UK Research &amp; Innovation (UKRI); Natural Environment Research Council (NERC); NERC British Antarctic Survey</t>
  </si>
  <si>
    <t>Taylor, JR (corresponding author), Univ Cambridge, Ctr Math Sci, Dept Appl Math &amp; Theoret Phys, Wilberforce Rd, Cambridge CB3 0WA, England.</t>
  </si>
  <si>
    <t>J.R.Taylor@damtp.cam.ac.uk</t>
  </si>
  <si>
    <t>Middleton, Leo/0000-0002-2821-6992</t>
  </si>
  <si>
    <t>Natural Environment Research Council [NE/L002507/1]; NERC [NE/N009746/1, bas0100033] Funding Source: UKRI</t>
  </si>
  <si>
    <t>The authors would like to thank Peter Haynes, Remi Tailleux and Catherine Vreugdenhil for very helpful discussions and comments on a draft of this paper. This work was supported by the Natural Environment Research Council (grant number NE/L002507/1).</t>
  </si>
  <si>
    <t>0022-1120</t>
  </si>
  <si>
    <t>1469-7645</t>
  </si>
  <si>
    <t>J FLUID MECH</t>
  </si>
  <si>
    <t>J. Fluid Mech.</t>
  </si>
  <si>
    <t>R3</t>
  </si>
  <si>
    <t>10.1017/jfm.2020.259</t>
  </si>
  <si>
    <t>Mechanics; Physics, Fluids &amp; Plasmas</t>
  </si>
  <si>
    <t>Mechanics; Physics</t>
  </si>
  <si>
    <t>LD2HI</t>
  </si>
  <si>
    <t>Green Accepted, Green Submitted, hybrid</t>
  </si>
  <si>
    <t>WOS:000525852100001</t>
  </si>
  <si>
    <t>Smellie, JL; Martin, AP; Panter, KS; Kyle, PR; Geyer, A</t>
  </si>
  <si>
    <t>Smellie, John L.; Martin, Adam P.; Panter, Kurt S.; Kyle, Philip R.; Geyer, Adelina</t>
  </si>
  <si>
    <t>Magmatism in Antarctica and its relation to Zealandia</t>
  </si>
  <si>
    <t>NEW ZEALAND JOURNAL OF GEOLOGY AND GEOPHYSICS</t>
  </si>
  <si>
    <t>Gondwana; large igneous province; West Antarctic rift system; New Zealand volcanic geology; alkaline volcanism; pluton</t>
  </si>
  <si>
    <t>SOUTHERN VICTORIA-LAND; MARIE-BYRD-LAND; INTRAPLATE VOLCANISM; PACIFIC MARGIN; MANTLE-PLUME; ROSS ISLAND; TECTONOMAGMATIC EVOLUTION; TRANSANTARCTIC MOUNTAINS; CENOZOIC VOLCANISM; BASEMENT GEOLOGY</t>
  </si>
  <si>
    <t>Antarctica and Zealandia were once-adjacent blocks of Gondwana with a shared magmatic history during the Mesozoic and earlier. This is preserved in (a) shared Palaeozoic and Mesozoic Gondwana plutonism; (b) magmatism associated with syn-Gondwana breakup, including Jurassic-aged dolerite rocks of the Ferrar large igneous province, and igneous intrusions of similar isotopic affinity occurring on both continents coeval with Late Cretaceous rifting of Antarctica from Zealandia. The shared magmatic history continued post-Gondwana breakup through (c) the generation of oceanic crust and (d) eruption of diffuse alkaline magmatic province (DAMP) rocks. The DAMP encompasses magmatism from the Late Cretaceous to present day that shares isotopic and trace element characteristics over a (now) widely dispersed area of the southwest Pacific. This has been ascribed to either a previously contiguous mantle lithosphere with a shared, syn-Gondwana breakup history contributing to volcanic melts or to an isotopically distinct Antarctica - Zealandia asthenospheric mantle domain. The development of the Antarctic ice sheet after 34 Ma resulted in many volcanoes recording ice interactions that reveal many new details of Antarctica's palaeoenvironmental history. Study of the volcanic history of Antarctica helps to advance understanding of the geological history of the region, including once-conjugate continents like Zealandia.</t>
  </si>
  <si>
    <t>[Smellie, John L.] Univ Leicester, Sch Geog Geol &amp; Environm, Leicester, Leics, England; [Martin, Adam P.] GNS Sci, Dunedin, New Zealand; [Panter, Kurt S.] Bowling Green State Univ, Sch Earth Environm &amp; Soc, Bowling Green, OH 43403 USA; [Kyle, Philip R.] New Mexico Inst Min &amp; Technol, Dept Earth &amp; Environm Sci, Socorro, NM 87801 USA; [Geyer, Adelina] CSIC, ICTJA, Inst Earth Sci Jaume Almera, Barcelona, Spain</t>
  </si>
  <si>
    <t>University of Leicester; GNS Science - New Zealand; University System of Ohio; Bowling Green State University; New Mexico Institute of Mining Technology; Consejo Superior de Investigaciones Cientificas (CSIC); CSIC - Geociencias Barcelona (GEO3BCN)</t>
  </si>
  <si>
    <t>Smellie, JL (corresponding author), Univ Leicester, Sch Geog Geol &amp; Environm, Leicester, Leics, England.</t>
  </si>
  <si>
    <t>jls55@leicester.ac.uk</t>
  </si>
  <si>
    <t>Geyer, Adelina/C-9490-2011; Geyer, Adelina/A-6624-2012</t>
  </si>
  <si>
    <t>Panter, Kurt S./0000-0002-0990-5880; Geyer, Adelina/0000-0002-8803-6504; Martin, A. P./0000-0002-4676-8344</t>
  </si>
  <si>
    <t>Antarctica New Zealand; British Antarctic Survey; Consejo Superior de Investigaciones Cientificas (Spain); Korean Polar Research Institute; National Science Foundation (USA); Programma Nazionale di Ricerche (Italy)</t>
  </si>
  <si>
    <t>Antarctica New Zealand; British Antarctic Survey; Consejo Superior de Investigaciones Cientificas (Spain); Korean Polar Research Institute; National Science Foundation (USA)(National Science Foundation (NSF)); Programma Nazionale di Ricerche (Italy)</t>
  </si>
  <si>
    <t>The authors thank A. Cooper, J. Gamble and one anonymous reviewer for their helpful reviews and J. Scott for editorial handling. The authors also gratefully acknowledge the funding and logistical support provided by several national Antarctic Organizations over many years, including: Antarctica New Zealand, British Antarctic Survey, Consejo Superior de Investigaciones Cientificas (Spain), Korean Polar Research Institute, National Science Foundation (USA) and Programma Nazionale di Ricerche (Italy). This review is a contribution to AntVolc (https://www.scar.org/science/antvolc/home/).</t>
  </si>
  <si>
    <t>0028-8306</t>
  </si>
  <si>
    <t>1175-8791</t>
  </si>
  <si>
    <t>NEW ZEAL J GEOL GEOP</t>
  </si>
  <si>
    <t>N. Z. J. Geol. Geophys.</t>
  </si>
  <si>
    <t>OCT 1</t>
  </si>
  <si>
    <t>10.1080/00288306.2020.1781666</t>
  </si>
  <si>
    <t>Geology; Geosciences, Multidisciplinary</t>
  </si>
  <si>
    <t>NH0IQ</t>
  </si>
  <si>
    <t>WOS:000547116300001</t>
  </si>
  <si>
    <t>Kochman-Kedziora, N; Zidarova, R; Noga, T; Olech, M; Van de Vijver, B</t>
  </si>
  <si>
    <t>Kochman-Kedziora, Natalia; Zidarova, Ralitsa; Noga, Teresa; Olech, Maria; Van de Vijver, Bart</t>
  </si>
  <si>
    <t>Luticola puchalskiana, a new small terrestrial Luticola species (Bacillariophyceae) from the Maritime Antarctic Region</t>
  </si>
  <si>
    <t>PHYTOTAXA</t>
  </si>
  <si>
    <t>diatoms; Deception Island; King George Island; morphology; moss; soil</t>
  </si>
  <si>
    <t>JAMES-ROSS-ISLAND; SOUTH SHETLAND ISLANDS; TAXA BACILLARIOPHYTA; SP NOV.; DIATOM</t>
  </si>
  <si>
    <t>During a survey of the terrestrial diatom flora of the Maritime Antarctic Region, an unknown Luticola taxon that could be identified using the currently available literature was observed on two islands of the South Shetland Archipelago. After detailed morphological analysis and comparison, the unknown taxon is described as Luticola puchalskiana sp. nov. The new species can be separated from other Luticola species based on its valve dimensions, stria density and the shape of both central and terminal raphe endings. Two populations of the new taxon were observed in samples collected from terrestrial habitats. The morphology of Luticola puchalskiana is elaborately described and illustrated using both light and scanning electron microscopy observations. A comparison is made with a large number of other morphologically similar Luticola species from the entire (sub)Antarctic Region.</t>
  </si>
  <si>
    <t>[Kochman-Kedziora, Natalia] Univ Rzeszow, Dept Ecol &amp; Environm Protect, Zelwerowicza 4, PL-601 Rzeszow, Poland; [Kochman-Kedziora, Natalia] Univ Rzeszow, Podkarpackie Innovat Res Ctr Environm, Zelwerowicza 8B, PL-35601 Rzeszow, Poland; [Zidarova, Ralitsa] Inst Oceanol, Dept Marine Biol &amp; Ecol, Parvi May Str 40, Varna 9000, Bulgaria; [Noga, Teresa] Univ Rzeszow, Dept Soil Studies Environm Chem &amp; Hydrol, Zelwerowicza 8B, PL-35601 Rzeszow, Poland; [Olech, Maria] Jagiellonian Univ, Inst Bot, Dept Polar Res &amp; Documentat, Kopernika 27, PL-501 Krakow, Poland; [Olech, Maria] Polish Acad Sci, Inst Biochem &amp; Biophys, Pawinskiego 5a, PL-02106 Warsaw, Poland; [Van de Vijver, Bart] Meise Bot Garden, Res Dept, Nieuwelaan 38, B-1860 Meise, Belgium; [Van de Vijver, Bart] Univ Antwerp, Dept Biol, ECOBE, Univ Pl 1, B-2610 Antwerp, Belgium</t>
  </si>
  <si>
    <t>University of Rzeszow; University of Rzeszow; Bulgarian Academy of Sciences; University of Rzeszow; Jagiellonian University; Polish Academy of Sciences; Institute of Biochemistry &amp; Biophysics - Polish Academy of Sciences; University of Antwerp</t>
  </si>
  <si>
    <t>Kochman-Kedziora, N (corresponding author), Univ Rzeszow, Dept Ecol &amp; Environm Protect, Zelwerowicza 4, PL-601 Rzeszow, Poland.;Kochman-Kedziora, N (corresponding author), Univ Rzeszow, Podkarpackie Innovat Res Ctr Environm, Zelwerowicza 8B, PL-35601 Rzeszow, Poland.</t>
  </si>
  <si>
    <t>kochman_natalia@wp.pl; zidarova.r@gmail.com; tnoga@ur.edu.pl; maria.olech@uj.edu.pl; bart.vandevijver@plantentuinmeise.be</t>
  </si>
  <si>
    <t>Zidarova, Ralitsa/I-3793-2017</t>
  </si>
  <si>
    <t>Van de Vijver, Bart/0000-0002-6244-1886; Noga, Teresa/0000-0002-4864-5620; Kochman-Kedziora, Natalia/0000-0003-1006-1715; Zidarova, Ralitsa/0000-0002-6451-0099</t>
  </si>
  <si>
    <t>University of Rzeszow [DBR-34/2019]</t>
  </si>
  <si>
    <t>University of Rzeszow</t>
  </si>
  <si>
    <t>This work has been partially financially supported by the University of Rzeszow task grant no. DBR-34/2019. The Bulgarian Antarctic Institute and the staff of Bellingshausen and Decepcion Stations in Antarctica are thanked for the support, which facilitated the sampling campaigns (RZ) in Antarctica.</t>
  </si>
  <si>
    <t>1179-3155</t>
  </si>
  <si>
    <t>1179-3163</t>
  </si>
  <si>
    <t>Phytotaxa</t>
  </si>
  <si>
    <t>JUN 24</t>
  </si>
  <si>
    <t>10.11646/phytotaxa.450.1.6</t>
  </si>
  <si>
    <t>MG8YD</t>
  </si>
  <si>
    <t>WOS:000546318600002</t>
  </si>
  <si>
    <t>Bergami, E; Rota, E; Caruso, T; Birarda, G; Vaccari, L; Corsi, I</t>
  </si>
  <si>
    <t>Bergami, Elisa; Rota, Emilia; Caruso, Tancredi; Birarda, Giovanni; Vaccari, Lisa; Corsi, Ilaria</t>
  </si>
  <si>
    <t>Plastics everywhere: first evidence of polystyrene fragments inside the common Antarctic collembolan Cryptopygus antarcticus</t>
  </si>
  <si>
    <t>BIOLOGY LETTERS</t>
  </si>
  <si>
    <t>microplastics; expanded foam; springtails; maritime Antarctic; terrestrial food web; mu-FTIR</t>
  </si>
  <si>
    <t>KING GEORGE ISLAND; FILDES PENINSULA; MICROPLASTICS; DEBRIS; TRANSPORT; SEDIMENTS; ACARI; WATER</t>
  </si>
  <si>
    <t>There is evidence and serious concern that microplastics have reached the most remote regions of the planet, but how far have they travelled in terrestrial ecosystems? This study presents the first field-based evidence of plastic ingestion by a common and central component of Antarctic terrestrial food webs, the collembolan Cryptopygus antarcticus. A large piece of polystyrene (PS) foam (34 x 31 x 5 cm) covered by microalgae, moss, lichens and microfauna was found in a fellfield along the shores of the Fildes Peninsula (King George Island). The application of an improved enzymatic digestion coupled with Fourier transform infrared microscopy (mu -FTIR), unequivocally detected traces of PS (less than 100 mu m) in the gut of the collembolans associated with the PS foam and documented their ability to ingest plastic. Plastics are thus entering the short Antarctic terrestrial food webs and represent a new potential stressor to polar ecosystems already facing climate change and increasing human activities. Future research should explore the effects of plastics on the composition, structure and functions of polar terrestrial biota.</t>
  </si>
  <si>
    <t>[Bergami, Elisa; Rota, Emilia; Corsi, Ilaria] Univ Siena, Dept Phys Earth &amp; Environm Sci, I-53100 Siena, Italy; [Caruso, Tancredi] Univ Coll Dublin, Sch Biol &amp; Environm Sci, Dublin 4, Ireland; [Birarda, Giovanni; Vaccari, Lisa] Elettra Sincrotrone Trieste, SISSI Chem &amp; Life Sci Branch, SS 14 Km 163-5, I-34149 Trieste, Italy</t>
  </si>
  <si>
    <t>University of Siena; University College Dublin; Elettra Sincrotrone Trieste</t>
  </si>
  <si>
    <t>Bergami, E (corresponding author), Univ Siena, Dept Phys Earth &amp; Environm Sci, I-53100 Siena, Italy.</t>
  </si>
  <si>
    <t>elisa.bergami@unisi.it</t>
  </si>
  <si>
    <t>Caruso, Tancredi/H-1103-2012; Corsi, Ilaria/D-3795-2012; Birarda, Giovanni/ABW-3824-2022; Bergami, Elisa/JFJ-1703-2023</t>
  </si>
  <si>
    <t>Corsi, Ilaria/0000-0002-1811-3041; Bergami, Elisa/0000-0001-8149-9584; Birarda, Giovanni/0000-0003-2418-058X; Rota, Emilia/0000-0002-8235-6419; Caruso, Tancredi/0000-0002-3607-9609</t>
  </si>
  <si>
    <t>Italian National Antarctic Program [PNRA-14_00090]; CERIC-ERIC Consortium [20192144]</t>
  </si>
  <si>
    <t>Italian National Antarctic Program; CERIC-ERIC Consortium</t>
  </si>
  <si>
    <t>This work was funded by the Italian National Antarctic Program (project PNRA-14_00090) and the CERIC-ERIC Consortium for the access to experimental facilities and financial support (beamtime number-20192144).</t>
  </si>
  <si>
    <t>1744-9561</t>
  </si>
  <si>
    <t>1744-957X</t>
  </si>
  <si>
    <t>BIOL LETTERS</t>
  </si>
  <si>
    <t>Biol. Lett.</t>
  </si>
  <si>
    <t>10.1098/rsbl.2020.0093</t>
  </si>
  <si>
    <t>ME9KS</t>
  </si>
  <si>
    <t>Green Published, Bronze</t>
  </si>
  <si>
    <t>WOS:000544973200001</t>
  </si>
  <si>
    <t>Cheng, SK; Stopa, J; Ardhuin, F; Shen, HH</t>
  </si>
  <si>
    <t>Cheng, Sukun; Stopa, Justin; Ardhuin, Fabrice; Shen, Hayley H.</t>
  </si>
  <si>
    <t>Spectral attenuation of ocean waves in pack ice and its application in calibrating viscoelastic wave-in-ice models</t>
  </si>
  <si>
    <t>NONLINEAR ENERGY-TRANSFER; SEA-ICE; GREASE ICE; SITU MEASUREMENTS; PROPAGATION; PANCAKE; FIELDS; PARAMETERIZATIONS; COMPUTATIONS; DISSIPATION</t>
  </si>
  <si>
    <t>We investigate a case of ocean waves through a pack ice cover captured by Sentinel-1A synthetic aperture radar (SAR) on 12 October 2015 in the Beaufort Sea. The study domain is 400 km by 300 km, adjacent to a marginal ice zone (MIZ). The wave spectra in this domain were reported in a previous study (Stopa et al., 2018b). In that study, the authors divided the domain into two regions delineated by the first appearance of leads (FAL) and reported a clear change of wave attenuation of the total energy between the two regions. In the present study, we use the same dataset to study the spectral attenuation in the domain According to the quality of SAR-retrieved wave spectrum, we focus on a range of wave numbers corresponding to 9-15 s waves from the open-water dispersion relation. We first determine the apparent attenuation rates of each wave number by pairing the wave spectra from different locations. These attenuation rates slightly increase with increasing wave number before the FAL and become lower and more uniform against wave number in thicker ice after the FAL. The spectral attenuation due to the ice effect is then extracted from the measured apparent attenuation and used to calibrate two viscoelastic wave-in-ice models. For the Wang and Shen (2010b) model, the calibrated equivalent shear modulus and viscosity of the pack ice are roughly 1 order of magnitude greater than that in grease and pancake ice reported in Cheng et al. (2017). These parameters obtained for the extended Fox and Squire model are much greater, as found in Mosig et al. (2015) using data from the Antarctic MIZ. This study shows a promising way of using remote-sensing data with large spatial coverage to conduct model calibration for various types of ice cover.</t>
  </si>
  <si>
    <t>[Cheng, Sukun] Nansen Environm &amp; Remote Sensing Ctr, Bergen, Norway; [Stopa, Justin] Univ Hawaii, Dept Ocean &amp; Resources Engn, Manoa, HI USA; [Ardhuin, Fabrice] Univ Brest, Lab Oceanog Phys &amp; Spatiale LOPS, IUEM, CNRS,IRD,IFREMER, Brest, France; [Cheng, Sukun; Shen, Hayley H.] Clarkson Univ, Dept Civil &amp; Environm Engn, Potsdam, NY 13699 USA</t>
  </si>
  <si>
    <t>Nansen Environmental &amp; Remote Sensing Center (NERSC); University of Hawaii System; University of Hawaii Manoa; Centre National de la Recherche Scientifique (CNRS); Universite de Bretagne Occidentale; Institut Universitaire Europeen de la Mer (IUEM); Ifremer; Institut de Recherche pour le Developpement (IRD); Clarkson University</t>
  </si>
  <si>
    <t>Cheng, SK (corresponding author), Nansen Environm &amp; Remote Sensing Ctr, Bergen, Norway.;Cheng, SK (corresponding author), Clarkson Univ, Dept Civil &amp; Environm Engn, Potsdam, NY 13699 USA.</t>
  </si>
  <si>
    <t>sukun.cheng@nersc.no</t>
  </si>
  <si>
    <t>Ardhuin, Fabrice/A-1364-2011</t>
  </si>
  <si>
    <t>Ardhuin, Fabrice/0000-0002-9309-9681; Stopa, Justin/0000-0002-7477-8224</t>
  </si>
  <si>
    <t>EU-FP7 project SWARP [607476]; Office of Naval Research [N000141310294, N000141712862, N0001416WX01117]; US Office of Naval Research project DASIM II [N00014-18-1-2493]; U.S. Department of Defense (DOD) [N000141712862] Funding Source: U.S. Department of Defense (DOD)</t>
  </si>
  <si>
    <t>EU-FP7 project SWARP; Office of Naval Research(Office of Naval Research); US Office of Naval Research project DASIM II(Office of Naval Research); U.S. Department of Defense (DOD)(United States Department of Defense)</t>
  </si>
  <si>
    <t>This research has been supported by the EU-FP7 project SWARP (grant no. 607476) and the Office of Naval Research (grant nos. N000141310294, N000141712862 and N0001416WX01117). Sukun Cheng was partly funded by the US Office of Naval Research project DASIM II (grant no. N00014-18-1-2493).</t>
  </si>
  <si>
    <t>10.5194/tc-14-2053-2020</t>
  </si>
  <si>
    <t>MD1HW</t>
  </si>
  <si>
    <t>WOS:000543727400003</t>
  </si>
  <si>
    <t>Robinson, A; Alvarez-Solas, J; Montoya, M; Goelzer, H; Greve, R; Ritz, C</t>
  </si>
  <si>
    <t>Robinson, Alexander; Alvarez-Solas, Jorge; Montoya, Marisa; Goelzer, Heiko; Greve, Ralf; Ritz, Catherine</t>
  </si>
  <si>
    <t>Description and validation of the ice-sheet model Yelmo (version 1.0)</t>
  </si>
  <si>
    <t>GEOSCIENTIFIC MODEL DEVELOPMENT</t>
  </si>
  <si>
    <t>PISM-PIK; PARAMETERIZATION; GREENLAND; FRICTION; SHELVES; FLOW; APPROXIMATION; SIMULATIONS; SENSITIVITY; PERFORMANCE</t>
  </si>
  <si>
    <t>We describe the physics and features of the ice-sheet model Yelmo, an open-source project intended for collaborative development. Yelmo is a thermomechanical model, solving for the coupled velocity and temperature solutions of an ice sheet simultaneously. The ice dynamics are currently treated via a hybrid approach combining the shallow-ice and shallow-shelf/shelfy-stream approximations, which makes Yelmo an apt choice for studying a wide variety of problems. Yelmo's main innovations lie in its flexible and user-friendly infrastructure, which promotes portability and facilitates long-term development. In particular, all physics subroutines have been designed to be self-contained, so that they can be easily ported from Yelmo to other models, or easily replaced by improved or alternate methods in the future. Furthermore, hard-coded model choices are eschewed, replaced instead with convenient parameter options that allow the model to be adapted easily to different contexts. We show results for different ice-sheet benchmark tests, and we illustrate Yelmo's performance for the Antarctic ice sheet.</t>
  </si>
  <si>
    <t>[Robinson, Alexander; Alvarez-Solas, Jorge; Montoya, Marisa] Univ Complutense Madrid, Madrid, Spain; [Robinson, Alexander; Alvarez-Solas, Jorge; Montoya, Marisa] Geosci Inst CSIC UCM, Madrid, Spain; [Robinson, Alexander] Potsdam Inst Climate Impact Res, Potsdam, Germany; [Goelzer, Heiko] Univ Utrecht, Inst Marine &amp; Atmospher Res Utrecht, Utrecht, Netherlands; [Goelzer, Heiko] Univ Libre Bruxelles, Lab Glaciol, Brussels, Belgium; [Greve, Ralf] Hokkaido Univ, Inst Low Temp Sci, Sapporo, Hokkaido, Japan; [Greve, Ralf] Hokkaido Univ, Arctic Res Ctr, Sapporo, Hokkaido, Japan; [Ritz, Catherine] Inst Geosci &amp; Environm Res, Grenoble, France</t>
  </si>
  <si>
    <t>Complutense University of Madrid; Complutense University of Madrid; Consejo Superior de Investigaciones Cientificas (CSIC); CSIC-UCM - Instituto de Geociencias (IGEO); Potsdam Institut fur Klimafolgenforschung; Utrecht University; Universite Libre de Bruxelles; Hokkaido University; Hokkaido University</t>
  </si>
  <si>
    <t>Robinson, A (corresponding author), Univ Complutense Madrid, Madrid, Spain.;Robinson, A (corresponding author), Geosci Inst CSIC UCM, Madrid, Spain.;Robinson, A (corresponding author), Potsdam Inst Climate Impact Res, Potsdam, Germany.</t>
  </si>
  <si>
    <t>robinson@ucm.es</t>
  </si>
  <si>
    <t>Goelzer, Heiko/M-2367-2016; Greve, Ralf/G-2336-2010</t>
  </si>
  <si>
    <t>Goelzer, Heiko/0000-0002-5878-9599; Ritz, Catherine/0000-0003-0785-8571; Greve, Ralf/0000-0002-1341-4777</t>
  </si>
  <si>
    <t>Spanish Ministry of Science and Innovation project RIMA [CGL2017-85975-R]; Ramon y Cajal Programme of the Spanish Ministry for Science, Innovation and Universities [RYC-2016-20587]; program of the Netherlands Earth System Science Centre (NESSC) - Dutch Ministry of Education, Culture and Science (OCW) [024.002.001]; Japan Society for the Promotion of Science (JSPS) KAKENHI [JP16H02224, JP17H06104, JP17H06323]; Japanese Ministry of Education, Culture, Sports, Science and Technology (MEXT) through the Arctic Challenge for Sustainability (ArCS) project [JPMXD1300000000]</t>
  </si>
  <si>
    <t>Spanish Ministry of Science and Innovation project RIMA; Ramon y Cajal Programme of the Spanish Ministry for Science, Innovation and Universities; program of the Netherlands Earth System Science Centre (NESSC) - Dutch Ministry of Education, Culture and Science (OCW); Japan Society for the Promotion of Science (JSPS) KAKENHI(Ministry of Education, Culture, Sports, Science and Technology, Japan (MEXT)Japan Society for the Promotion of ScienceGrants-in-Aid for Scientific Research (KAKENHI)); Japanese Ministry of Education, Culture, Sports, Science and Technology (MEXT) through the Arctic Challenge for Sustainability (ArCS) project</t>
  </si>
  <si>
    <t>This research has been supported by the Spanish Ministry of Science and Innovation project RIMA (grant no. CGL2017-85975-R). Alexander Robinson was funded by the Ramon y Cajal Programme of the Spanish Ministry for Science, Innovation and Universities (grant no. RYC-2016-20587). Heiko Goelzer has received funding from the program of the Netherlands Earth System Science Centre (NESSC), financially supported by the Dutch Ministry of Education, Culture and Science (OCW) (grant no. 024.002.001). Ralf Greve was supported by the Japan Society for the Promotion of Science (JSPS) KAKENHI (grant nos. JP16H02224, JP17H06104 and JP17H06323), by the Japanese Ministry of Education, Culture, Sports, Science and Technology (MEXT) through the Arctic Challenge for Sustainability (ArCS) project, and through the Arctic Challenge for Sustainability (ArCS) project (program grant no. JPMXD1300000000).</t>
  </si>
  <si>
    <t>1991-959X</t>
  </si>
  <si>
    <t>1991-9603</t>
  </si>
  <si>
    <t>GEOSCI MODEL DEV</t>
  </si>
  <si>
    <t>Geosci. Model Dev.</t>
  </si>
  <si>
    <t>10.5194/gmd-13-2805-2020</t>
  </si>
  <si>
    <t>MD1HR</t>
  </si>
  <si>
    <t>WOS:000543726900002</t>
  </si>
  <si>
    <t>Pascual-Díaz, JP; Serçe, S; Hradecká, I; Vanek, M; Özdemir, BS; Sultana, N; Vural, M; Vitales, D; Garcia, S</t>
  </si>
  <si>
    <t>Pere Pascual-Diaz, Joan; Serce, Sedat; Hradecka, Ivana; Vanek, Martin; Ozdemir, Bahar Sogutmaz; Sultana, Nusrat; Vural, Mehtap; Vitales, Daniel; Garcia, Sonia</t>
  </si>
  <si>
    <t>Genome size constancy in Antarctic populations ofColobanthus quitensisandDeschampsia antarctica</t>
  </si>
  <si>
    <t>Antarctic peninsula; C-value; Flow cytometry; Genome size; Nuclear DNA content</t>
  </si>
  <si>
    <t>DNA FLOW-CYTOMETRY; COLOBANTHUS-QUITENSIS; VASCULAR PLANTS; DESV.</t>
  </si>
  <si>
    <t>Colobanthus quitensis(Kunth) Bartl. andDeschampsia antarcticaDesv., the only two native flowering plants in the Antarctica, are interesting study cases from the ecological, biogeographic, and evolutionary points of view. Here, we present the first genome size analysis focused in several populations from the Antarctic Peninsula and the surrounding islands for both species, with a broad sampling distributed along a distance of 800 km. We have used flow cytometry to estimate genome size, being the first time that this technique is used forD. antarctica.Average genome sizes forD. antarctica(2C = 10.63 pg) andC. quintesis(2C = 2.01 pg) are consistent with the scarce previous data available, and point to a diploid and tetraploid ploidy level, respectively, for the analysed taxa. Despite a certain deviating individual inD. antarctica, whose higher genome size could suggest the existence of B-chromosomes, no significant genome size differences were found amongst the populations studied, for both species, which might be related with the recent colonisation history of the Antarctic continent.</t>
  </si>
  <si>
    <t>[Pere Pascual-Diaz, Joan; Hradecka, Ivana; Vanek, Martin; Vitales, Daniel; Garcia, Sonia] CSIC Ajuntament Barcelona, IBB, Barcelona, Catalonia, Spain; [Serce, Sedat; Sultana, Nusrat; Vural, Mehtap] Nigde Omer Halisdemir Univ, Fac Agr Sci &amp; Technol, Nigde, Turkey; [Ozdemir, Bahar Sogutmaz] Yeditepe Univ, Fac Engn, Istanbul, Turkey; [Sultana, Nusrat] Jagannath Univ, Fac Life &amp; Earth Sci, Dhaka, Bangladesh</t>
  </si>
  <si>
    <t>Autonomous University of Barcelona; Consejo Superior de Investigaciones Cientificas (CSIC); Nigde Omer Halisdemir University; Yeditepe University</t>
  </si>
  <si>
    <t>Vitales, D; Garcia, S (corresponding author), CSIC Ajuntament Barcelona, IBB, Barcelona, Catalonia, Spain.</t>
  </si>
  <si>
    <t>daniel.vitales@ibb.csic.es; soniagarcia@ibb.csic.es</t>
  </si>
  <si>
    <t>Vural, Mehtap/AAD-6493-2022; Vitales, Daniel/AAA-6563-2020; Sogutmaz Ozdemir, Bahar/IZQ-4477-2023; Pascual-Díaz, Joan Pere/O-7240-2019; Garcia, Sònia/M-7460-2013; Serce, Sedat/D-4105-2013</t>
  </si>
  <si>
    <t>Vitales, Daniel/0000-0002-3109-5028; Sogutmaz Ozdemir, Bahar/0000-0002-0660-3836; Pascual-Díaz, Joan Pere/0000-0002-5984-6815; Garcia, Sònia/0000-0002-3143-0527; Serce, Sedat/0000-0003-4584-2028</t>
  </si>
  <si>
    <t>Spanish government (AEI/FEDER, UE) [CGL2016-75694-P]; Catalan government [2017SGR1116]; Turkish government [Third Turkish Antarctic expedition ITu/PolReC]; Ramon y Cajal contract [RYC-2014-16608]</t>
  </si>
  <si>
    <t>Spanish government (AEI/FEDER, UE)(Spanish Government); Catalan government; Turkish government [Third Turkish Antarctic expedition ITu/PolReC]; Ramon y Cajal contract(Spanish Government)</t>
  </si>
  <si>
    <t>We thank Oriane Hidalgo for her advice in plant flow cytometry. Elizabeth McCarthy is also acknowledged for assistance in English language revision.This work was supported by the Spanish [CGL2016-75694-P (AEI/FEDER, UE)], Catalan [Grant Number 2017SGR1116] and Turkish governments [Third Turkish Antarctic expedition ITu/PolReC]. SG is the holder of a Ramon y Cajal contract (RYC-2014-16608).</t>
  </si>
  <si>
    <t>10.1007/s00300-020-02699-y</t>
  </si>
  <si>
    <t>WOS:000543032100001</t>
  </si>
  <si>
    <t>Hückstädt, LA; Piñones, A; Palacios, DM; McDonald, BI; Dinniman, MS; Hofmann, EE; Burns, JM; Crocker, DE; Costa, DP</t>
  </si>
  <si>
    <t>Huckstadt, Luis A.; Pinones, Andrea; Palacios, Daniel M.; McDonald, Birgitte I.; Dinniman, Michael S.; Hofmann, Eileen E.; Burns, Jennifer M.; Crocker, Daniel E.; Costa, Daniel P.</t>
  </si>
  <si>
    <t>Projected shifts in the foraging habitat of crabeater seals along the Antarctic Peninsula (vol 56, pg 213, 2020)</t>
  </si>
  <si>
    <t>Univ Calif Santa Cruz, Inst Marine Sci, Santa Cruz, CA 95064 USA; [Pinones, Andrea] Univ Concepcion, Ctr Invest Oceanog COPAS Sur Austral, Concepcion, Chile; [Costa, Daniel P.] Univ Calif Santa Cruz, Dept Ecol &amp; Evolutionary Biol, Santa Cruz, CA 95064 USA</t>
  </si>
  <si>
    <t>University of California System; University of California Santa Cruz; Universidad de Concepcion; University of California System; University of California Santa Cruz</t>
  </si>
  <si>
    <t>Piñones, A (corresponding author), Univ Concepcion, Ctr Invest Oceanog COPAS Sur Austral, Concepcion, Chile.</t>
  </si>
  <si>
    <t>lahuckst@ucsc.edu</t>
  </si>
  <si>
    <t>Huckstadt, Luis/JNR-7637-2023; Burns, Jennifer M/C-4159-2013; Palacios, Daniel M./B-9180-2008</t>
  </si>
  <si>
    <t>Palacios, Daniel M./0000-0001-7069-7913; Dinniman, Michael/0000-0001-7519-9278; Burns, Jennifer/0000-0001-9652-2943</t>
  </si>
  <si>
    <t>10.1038/s41558-020-0850-9</t>
  </si>
  <si>
    <t>WOS:000543143200001</t>
  </si>
  <si>
    <t>Mergelov, N; Dolgikh, A; Shorkunov, I; Zazovskaya, E; Soina, V; Yakushev, A; Fedorov-Davydov, D; Pryakhin, S; Dobryansky, A</t>
  </si>
  <si>
    <t>Mergelov, Nikita; Dolgikh, Andrey; Shorkunov, Ilya; Zazovskaya, Elya; Soina, Vera; Yakushev, Andrey; Fedorov-Davydov, Dmitry; Pryakhin, Sergey; Dobryansky, Alexander</t>
  </si>
  <si>
    <t>Hypolithic communities shape soils and organic matter reservoirs in the ice-free landscapes of East Antarctica</t>
  </si>
  <si>
    <t>DRONNING MAUD LAND; LARSEMANN HILLS; MICROBIAL COMMUNITIES; VESTFOLD HILLS; TAYLOR VALLEY; DRY VALLEYS; CARBON; CYANOBACTERIA; BIOMASS; OASES</t>
  </si>
  <si>
    <t>The soils of East Antarctica have no rhizosphere with the bulk of organo-mineral interactions confined to the thin microbial and cryptogamic crusts that occur in open or cryptic niches and are collectively known as biological soil crust (BSC). Here we demonstrate that cryptic hypolithic varieties of BSC in the Larsemann Hills of East Antarctica contribute to the buildup of soil organic matter and produce several types of continuous organogenous horizons within the topsoil with documented clusters of at least 100 m(2). Such hypolithic horizons accumulate 0.06-4.69% of organic carbon (TOC) with isotopic signatures (delta C-13(org)) within the range of -30.2 - -24.0 parts per thousand, and contain from 0 to 0.38% total nitrogen (TN). The properties of hypolithic organic matter alternate between cyanobacteria- and moss-dominated horizons, which are linked to the meso- and microtopography patterns and moisture gradients. The major part of TOC that is stored in hypolithic horizons has modern or centenary C-14 age, while the minor part is stabilized on a millennial timescale through shallow burial and association with minerals. Our findings suggest that hypolithic communities create a gateway for organic carbon to enter depauperate soils of the Larsemann Hills and contribute to the carbon reservoir of the topsoil at a landscape level.</t>
  </si>
  <si>
    <t>[Mergelov, Nikita; Dolgikh, Andrey; Shorkunov, Ilya; Zazovskaya, Elya; Dobryansky, Alexander] Russian Acad Sci, Inst Geog, Moscow 119017, Russia; [Soina, Vera; Yakushev, Andrey] Moscow MV Lomonosov State Univ, Fac Soil Sci, Moscow 119991, Russia; [Fedorov-Davydov, Dmitry] Russian Acad Sci, Inst Physicochem &amp; Biol Problems Soil Sci, Pushchino 142290, Russia; [Pryakhin, Sergey] Arctic &amp; Antarctic Res Inst, St Petersburg 199397, Russia</t>
  </si>
  <si>
    <t>Institute of Geography, Russian Academy of Sciences; Russian Academy of Sciences; Lomonosov Moscow State University; Russian Academy of Sciences; Pushchino Scientific Center for Biological Research (PSCBI) of the Russian Academy of Sciences; Institute of Physicohemical &amp; Biological Problems of Soil Science; Arctic &amp; Antarctic Research Institute</t>
  </si>
  <si>
    <t>Mergelov, N (corresponding author), Russian Acad Sci, Inst Geog, Moscow 119017, Russia.</t>
  </si>
  <si>
    <t>mergelov@igras.ru</t>
  </si>
  <si>
    <t>Добрянский, Александр/AAG-6075-2021; Shorkunov, Ilia/A-4818-2014; Mergelov, Nikita S/D-2585-2015; Pryakhin, Sergey/AAC-3666-2022; Zazovskaya, Elya/J-4800-2018; Dolgikh, Andrey/D-2575-2015</t>
  </si>
  <si>
    <t>Pryakhin, Sergey/0000-0003-3687-6154; Zazovskaya, Elya/0000-0002-1202-657X; Dolgikh, Andrey/0000-0002-9316-9440; Akusev, Andrei/0000-0002-4058-2549; Dobrianskii, Aleksandr/0000-0003-2691-3898; Shorkunov, Ilia/0000-0003-2465-3893</t>
  </si>
  <si>
    <t>Russian Foundation for Basic Research [17-04-01475, 0148-2019-0006]; Moscow State University</t>
  </si>
  <si>
    <t>Russian Foundation for Basic Research(Russian Foundation for Basic Research (RFBR)Spanish Government); Moscow State University</t>
  </si>
  <si>
    <t>This study was funded by the Russian Foundation for Basic Research, Project No. 17-04-01475 (14C dating) and the state assignment scientific theme No. 0148-2019-0006 (all other results and discussion). This work was also supported by Moscow State University grant for Leading Scientific Schools Depository of the Living Systems in the frame of MSU Development Program. Authors are thankful to the Russian Antarctic Expedition that provided logistics support of the field studies and D.P Bliakharskii (Group of companies Geoscan), who helped to acquire UAV data.</t>
  </si>
  <si>
    <t>10.1038/s41598-020-67248-3</t>
  </si>
  <si>
    <t>MH4OY</t>
  </si>
  <si>
    <t>WOS:000546711700026</t>
  </si>
  <si>
    <t>Harrison, RG; Nicoll, KA; Mareev, E; Slyunyaev, N; Rycroft, MJ</t>
  </si>
  <si>
    <t>Harrison, R. Giles; Nicoll, Keri A.; Mareev, Evgeny; Slyunyaev, Nikolay; Rycroft, Michael J.</t>
  </si>
  <si>
    <t>Extensive layer clouds in the global electric circuit: their effects on vertical charge distribution and storage</t>
  </si>
  <si>
    <t>PROCEEDINGS OF THE ROYAL SOCIETY A-MATHEMATICAL PHYSICAL AND ENGINEERING SCIENCES</t>
  </si>
  <si>
    <t>atmospheric electricity; Earth system; global circuit; clouds; cosmic rays</t>
  </si>
  <si>
    <t>MODEL</t>
  </si>
  <si>
    <t>A fair-weather electric field has been observed near the Earth's surface for over two centuries. The field is sustained by charge generation in distant disturbed weather regions, through current flow in the global electric circuit. Conventionally, the fair-weather part of the global circuit has disregarded clouds, but extensive layer clouds, important to climate, are widespread globally. Such clouds are not electrically inert, becoming charged at their upper and lower horizontal boundaries from vertical current flow, in a new electrical regime-neither fair nor disturbed weather; hence it is described here as semi-fair weather. Calculations and measurements show the upper cloud boundary charge is usually positive, the cloud interior positive and the lower cloud boundary negative, with the upper charge density larger, but of the same magnitude (similar to nCm(-2)) as cloud base. Globally, the total positive charge stored by layer clouds is approximately 10(5)C, which, combined with the positive charge in the atmospheric column above the cloud up to the ionosphere, balances the total negative surface charge of the fair-weather regions. Extensive layer clouds are, therefore, an intrinsic aspect of the global circuit, and the resulting natural charging of their cloud droplets is a fundamental atmospheric feature.</t>
  </si>
  <si>
    <t>[Harrison, R. Giles; Nicoll, Keri A.] Univ Reading, Dept Meteorol, Reading RG6 6BB, Berks, England; [Harrison, R. Giles; Nicoll, Keri A.] Univ Bath, Dept Elect &amp; Elect Engn, Bath BA2 7AY, Avon, England; [Mareev, Evgeny; Slyunyaev, Nikolay] Russian Acad Sci, Inst Appl Phys, Nizhnii Novgorod 603950, Russia; [Rycroft, Michael J.] CAESAR Consultancy, 35 Millington Rd, Cambridge CB3 9HW, England</t>
  </si>
  <si>
    <t>University of Reading; University of Bath; Russian Academy of Sciences; Institute of Applied Physics of the Russian Academy of Sciences</t>
  </si>
  <si>
    <t>Nicoll, KA (corresponding author), Univ Reading, Dept Meteorol, Reading RG6 6BB, Berks, England.;Nicoll, KA (corresponding author), Univ Bath, Dept Elect &amp; Elect Engn, Bath BA2 7AY, Avon, England.</t>
  </si>
  <si>
    <t>k.a.nicoll@reading.ac.uk</t>
  </si>
  <si>
    <t>Harrison, RG/GWQ-8421-2022; Slyunyaev, Nikolay N/F-1080-2017; Mareev, Evgeny A/L-6035-2017; Nicoll, Keri/L-6106-2017</t>
  </si>
  <si>
    <t>Harrison, RG/0000-0003-0693-347X; Slyunyaev, Nikolay N/0000-0002-7384-2116; Rycroft, Michael/0000-0002-0305-5264; Nicoll, Keri/0000-0001-5580-6325</t>
  </si>
  <si>
    <t>Royal Society International Exchange project [IECR2170075]; UK (Russian Foundation for Basic Research project) [17-5510014]; NERC support through an Independent Research Fellowship [NE/L011514/1, NE/L011514/2]; NERC Collaborative Gearing Scheme; Russian Foundation for Basic Research [19-05-00975]; NERC [NE/N013689/1, NE/L011514/2, NE/L011514/1] Funding Source: UKRI</t>
  </si>
  <si>
    <t>Royal Society International Exchange project; UK (Russian Foundation for Basic Research project); NERC support through an Independent Research Fellowship(UK Research &amp; Innovation (UKRI)Natural Environment Research Council (NERC)); NERC Collaborative Gearing Scheme(UK Research &amp; Innovation (UKRI)Natural Environment Research Council (NERC)); Russian Foundation for Basic Research(Russian Foundation for Basic Research (RFBR)Spanish Government); NERC(UK Research &amp; Innovation (UKRI)Natural Environment Research Council (NERC))</t>
  </si>
  <si>
    <t>We acknowledge the support of a Royal Society International Exchange project (grant no. IECR2170075) between Russia and the UK (Russian Foundation for Basic Research project no. 17-5510014). K.A.N. acknowledges NERC support through an Independent Research Fellowship (grant nos. NE/L011514/1 and NE/L011514/2) and an NERC Collaborative Gearing Scheme grant with the British Antarctic Survey to host the Halley field mill, and thanks the Sodankyla Geophysical Observatory for hosting the Sodankyla field mill. E.M. acknowledges partial support from the Russian Foundation for Basic Research grant no. 19-05-00975.</t>
  </si>
  <si>
    <t>1364-5021</t>
  </si>
  <si>
    <t>1471-2946</t>
  </si>
  <si>
    <t>P ROY SOC A-MATH PHY</t>
  </si>
  <si>
    <t>Proc. R. Soc. A-Math. Phys. Eng. Sci.</t>
  </si>
  <si>
    <t>10.1098/rspa.2019.0758</t>
  </si>
  <si>
    <t>LW7CC</t>
  </si>
  <si>
    <t>Green Published, Green Accepted, hybrid, Green Submitted</t>
  </si>
  <si>
    <t>WOS:000539300100005</t>
  </si>
  <si>
    <t>Petratos, K; Gessmann, R; Daskalakis, V; Papadovasilaki, M; Papanikolau, Y; Tsigos, I; Bouriotis, V</t>
  </si>
  <si>
    <t>Petratos, Kyriacos; Gessmann, Renate; Daskalakis, Vangelis; Papadovasilaki, Maria; Papanikolau, Yannis; Tsigos, Iason; Bouriotis, Vassilis</t>
  </si>
  <si>
    <t>Structure and Dynamics of a Thermostable Alcohol Dehydrogenase from the Antarctic Psychrophile Moraxella sp. TAE123</t>
  </si>
  <si>
    <t>ACS OMEGA</t>
  </si>
  <si>
    <t>MOLECULAR-DYNAMICS; COLD; PURIFICATION; ENZYMES; SOLVER</t>
  </si>
  <si>
    <t>The structure of a recombinant (His-tagged at C-terminus) alcohol dehydrogenase (MoADH) from the cold-adapted bacterium Moraxella sp. TAE123 has been refined with X-ray diffraction data extending to 1.9 angstrom resolution. The enzyme assumes a homo-tetrameric structure. Each subunit comprises two distinct structural domains: the catalytic domain (residues 1-150 and 288-340/345) and the nucleotide-binding domain (residues 151-287). There are two Zn2+ ions in each protein subunit. Two additional zinc ions have been found in the crystal structure between symmetry-related subunits. The structure has been compared with those of homologous enzymes from Geobacillus stearothermophilus (GsADH), Escherichia coli (EcADH), and Thermus sp. ATN1 (ThADH) that thrive in environments of diverse temperatures. Unexpectedly, MoADH has been found active from 10 to at least 53 degrees C and unfolds at 89 degrees C according to circular dichroism spectropolarimetry data. MoADH with substrate ethanol exhibits a small value of activation enthalpy Delta H(Sic) of 30 kJ mol(-1). Molecular dynamics simulations for single subunits of the closely homologous enzymes MoADH and GsADH performed at 280, 310, and 340 K showed enhanced wide-ranging mobility of MoADH at high temperatures and generally lower but more distinct and localized mobility for GsADH. Principal component analysis of the fluctuations of both ADHs resulted in a prominent open- close transition of the structural domains mainly at 280 K for MoADH and 340 K for GsADH. In conclusion, MoADH is a very thermostable, cold-adapted enzyme and the small value of activation enthalpy allows the enzyme to function adequately at low temperatures.</t>
  </si>
  <si>
    <t>[Petratos, Kyriacos; Gessmann, Renate; Papadovasilaki, Maria; Papanikolau, Yannis; Tsigos, Iason; Bouriotis, Vassilis] Fdn Res &amp; Technol Hellas, Inst Mol Biol &amp; Biotechnol, Iraklion 70013, Greece; [Daskalakis, Vangelis] Cyprus Univ Technol, Dept Chem Engn, CY-3603 Limassol, Cyprus; [Bouriotis, Vassilis] Univ Crete, Dept Biol, Iraklion 70013, Greece</t>
  </si>
  <si>
    <t>Foundation for Research &amp; Technology - Hellas (FORTH); Cyprus University of Technology; University of Crete</t>
  </si>
  <si>
    <t>Petratos, K (corresponding author), Fdn Res &amp; Technol Hellas, Inst Mol Biol &amp; Biotechnol, Iraklion 70013, Greece.</t>
  </si>
  <si>
    <t>petratos@imbb.forth.gr</t>
  </si>
  <si>
    <t>Petratos, Kyriacos/AAV-9957-2021; Daskalakis, Vangelis/G-9890-2018</t>
  </si>
  <si>
    <t>Petratos, Kyriacos/0000-0003-0876-1835; Daskalakis, Vangelis/0000-0001-8870-0850</t>
  </si>
  <si>
    <t>Cyprus University of Technology (CUT) [17b101]</t>
  </si>
  <si>
    <t>Cyprus University of Technology (CUT)</t>
  </si>
  <si>
    <t>A start-up fund by the Cyprus University of Technology (CUT) and a grant (project no. 17b101) were provided to V.D. for the use of the local cluster at CUT (lab of Computational Environmental Modelling) and the Cy-Tera resource in the Cyprus Institute (CyI) under the Eastern Mediterranean/Cy-Tera High Performance Computing (HPC) facility, respectively. European Molecular Biology Laboratory (EMBL), Grenoble Outstation, provided support to K.P. and Y.P. for the measurements at the European Synchrotron Radiation Facility (ESRF) under the European Community Research Infrastructure Action FP6 program.</t>
  </si>
  <si>
    <t>2470-1343</t>
  </si>
  <si>
    <t>ACS Omega</t>
  </si>
  <si>
    <t>JUN 23</t>
  </si>
  <si>
    <t>10.1021/acsomega.0c01210</t>
  </si>
  <si>
    <t>Chemistry, Multidisciplinary</t>
  </si>
  <si>
    <t>MD1MY</t>
  </si>
  <si>
    <t>WOS:000543740600035</t>
  </si>
  <si>
    <t>Geuer, JK; Trimborn, S; Koch, F; Brenneis, T; Krock, B; Koch, BP</t>
  </si>
  <si>
    <t>Geuer, Jana K.; Trimborn, Scarlett; Koch, Florian; Brenneis, Tina; Krock, Bernd; Koch, Boris P.</t>
  </si>
  <si>
    <t>Dissolved Domoic Acid Does Not Improve Growth Rates and Iron Content in Iron-Stressed Pseudo-Nitzschia subcurvata</t>
  </si>
  <si>
    <t>Antarctica; copper; incubation experiment; diatoms (Bacillariophyceae); phytoplankton; toxin; high nutrient low chlorophyll regions</t>
  </si>
  <si>
    <t>SOUTHERN-OCEAN PHYTOPLANKTON; INDUCTIVELY-COUPLED PLASMA; ELEMENTAL STOICHIOMETRY; ANTARCTIC PENINSULA; PHOTOSYNTHETIC APPARATUS; PHAEOCYSTIS-ANTARCTICA; LIQUID-CHROMATOGRAPHY; MASS SPECTROMETRY; DRAKE PASSAGE; TRACE-METALS</t>
  </si>
  <si>
    <t>Many regions of Antarctica are classified as high nutrient low chlorophyll (HNLC) areas. In these, iron availability is limiting primary productivity and subsequent carbon export. Domoic acid (DA) has previously been detected in the Southern Ocean and suggested to act as a ligand that facilitates iron assimilation for Pseudo-nitzschia spp., species that contribute to Antarctic diatom blooms. An incubation experiment using the Antarctic species Pseudo-nitzschia subcurvata was performed in Antarctic seawater at low and high iron concentrations. Dissolved DA was added to one set of each of the two treatments. This was done to verify whether DA positively affects the growth of the non-toxic species Pseudo-nitzschia subcurvata and increases its cellular iron content, particularly under low iron conditions. We hypothesize that (i) DA is taken up under low iron conditions (ii) that more iron is taken up if DA is available and (iii) that the growth rate increases in the presence of DA. We showed that P. subcurvata did not take up any added DA, even under low iron conditions. Additionally and contrary to our hypothesis, the cells were not positively influenced by the addition of dissolved DA in terms of growth rate, cellular iron and carbon content. Hence, there was no significant difference in iron content between the different treatments. However, the cellular copper content increased under low iron conditions when DA was added. This study suggests that dissolved DA in naturally occurring concentrations does not increase bioavailability of iron to P. subcurvata and that only species producing DA might benefit from it.</t>
  </si>
  <si>
    <t>[Geuer, Jana K.; Trimborn, Scarlett; Koch, Florian; Brenneis, Tina; Krock, Bernd; Koch, Boris P.] Helmholtz Ctr Polar &amp; Marine Res, Alfred Wegener Inst, Bremerhaven, Germany; [Trimborn, Scarlett] Univ Bremen, Marine Bot, Bremen, Germany; [Koch, Florian; Koch, Boris P.] Univ Appl Sci Bremerhaven, Dept Technol, Bremerhaven, Germany</t>
  </si>
  <si>
    <t>Geuer, JK (corresponding author), Helmholtz Ctr Polar &amp; Marine Res, Alfred Wegener Inst, Bremerhaven, Germany.</t>
  </si>
  <si>
    <t>jana.geuer@awi.de</t>
  </si>
  <si>
    <t>Trimborn, Scarlett/AAM-1061-2021; Koch, Boris/B-2784-2009; Krock, Bernd/ABB-7541-2020; Geuer, Jana/AAZ-2217-2020</t>
  </si>
  <si>
    <t>Trimborn, Scarlett/0000-0003-1434-9927; Koch, Boris/0000-0002-8453-731X; Geuer, Jana/0000-0002-9663-5072; Koch, Florian/0000-0001-7107-4160</t>
  </si>
  <si>
    <t>strategy fund of the Alfred Wegener Institute Helmholtz Centre for Polar and Marine Research [IP76010001]; Helmholtz Association (HGF Young Investigators Group EcoTrace) [VH-NG-901]; Deutsche Forschungsgemeinschaft [SPP1158, KO5563/1-1]</t>
  </si>
  <si>
    <t>strategy fund of the Alfred Wegener Institute Helmholtz Centre for Polar and Marine Research; Helmholtz Association (HGF Young Investigators Group EcoTrace); Deutsche Forschungsgemeinschaft(German Research Foundation (DFG))</t>
  </si>
  <si>
    <t>JG, BK, and BPK were funded by the strategy fund of the Alfred Wegener Institute Helmholtz Centre for Polar and Marine Research in the framework of the project Inorganics in organics: Chemical and biological controls on micronutrient and carbon fluxes in the polar ocean (Koch; IP76010001). ST, TB, and FK were funded by the Helmholtz Association (HGF Young Investigators Group EcoTrace, VH-NG-901). FK was furthermore supported by the Deutsche Forschungsgemeinschaft (SPP1158, KO5563/1-1ViTMeD).</t>
  </si>
  <si>
    <t>10.3389/fmars.2020.00478</t>
  </si>
  <si>
    <t>MA2FV</t>
  </si>
  <si>
    <t>WOS:000541732900001</t>
  </si>
  <si>
    <t>Perry, FA; Kawaguchi, S; Atkinson, A; Sailley, SF; Tarling, GA; Mayor, DJ; Lucas, CH; King, R; Cooper, A</t>
  </si>
  <si>
    <t>Perry, Frances A.; Kawaguchi, So; Atkinson, Angus; Sailley, Sevrine F.; Tarling, Geraint A.; Mayor, Daniel J.; Lucas, Cathy H.; King, R.; Cooper, A.</t>
  </si>
  <si>
    <t>Temperature-Induced Hatch Failure and Nauplii Malformation in Antarctic Krill</t>
  </si>
  <si>
    <t>Antarctic krill; hatching success; nauplii; malformation; temperature</t>
  </si>
  <si>
    <t>EUPHAUSIA-SUPERBA DANA; NATURAL GROWTH-RATES; LARVAL DEVELOPMENT; FOOD-WEB; LABORATORY OBSERVATIONS; AUSTRAL SUMMER; SOUTH GEORGIA; SCOTIA SEA; VARIABILITY; FECUNDITY</t>
  </si>
  <si>
    <t>Antarctic krill inhabit areas of the Southern Ocean that can exceed 4.0 degrees C, yet they preferentially inhabit regions with temperatures of -1.5 to &lt;= 1.5 degrees C. Successful embryonic development and hatching are key to their life cycle, but despite the rapid climatic warming seen across their main spawning areas, the effects of elevated temperatures on embryogenesis, hatching success, and nauplii malformations are unknown. We incubated 24,483 krill embryos in two independent experiments to investigate the hypothesis that temperatures exceeding 1.5 degrees C have a negative impact on hatching success and increase the numbers of malformed nauplii. Field experiments were on krill collected from near the northern, warm limit of their range and embryos incubated soon after capture, while laboratory experiments were on embryos from krill acclimated to laboratory conditions. The hatching success of embryo batches varied enormously, from 0 to 98% (mean 27%). Both field and laboratory experiments showed that hatching success decreased markedly above 3.0 degrees C. Our field experiments also showed an approximate doubling of the percentage of malformed nauplii at elevated temperatures, reaching 50% at 5.0 degrees C. At 3.0 degrees C or below, however, temperature was not the main factor driving the large variation in embryo hatching success. Our observations of highly variable and often low success of hatching to healthy nauplii suggest that indices of reproductive potential of female krill relate poorly to the subsequent production of viable krill larvae and may help to explain spatial discrepancies between the distribution of the spawning stock and larval distribution.</t>
  </si>
  <si>
    <t>[Perry, Frances A.; Atkinson, Angus; Sailley, Sevrine F.] Plymouth Marine Lab, Plymouth, Devon, England; [Kawaguchi, So; King, R.; Cooper, A.] Australian Antarctic Div, Dept Agr Water &amp; Environm, Kingston, ON, Canada; [Kawaguchi, So; King, R.] Univ Tasmania, Australian Antarctic Program Partnership, Hobart, Tas, Australia; [Tarling, Geraint A.] British Antarctic Survey, Nat Environm Res Council, Cambridge, England; [Mayor, Daniel J.] Natl Oceanog Ctr Southampton, Southampton, Hants, England; [Lucas, Cathy H.] Univ Southampton, Natl Oceanog Ctr Southampton, Southampton, Hants, England</t>
  </si>
  <si>
    <t>Plymouth Marine Laboratory; Australian Antarctic Division; University of Tasmania; UK Research &amp; Innovation (UKRI); Natural Environment Research Council (NERC); NERC British Antarctic Survey; NERC National Oceanography Centre; University of Southampton; University of Southampton; NERC National Oceanography Centre</t>
  </si>
  <si>
    <t>Perry, FA (corresponding author), Plymouth Marine Lab, Plymouth, Devon, England.</t>
  </si>
  <si>
    <t>frpe@pml.ac.uk</t>
  </si>
  <si>
    <t>Atkinson, Angus/HOH-3417-2023; Mayor, Daniel/HDN-8520-2022</t>
  </si>
  <si>
    <t>Mayor, Daniel/0000-0002-1295-0041; King, Robert/0000-0002-4650-2335</t>
  </si>
  <si>
    <t>Natural Environment Research Council (NERC) [NE/L002531/1]; Natural Environment Research Council, United Kingdom (DIAPOD) [NE/P0063513/1]; World Wildlife Fund; Australian Antarctic Program Projects [4037, 4512]; NERC [pml010004, pml010006, noc010009, pml010009, pml010010, bas0100035, NE/R015953/1] Funding Source: UKRI</t>
  </si>
  <si>
    <t>Natural Environment Research Council (NERC)(UK Research &amp; Innovation (UKRI)Natural Environment Research Council (NERC)); Natural Environment Research Council, United Kingdom (DIAPOD); World Wildlife Fund; Australian Antarctic Program Projects; NERC(UK Research &amp; Innovation (UKRI)Natural Environment Research Council (NERC))</t>
  </si>
  <si>
    <t>This work was supported by the Natural Environment Research Council (NERC) (grant number NE/L002531/1) to FP. GT contributed to this work as part of the Ecosystems program at the British Antarctic Survey. DM received funding from the Natural Environment Research Council, United Kingdom (DIAPOD; NE/P0063513/1). AA was supported by the World Wildlife Fund. SK, RK, and AC were supported by Australian Antarctic Program Projects 4037 and 4512.</t>
  </si>
  <si>
    <t>10.3389/fmars.2020.00501</t>
  </si>
  <si>
    <t>MA2GD</t>
  </si>
  <si>
    <t>WOS:000541733700001</t>
  </si>
  <si>
    <t>Kennedy, F; Martin, A; McMinn, A</t>
  </si>
  <si>
    <t>Kennedy, Fraser; Martin, Andrew; McMinn, Andrew</t>
  </si>
  <si>
    <t>Insights into the Production and Role of Nitric Oxide in the Antarctic Sea-ice Diatom Fragilariopsis cylindrus</t>
  </si>
  <si>
    <t>Article; Early Access</t>
  </si>
  <si>
    <t>Antarctic; Fragilariopsis cylindrus; microelectrodes; microfluidics; nitric oxide; sea-ice</t>
  </si>
  <si>
    <t>PHOTOSYNTHETIC EFFICIENCY; NO; FLUORESCENCE; GENERATION; COMPONENTS; RESPONSES; PATHWAY; NITRATE; GROWTH; PLANTS</t>
  </si>
  <si>
    <t>Nitric oxide (NO) is widely recognized as an important transmitter molecule in biological systems, from animals to plants and microbes. However, the role of NO in marine photosynthetic microbes remains unclear and even less is known about the role of this metabolite in Antarctic sea-ice diatoms. Using a combination of microsensors, microfluidic chambers, and artificial sea-ice tanks, a basic mechanistic insight into NO's dynamics within the Antarctic sea-ice diatomFragilariopsis cylindruswas obtained. Results suggest that NO production inF. cylindrusis nitrite-dependent via nitrate reductase. NO production was abolished upon exposure to light but could be induced in the light when normal photosynthetic electron flow was disrupted. The addition of exogenous NO to cellular suspensions ofF. cylindrusnegatively influenced growth, disrupted photosynthesis, and altered non-photochemical dissipation mechanisms. NO production was also observed when cells were exposed to stressful salinity and temperature regimes. These results suggest that during periods of environmental stress, NO could be produced inF. cylindrusas a stress signa molecule.</t>
  </si>
  <si>
    <t>[Kennedy, Fraser; Martin, Andrew; McMinn, Andrew] Univ Tasmania, Inst Marine &amp; Antarctic Studies, Hobart, Tas, Australia</t>
  </si>
  <si>
    <t>Kennedy, F (corresponding author), Univ Tasmania, Inst Marine &amp; Antarctic Studies, Hobart, Tas, Australia.</t>
  </si>
  <si>
    <t>f.c.kennedy@utas.edu.au</t>
  </si>
  <si>
    <t>McMinn, Andrew/A-9910-2008; Kennedy, Fraser/M-5145-2019</t>
  </si>
  <si>
    <t>Kennedy, Fraser/0000-0003-1796-0764</t>
  </si>
  <si>
    <t>Australian Research Council's Special Research Initiative for Antarctic Gateway Partnership [SR140300001]</t>
  </si>
  <si>
    <t>Australian Research Council's Special Research Initiative for Antarctic Gateway Partnership(Australian Research Council)</t>
  </si>
  <si>
    <t>This research was supported under Australian Research Council's Special Research Initiative for Antarctic Gateway Partnership (Project ID SR140300001).</t>
  </si>
  <si>
    <t>2020 JUN 23</t>
  </si>
  <si>
    <t>10.1111/jpy.13027-19-164</t>
  </si>
  <si>
    <t>MA5DA</t>
  </si>
  <si>
    <t>WOS:000541932500001</t>
  </si>
  <si>
    <t>Dionnet, Z; Suttle, MD; Longobardo, A; Rotundi, A; Folco, L; Della Corte, V; King, A</t>
  </si>
  <si>
    <t>Dionnet, Zelia; Suttle, Martin D.; Longobardo, Andrea; Rotundi, Alessandra; Folco, Luigi; Della Corte, Vincenzo; King, Andrew</t>
  </si>
  <si>
    <t>X-ray computed tomography: Morphological and porosity characterization of giant Antarctic micrometeorites</t>
  </si>
  <si>
    <t>FINE-GRAINED MICROMETEORITES; AQUEOUS ALTERATION; ATMOSPHERIC ENTRY; SYNCHROTRON MICROTOMOGRAPHY; CARBONACEOUS CHONDRITE; SIZE DISTRIBUTION; DUST; MINERALOGY; CLASSIFICATION; DEFORMATION</t>
  </si>
  <si>
    <t>Giant micrometeorites (MMs; 400-2000 mu m) are exceedingly rare and scientifically valuable. Three-dimensional nondestructive characterization by X-ray computed tomography (X-CT) provides information on the petrography and thus petrogenesis of MMs and serves as a guide to maximize subsequent multi-analytical studies on such precious planetary materials. Here, we discuss the results obtained by X-CT on 22 giant MMs and the classification based on their 3-D density contrast images. Scoriaceous and unmelted MMs have distinct porosity ranges (10-40 vol% versus 0-25 vol%, respectively). We observe a porosity variation inside scoriaceous MMs, which allows their atmospheric entry flight history to be resolved. For the first time, spinning entry is explicitly demonstrated for four partially melted MMs. Furthermore, we are able to resolve the thermal gradient in a single particle, based on porosity variation (seen as a progressive increase in pore abundance and size with higher peak temperatures). Moreover, we explore parent body alteration through the 3-D analysis of pores distribution, showing that shock fabrics are either absent or weakly developed in our data set. Finally, owing to the detection of pseudomorphic chondrules, we estimate that the intensively aqueously altered C1 or CI-like material could represent 18% of the MM flux at this size fraction (400-1000 mu m).</t>
  </si>
  <si>
    <t>[Dionnet, Zelia; Longobardo, Andrea; Rotundi, Alessandra] Univ Napoli Parthenope, DIST, Ctr Direz Isola C4, I-80143 Naples, Italy; [Dionnet, Zelia; Longobardo, Andrea; Rotundi, Alessandra; Della Corte, Vincenzo] INAF, IAPS, Via Fosso del Cavaliere 100, I-00133 Rome, Italy; [Suttle, Martin D.; Folco, Luigi] Univ Pisa, Dipartimento Sci Terra, VS Maria 53, I-56126 Pisa, Italy; [Suttle, Martin D.; Folco, Luigi] Nat Hist Museum, Dept Earth Sci, Planetary Mat Grp, Cromwell Rd, London SW7 5BD, England; [Suttle, Martin D.] Univ Pisa, Ctr Integraz Strumentaz, Pisa, Italy; [King, Andrew] Synchrotron SOLEIL, PSICHE Beamline, Gif Sur Yvette, France</t>
  </si>
  <si>
    <t>Parthenope University Naples; Istituto Nazionale Astrofisica (INAF); University of Pisa; Natural History Museum London; University of Pisa; SOLEIL Synchrotron</t>
  </si>
  <si>
    <t>Dionnet, Z (corresponding author), Univ Napoli Parthenope, DIST, Ctr Direz Isola C4, I-80143 Naples, Italy.;Dionnet, Z (corresponding author), INAF, IAPS, Via Fosso del Cavaliere 100, I-00133 Rome, Italy.</t>
  </si>
  <si>
    <t>zelia.dionnet@uniparthenope.it</t>
  </si>
  <si>
    <t>king, Andrew/JJF-7846-2023; Folco, Luigi/AAB-8586-2021</t>
  </si>
  <si>
    <t>Folco, Luigi/0000-0002-7276-3483; Della Corte, Vincenzo/0000-0001-6461-5803; Suttle, Martin/0000-0001-7165-2215; Zelia, Dionnet/0000-0002-3679-6333; Longobardo, Andrea/0000-0002-1797-2741</t>
  </si>
  <si>
    <t>MIUR [PNRA16-00029, PRIN2015-20158W4JZ7]; Italian Space Agency within the ASI-INAF [I/032/05/0, I/024/12/0]; STFC (Science and Technology Facilities Council) [ST/R000727/1]; STFC [ST/R000727/1] Funding Source: UKRI</t>
  </si>
  <si>
    <t>MIUR(Ministry of Education, Universities and Research (MIUR)); Italian Space Agency within the ASI-INAF(Agenzia Spaziale Italiana (ASI)); STFC (Science and Technology Facilities Council)(UK Research &amp; Innovation (UKRI)Science &amp; Technology Facilities Council (STFC)); STFC(UK Research &amp; Innovation (UKRI)Science &amp; Technology Facilities Council (STFC))</t>
  </si>
  <si>
    <t>MM research at Pisa University and at Napoli Parthenope University is supported by MIUR: PNRA16-00029 and PRIN2015-20158W4JZ7. Zelia Dionnet was also supported by the Italian Space Agency within the ASI-INAF agreements I/032/05/0 and I/024/12/0. Martin Suttle was also supported by STFC (Science and Technology Facilities Council) on grant no. ST/R000727/1. We acknowledge SOLEIL for provision of synchrotron radiation facilities. We thank the astrochimie team of IAS (especially Rosario Brunetto, Zahia Djouadi, and Alice Aleon-Toppani) for fruitful discussion and advice during the measurement session. We thank M. Genge and G. Flynn for their constructive comments on the manuscript during review.</t>
  </si>
  <si>
    <t>10.1111/maps.13533</t>
  </si>
  <si>
    <t>WOS:000541922500001</t>
  </si>
  <si>
    <t>John, MS; Nagoth, JA; Ramasamy, KP; Ballarini, P; Mozzicafreddo, M; Mancini, A; Telatin, A; Liò, P; Giuli, G; Natalello, A; Miceli, C; Pucciarelli, S</t>
  </si>
  <si>
    <t>John, Maria Sindhura; Nagoth, Joseph Amruthraj; Ramasamy, Kesava Priyan; Ballarini, Patrizia; Mozzicafreddo, Matteo; Mancini, Alessio; Telatin, Andrea; Lio, Pietro; Giuli, Gabriele; Natalello, Antonino; Miceli, Cristina; Pucciarelli, Sandra</t>
  </si>
  <si>
    <t>Horizontal gene transfer and silver nanoparticles production in a new Marinomonas strain isolated from the Antarctic psychrophilic ciliate Euplotes focardii</t>
  </si>
  <si>
    <t>THERMAL-ADAPTATION; SP-NOV.; BACTERIA; IDENTIFICATION; GENERATION; CILIOPHORA; SEQUENCE; CONTAIN; TUBULIN; PROTEIN</t>
  </si>
  <si>
    <t>We isolated a novel bacterial strain from a prokaryotic consortium associated to the psychrophilic marine ciliate Euplotes focardii, endemic of the Antarctic coastal seawater. The 16S rDNA sequencing and the phylogenetic analysis revealed the close evolutionary relationship to the Antarctic marine bacterium Marinomonas sp. BSw10506 and the sub antarctic Marinomonas polaris. We named this new strain Marinomonas sp. ef1. The optimal growth temperature in LB medium was 22 degrees C. Whole genome sequencing and analysis showed a reduced gene loss limited to regions encoding for transposases. Additionally, five genomic islands, e.g. DNA fragments that facilitate horizontal gene transfer phenomena, were identified. Two open reading frames predicted from the genomic islands coded for enzymes belonging to the Nitro-FMN-reductase superfamily. One of these, the putative NAD(P)H nitroreductase YfkO, has been reported to be involved in the bioreduction of silver (Ag) ions and the production of silver nanoparticles (AgNPs). After the Marinomonas sp. ef1 biomass incubation with 1mM of AgNO3 at 22 degrees C, we obtained AgNPs within 24h. The AgNPs were relatively small in size (50nm) and had a strong antimicrobial activity against twelve common nosocomial pathogenic microorganisms including Staphylococcus aureus and two Candida strains. To our knowledge, this is the first report of AgNPs biosynthesis by a Marinomonas strain. This biosynthesis may play a dual role in detoxification from silver nitrate and protection from pathogens for the bacterium and potentially for the associated ciliate. Biosynthetic AgNPs also represent a promising alternative to conventional antibiotics against common pathogens.</t>
  </si>
  <si>
    <t>[John, Maria Sindhura; Nagoth, Joseph Amruthraj; Ramasamy, Kesava Priyan; Ballarini, Patrizia; Mozzicafreddo, Matteo; Mancini, Alessio; Miceli, Cristina; Pucciarelli, Sandra] Univ Camerino, Sch Biosci &amp; Vet Med, Via Gentile III da Varano 1, I-62032 Camerino, Italy; [Telatin, Andrea] Gut Microbes &amp; Hlth Inst, Quadram Inst Biosci, Strateg Program, Norwich Res Pk, Norwich, Norfolk, England; [Lio, Pietro] Univ Cambridge, Comp Lab, 15 JJ Thomson Ave, Cambridge, England; [Giuli, Gabriele] Univ Camerino, Sch Sci &amp; Technol, Via Gentile III da Varano 1, I-62032 Camerino, Italy; [Natalello, Antonino] Univ Milano Bicocca, Dept Biotechnol &amp; Biosci, Piazza Sci 2, I-20126 Milan, Italy</t>
  </si>
  <si>
    <t>University of Camerino; UK Research &amp; Innovation (UKRI); Biotechnology and Biological Sciences Research Council (BBSRC); Quadram Institute; University of Cambridge; University of Camerino; University of Milano-Bicocca</t>
  </si>
  <si>
    <t>Pucciarelli, S (corresponding author), Univ Camerino, Sch Biosci &amp; Vet Med, Via Gentile III da Varano 1, I-62032 Camerino, Italy.</t>
  </si>
  <si>
    <t>sandra.pucciarelli@unicam.it</t>
  </si>
  <si>
    <t>Telatin, Andrea/I-7438-2013; Mozzicafreddo, M./AAW-2816-2021; Natalello, Antonino/B-9659-2012; P. Lió, Pietro Lio/AAV-3358-2021</t>
  </si>
  <si>
    <t>Telatin, Andrea/0000-0001-7619-281X; Mozzicafreddo, M./0000-0001-9835-8446; Natalello, Antonino/0000-0002-1489-272X; P. Lió, Pietro Lio/0000-0002-0540-5053; Mancini, Alessio/0000-0002-4388-3769; Nagoth, Joseph Amruthraj/0000-0002-8230-2365; RAMASAMY, KESAVA PRIYAN/0000-0003-0276-2239; John, Maria Sindhura/0000-0003-0745-9968</t>
  </si>
  <si>
    <t>European Commission Marie Sklodowska-Curie Actions H2020 RISE Metable [645693]; Fondi di Ateneo per la Ricerca (FAR-UNICAM)2014-2015; MRC CLIMB BIG DATA grant [MR/T030062/1]; MRC [MR/T030062/1] Funding Source: UKRI; Marie Curie Actions (MSCA) [645693] Funding Source: Marie Curie Actions (MSCA)</t>
  </si>
  <si>
    <t>European Commission Marie Sklodowska-Curie Actions H2020 RISE Metable; Fondi di Ateneo per la Ricerca (FAR-UNICAM)2014-2015; MRC CLIMB BIG DATA grant; MRC(UK Research &amp; Innovation (UKRI)Medical Research Council UK (MRC)); Marie Curie Actions (MSCA)(Marie Curie Actions)</t>
  </si>
  <si>
    <t>This work was supported by the European Commission Marie Sklodowska-Curie Actions H2020 RISE Metable - 645693 and by Fondi di Ateneo per la Ricerca (FAR-UNICAM) 2014-2015. We are grateful to prof Ilidio Correia, Faculty of Health Sciences, Universidade da Beira Interior, CovilhA (Portugal), for the support in the silver nanoparticles analysis. The results of this paper are reported in the patent number 102019000014121 submitted in 06/08/2019. Marinomonas sp. ef1 strain has been deposited at the Istituto Zooprofilattico Sperimentale della Lombardia e dell'Emilia Romagna Bruno Ubertini - IZSLER according to the Budapest treaty under the Access No. DPS RE RSCIC 17 in 08/05/2019. The annotation web server is supported by the MRC CLIMB BIG DATA grant MR/T030062/1.</t>
  </si>
  <si>
    <t>10.1038/s41598-020-66878-x</t>
  </si>
  <si>
    <t>MD5FD</t>
  </si>
  <si>
    <t>WOS:000543994900055</t>
  </si>
  <si>
    <t>Spaet, JLY; Patterson, TA; Bradford, RW; Butcher, PA</t>
  </si>
  <si>
    <t>Spaet, Julia L. Y.; Patterson, Toby A.; Bradford, Russell W.; Butcher, Paul A.</t>
  </si>
  <si>
    <t>Spatiotemporal distribution patterns of immature Australasian white sharks (Carcharodon carcharias)</t>
  </si>
  <si>
    <t>MOVEMENT PATTERNS; GALEOCERDO-CUVIER; HABITAT USE; SWIMMING BEHAVIOR; NEPTUNE ISLANDS; MIGRATION; TELEMETRY; ACCURACY; ECOLOGY; NICHE</t>
  </si>
  <si>
    <t>In Australian and New Zealand waters, current knowledge on white shark (Carcharodon carcharias) movement ecology is based on individual tracking studies using relatively small numbers of tags. These studies describe a species that occupies highly variable and complex habitats. However, uncertainty remains as to whether the proposed movement patterns are representative of the wider population. Here, we tagged 103 immature Australasian white sharks (147-350cm fork length) with both acoustic and satellite transmitters to expand our current knowledge of population linkages, spatiotemporal dynamics and coastal habitats. Eighty-three sharks provided useable data. Based on individual tracking periods of up to 5 years and a total of 2,865 days of tracking data, we were able to characterise complex movement patterns over similar to 45 degrees of latitude and similar to 72 degrees of longitude and distinguish regular/recurrent patterns from occasional/exceptional migration events. Shark movements ranged from Papua New Guinea to sub-Antarctic waters and to Western Australia, highlighting connectivity across their entire Australasian range. Results over the 12-year study period yielded a comprehensive characterisation of the movement ecology of immature Australasian white sharks across multiple spatial scales and substantially expanded the body of knowledge available for population assessment and management.</t>
  </si>
  <si>
    <t>[Spaet, Julia L. Y.] Univ Cambridge, Dept Zool, Evolutionary Ecol Grp, Downing St, Cambridge CB2 3EJ, England; [Spaet, Julia L. Y.; Butcher, Paul A.] Southern Cross Univ, Coffs Harbour, NSW 2450, Australia; [Patterson, Toby A.; Bradford, Russell W.] CSIRO Oceans &amp; Atmosphere, Hobart, Tas 7004, Australia; [Butcher, Paul A.] NSW Fisheries, NSW Dept Primary Ind, Natl Marine Sci Ctr, Coffs Harbour, NSW 2450, Australia</t>
  </si>
  <si>
    <t>University of Cambridge; Southern Cross University; Commonwealth Scientific &amp; Industrial Research Organisation (CSIRO); Southern Cross University; NSW Department of Primary Industries</t>
  </si>
  <si>
    <t>Spaet, JLY (corresponding author), Univ Cambridge, Dept Zool, Evolutionary Ecol Grp, Downing St, Cambridge CB2 3EJ, England.;Spaet, JLY (corresponding author), Southern Cross Univ, Coffs Harbour, NSW 2450, Australia.</t>
  </si>
  <si>
    <t>jlys3@cam.ac.uk</t>
  </si>
  <si>
    <t>Patterson, Toby A/B-3836-2011; Butcher, Paul/T-4367-2019; Bradford, Russell/N-3442-2015; Spaet, Julia/A-4263-2015</t>
  </si>
  <si>
    <t>Butcher, Paul/0000-0001-7338-6037; Bradford, Russell/0000-0003-0291-3180; Spaet, Julia/0000-0001-8703-1472</t>
  </si>
  <si>
    <t>New South Wales Department of Primary Industries (NSW DPI); NSW DPI; Southern Cross University (SCU); Marine Ecology Research Centre, SCU; Marine Biodiversity Hub through the Australian Government's National Environmental Science Program (NESP); NSW Shark Management Strategy; CSIRO Oceans and Atmosphere</t>
  </si>
  <si>
    <t>Project funding and support was provided by the New South Wales Department of Primary Industries (NSW DPI) and associated NSW Shark Management Strategy, CSIRO Oceans and Atmosphere and from the Marine Biodiversity Hub through the Australian Government's National Environmental Science Program (NESP). J.L.Y.S. received financial support through NSW DPI, Southern Cross University (SCU) and the Marine Ecology Research Centre, SCU. We are grateful for data and infrastructure support provided by VEMCO, part of INNOVASEA, Hugh Pederson, Charlie Huveneers, Carley Fitzpatrick, the West Australian Department of Primary Industries and Regional Development, the NSW DPI aquaculture, recreational fisheries program, lobster, resource assessment, SEACAMS and Shark Management Strategy teams, Craig Brand and Chris Gallen and the Australian Government support of the Integrated Marine Observing System's Animal Tracking Facility (IMOS ATF).</t>
  </si>
  <si>
    <t>10.1038/s41598-020-66876-z</t>
  </si>
  <si>
    <t>Green Submitted, Green Published, gold</t>
  </si>
  <si>
    <t>WOS:000543994900006</t>
  </si>
  <si>
    <t>Yoo, H; Thi, VAL; Karanovic, I</t>
  </si>
  <si>
    <t>Yoo, Hyunsu; Thi, Van Anh Le; Karanovic, Ivana</t>
  </si>
  <si>
    <t>Two Paradoxostomatidae (Ostracoda) species from South Korea with a key to genera of the family</t>
  </si>
  <si>
    <t>ZOOKEYS</t>
  </si>
  <si>
    <t>Biodiversity; Cytheroisinae; East Asia; taxonomy</t>
  </si>
  <si>
    <t>CRUSTACEA; SEA</t>
  </si>
  <si>
    <t>Cytherois gajinensis sp. nov. is described and Violacytherois sargassicola (Hiruta, 1976) is redescribed. The species have been collected from littoral and interstitial waters in South Korea. They belong to Cytheroisinae, one of the three Paradoxostomatidae subfamilies. Both species are the first taxonomic records of the subfamily in Korea. Taxonomic keys to the living Paradoxostomatidae genera are provided in an attempt to clarify the position of some of the currently included genera as well as a key to East Asian Cytheroisinae species in order to facilitate further biodiversity research in the region.</t>
  </si>
  <si>
    <t>[Yoo, Hyunsu] Marine Environm Res &amp; Informat Lab MERIL, 17 Gosan Ro, Gunpo Si 15180, Gyoenggi Do, South Korea; [Thi, Van Anh Le; Karanovic, Ivana] Hanyang Univ, Dept Life Sci, Coll Nat Sci, Seoul 04763, South Korea; [Karanovic, Ivana] Univ Tasmania, Inst Marine &amp; Antarctic Studies, Hobart, Tas, Australia</t>
  </si>
  <si>
    <t>Hanyang University; University of Tasmania</t>
  </si>
  <si>
    <t>Karanovic, I (corresponding author), Hanyang Univ, Dept Life Sci, Coll Nat Sci, Seoul 04763, South Korea.;Karanovic, I (corresponding author), Univ Tasmania, Inst Marine &amp; Antarctic Studies, Hobart, Tas, Australia.</t>
  </si>
  <si>
    <t>ivana@hanyang.ac.kr</t>
  </si>
  <si>
    <t>YOO, HYUNSU/ADI-9139-2022</t>
  </si>
  <si>
    <t>National Institute of Biological Resources (NIBR) - Ministry of Environment (MOE) of the Republic of Korea [NIBR201902204]; National Research Foundation of Korea (NRF) [2016R1D1A1B01009806]; BK21 Plus [22A20130012352]; Ministry of Oceans and Fisheries, Korea</t>
  </si>
  <si>
    <t>National Institute of Biological Resources (NIBR) - Ministry of Environment (MOE) of the Republic of Korea; National Research Foundation of Korea (NRF)(National Research Foundation of Korea); BK21 Plus; Ministry of Oceans and Fisheries, Korea</t>
  </si>
  <si>
    <t>This study was supported by a grant from the National Institute of Biological Resources (NIBR), funded by the Ministry of Environment (MOE) of the Republic of Korea (NIBR201902204). This work was also supported by two National Research Foundation of Korea (NRF) grants 2016R1D1A1B01009806 and BK21 Plus 22A20130012352. We are grateful to Prof. Wonchoel Lee and Dr. Raehyuk Jeong for collecting the material of the new species and kindly passing it to us. The sample collection was a part of the project titled `Improvement of management strategies on marine disturbing and harmful organisms' funded by the Ministry of Oceans and Fisheries, Korea.</t>
  </si>
  <si>
    <t>PENSOFT PUBLISHERS</t>
  </si>
  <si>
    <t>SOFIA</t>
  </si>
  <si>
    <t>12 PROF GEORGI ZLATARSKI ST, SOFIA, 1700, BULGARIA</t>
  </si>
  <si>
    <t>1313-2989</t>
  </si>
  <si>
    <t>1313-2970</t>
  </si>
  <si>
    <t>ZooKeys</t>
  </si>
  <si>
    <t>JUN 22</t>
  </si>
  <si>
    <t>10.3897/zookeys.943.52938</t>
  </si>
  <si>
    <t>NT7JB</t>
  </si>
  <si>
    <t>WOS:000573111200002</t>
  </si>
  <si>
    <t>Marizcurrena, JJ; Acosta, S; Canclini, L; Hernández, P; Vallés, D; Lamparter, T; Castro-Sowinski, S</t>
  </si>
  <si>
    <t>Jose Marizcurrena, Juan; Acosta, Silvina; Canclini, Lucia; Hernandez, Paola; Valles, Diego; Lamparter, Tilman; Castro-Sowinski, Susana</t>
  </si>
  <si>
    <t>A natural occurring bifunctional CPD/(6-4)-photolyase from the Antarctic bacterium Sphingomonas sp. UV9</t>
  </si>
  <si>
    <t>Photolyase; Antarctica; Sphingomonas; DNA damage; Photorepair</t>
  </si>
  <si>
    <t>CLASS-II DNA; CRYPTOCHROME/PHOTOLYASE FAMILY; NUCLEAR-LOCALIZATION; 6-4 PHOTOLYASE; REPAIR; PHOTOLYASE/CRYPTOCHROME; IDENTIFICATION; ACTIVATION; PROTEINS</t>
  </si>
  <si>
    <t>Photolyases are flavoproteins that repair ultraviolet-induced DNA lesions (cyclobutane pyrimidine dimer or CPD, and pyrimidine (6-4) pyrimidone photoproducts or (6-4)-PPs), using blue light as an energy source. These enzymes are substrate specific, meaning that a specific photolyase repairs either a CPD or a (6-4)-PP. In this work, we produced a class II CPD-photolyase (called as PhrSph98) from the Antarctic bacteriumSphingomonassp. UV9 by recombinant DNA technology and we purified the enzyme using immobilized metal affinity chromatography. By using an immunochemistry assay, with monoclonal antibodies against CPD and (6-4)-PP, we found that PhrSph98 repairs both DNA lesions. The result was confirmed by immunocytochemistry using immortalized non-tumorigenic human keratinocytes. Results from structure prediction, pocket computation, and molecular docking analyses showed that PhrSph98 has the two expected protein domains (light-harvesting antenna and a catalytic domain), a larger catalytic site as compared with photolyases produced by mesophilic organisms, and that both substrates fit the catalytic domain. The results obtained from predicted homology modeling suggest that the electron transfer pathway may occur following this pathway: Y389-W369-W390-F376-W381/FAD. The evolutionary reconstruction of PhrSph98 suggests that this is a missing link that reflects the transition of (6-4)-PP repair into the CPD repair ability for the class II CPD-photolyases. To the best of our knowledge, this is the first report of a naturally occurring bifunctional, CPD and (6-4)-PP, repairing enzyme.</t>
  </si>
  <si>
    <t>[Jose Marizcurrena, Juan; Castro-Sowinski, Susana] Univ Republica, Biochem &amp; Mol Biol, Fac Sci, Igua 4225, Montevideo 11400, Uruguay; [Acosta, Silvina; Hernandez, Paola] Inst Clemente Estable, Genet Dept, Epigenet &amp; Genom Instabil Lab, Av Italia 3318, Montevideo 11600, Uruguay; [Canclini, Lucia] Inst Clemente Estable, Genet Dept, Av Italia 3318, Montevideo 11600, Uruguay; [Valles, Diego; Castro-Sowinski, Susana] Univ Republica, Fac Sci, Lab Hydrolyt Enzymes, Igua 4225, Montevideo 11400, Uruguay; [Lamparter, Tilman] Karlsruhe Inst Technol, Bot Inst, Fritz Haber Weg 4, D-76131 Karlsruhe, Germany</t>
  </si>
  <si>
    <t>Universidad de la Republica, Uruguay; Instituto de Investigaciones Biologicas Clemente Estable Uruguay; Instituto de Investigaciones Biologicas Clemente Estable Uruguay; Universidad de la Republica, Uruguay; Helmholtz Association; Karlsruhe Institute of Technology</t>
  </si>
  <si>
    <t>Castro-Sowinski, S (corresponding author), Univ Republica, Biochem &amp; Mol Biol, Fac Sci, Igua 4225, Montevideo 11400, Uruguay.;Castro-Sowinski, S (corresponding author), Univ Republica, Fac Sci, Lab Hydrolyt Enzymes, Igua 4225, Montevideo 11400, Uruguay.</t>
  </si>
  <si>
    <t>Canclini, Lucía/AAH-4792-2021; Lamparter, Tilman/E-4421-2013; Lamparter, Tilman/KFR-2495-2024</t>
  </si>
  <si>
    <t>Canclini, Lucía/0000-0001-7421-611X; Castro-Sowinski, Susana/0000-0002-1286-1743; Hernandez, Paola/0000-0002-3515-1082; Marizcurrena, Juan Jose/0000-0002-5191-1539</t>
  </si>
  <si>
    <t>PEDECIBA (Programa de Desarrollo de las Ciencias Basicas); CSIC [C667]; ANII [FMV_3_2016_1_1226654]; Comison Honoraria de Lucha Contra el Cancer; ANII; CAP (Comision Academica de Posgrado, UdelaR); ANII (Agencia Nacional de Investigacion e Innovacion) [PAT_X_2017_1_140739]; CSIC (Comision Sectorial de Investigacion Cientifica)</t>
  </si>
  <si>
    <t>PEDECIBA (Programa de Desarrollo de las Ciencias Basicas); CSIC; ANII; Comison Honoraria de Lucha Contra el Cancer; ANII; CAP (Comision Academica de Posgrado, UdelaR); ANII (Agencia Nacional de Investigacion e Innovacion); CSIC (Comision Sectorial de Investigacion Cientifica)</t>
  </si>
  <si>
    <t>This work was partially supported by PEDECIBA (Programa de Desarrollo de las Ciencias Basicas), CSIC (Project C667), ANII (Project FMV_3_2016_1_1226654), Comison Honoraria de Lucha Contra el Cancer, and donations by Celsius Laboratory (http://www.celsius.uy/).The work of JJM was supported by ANII and CAP (Comision Academica de Posgrado, UdelaR). The provisional patent was funded by ANII (Agencia Nacional de Investigacion e Innovacion, PAT_X_2017_1_140739) &amp; CSIC (Comision Sectorial de Investigacion Cientifica).</t>
  </si>
  <si>
    <t>10.1007/s00253-020-10734-5</t>
  </si>
  <si>
    <t>MN9QA</t>
  </si>
  <si>
    <t>WOS:000542080100001</t>
  </si>
  <si>
    <t>Vollmer, C; Pelka, M; Leitner, J; Janssen, A</t>
  </si>
  <si>
    <t>Vollmer, Christian; Pelka, Mandy; Leitner, Jan; Janssen, Arne</t>
  </si>
  <si>
    <t>Amorphous silicates as a record of solar nebular and parent body processes-A transmission electron microscope study of fine-grained rims and matrix in three Antarctic CR chondrites</t>
  </si>
  <si>
    <t>AQUEOUS ALTERATION; CARBONACEOUS CHONDRITE; ORGANIC-MATTER; TEM OBSERVATIONS; ACFER 094; CM; CHONDRULES; RENAZZO; ORIGIN; MINERALOGY</t>
  </si>
  <si>
    <t>Renazzo-type (CR) carbonaceous chondrites belong to one of the most pristine meteorite groups containing various early solar system components such as matrix and fine-grained rims (FGRs), whose formation mechanisms are still debated. Here, we have investigated FGRs of three Antarctic CR chondrites (GRA 95229, MIL 07525, and EET 92161) by electron microscopy techniques. We specifically focused on the abundances and chemical compositions of the amorphous silicates within the rims and matrix by analytical transmission electron microscopy. Comparison of the amorphous silicate composition to a matrix area of GRA 95229 clearly shows a compositional relationship between the matrix and the fine-grained rim, such as similar Mg/Si and Fe/Si ratios. This relationship and the abundance of the amorphous silicates in the rims strengthen a solar nebular origin and rule out a primary formation mechanism by parent body processes such as chondrule erosion. Moreover, our chemical analyses of the amorphous silicates and their abundance indicate that the CR rims experienced progressive alteration stages. According to our analyses, the GRA 95229 sample is the least altered one based on its high modal abundance of amorphous silicates (31%) and close-to-chondritic Fe/Si ratios, followed by MIL 07525 and finally EET 92161 with lesser amounts of amorphous silicates (12% and 5%, respectively) and higher Fe/Si ratios. Abundances and chemical compositions of amorphous silicates within matrix and rims are therefore suitable recorders to track different alteration stages on a submicron scale within variably altered CR chondrites.</t>
  </si>
  <si>
    <t>[Vollmer, Christian; Pelka, Mandy] Westfalische Wilhelms Univ, Inst Mineral, Corrensstr 24, D-48149 Munster, Germany; [Leitner, Jan] Max Planck Inst Chem, Particle Chem Dept, Hahn Meitner Weg 1, D-55128 Mainz, Germany; [Janssen, Arne] Univ Manchester, Mat Performance Ctr, Oxford Rd, Manchester M13 9PL, Lancs, England; [Janssen, Arne] Zeiss Microscopy, Oberkochen, Germany</t>
  </si>
  <si>
    <t>University of Munster; Max Planck Society; University of Manchester</t>
  </si>
  <si>
    <t>Vollmer, C (corresponding author), Westfalische Wilhelms Univ, Inst Mineral, Corrensstr 24, D-48149 Munster, Germany.</t>
  </si>
  <si>
    <t>christian.vollmer@wwu.de</t>
  </si>
  <si>
    <t>Leitner, Jan/A-7391-2015</t>
  </si>
  <si>
    <t>Leitner, Jan/0000-0003-3655-6273; Vollmer, Christian/0000-0002-7768-7651</t>
  </si>
  <si>
    <t>DFG [SPP1385, VO1816/1-1, HO 2163/1-1, HO 2163/1-2, LE 3279/1-1]; NSF; NASA</t>
  </si>
  <si>
    <t>DFG(German Research Foundation (DFG)); NSF(National Science Foundation (NSF)); NASA(National Aeronautics &amp; Space Administration (NASA))</t>
  </si>
  <si>
    <t>We thank Maren Muller and Michael Kappl at MPI for Polymer Research for FIB preparation, and Antje Sorowka (MPIC) for assistance with the SEM. CV and JL acknowledge support by the DFG through SPP1385 grants (VO1816/1-1, HO 2163/1-1&amp;2, and LE 3279/1-1).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All authors have no conflict of interest to declare.</t>
  </si>
  <si>
    <t>10.1111/maps.13526</t>
  </si>
  <si>
    <t>WOS:000541499800001</t>
  </si>
  <si>
    <t>Fogwill, CJ; Turney, CSM; Menviel, L; Baker, A; Weber, ME; Ellis, B; Thomas, ZA; Golledge, NR; Etheridge, D; Rubino, M; Thornton, DP; van Ommen, TD; Moy, AD; Curran, MAJ; Davies, S; Bird, MI; Munksgaard, NC; Rootes, CM; Millman, H; Vohra, J; Rivera, A; Mackintosh, A; Pike, J; Hall, IR; Bagshaw, EA; Rainsley, E; Bronk-Ramsey, C; Montenari, M; Cage, AG; Harris, MRP; Jones, R; Power, A; Love, J; Young, J; Weyrich, LS; Cooper, A</t>
  </si>
  <si>
    <t>Fogwill, C. J.; Turney, C. S. M.; Menviel, L.; Baker, A.; Weber, M. E.; Ellis, B.; Thomas, Z. A.; Golledge, N. R.; Etheridge, D.; Rubino, M.; Thornton, D. P.; van Ommen, T. D.; Moy, A. D.; Curran, M. A. J.; Davies, S.; Bird, M., I; Munksgaard, N. C.; Rootes, C. M.; Millman, H.; Vohra, J.; Rivera, A.; Mackintosh, A.; Pike, J.; Hall, I. R.; Bagshaw, E. A.; Rainsley, E.; Bronk-Ramsey, C.; Montenari, M.; Cage, A. G.; Harris, M. R. P.; Jones, R.; Power, A.; Love, J.; Young, J.; Weyrich, L. S.; Cooper, A.</t>
  </si>
  <si>
    <t>Southern Ocean carbon sink enhanced by sea-ice feedbacks at the Antarctic Cold Reversal</t>
  </si>
  <si>
    <t>NATURE GEOSCIENCE</t>
  </si>
  <si>
    <t>ATMOSPHERIC CO2; ORGANIC-CARBON; CLIMATE RECORD; PATRIOT HILLS; PRODUCTIVITY; CYCLE; FERTILIZATION; VARIABILITY; PLEISTOCENE; TRENDS</t>
  </si>
  <si>
    <t>Increased Southern Ocean productivity driven by sea-ice feedbacks contributed to a slowdown in rising CO(2)levels during the last deglaciation, according to analyses of marine-derived aerosols from an Antarctic ice core. The Southern Ocean occupies 14% of the Earth's surface and plays a fundamental role in the global carbon cycle and climate. It provides a direct connection to the deep ocean carbon reservoir through biogeochemical processes that include surface primary productivity, remineralization at depth and the upwelling of carbon-rich water masses. However, the role of these different processes in modulating past and future air-sea carbon flux remains poorly understood. A key period in this regard is the Antarctic Cold Reversal (ACR, 14.6-12.7 kyrbp), when mid- to high-latitude Southern Hemisphere cooling coincided with a sustained plateau in the global deglacial increase in atmospheric CO2. Here we reconstruct high-latitude Southern Ocean surface productivity from marine-derived aerosols captured in a highly resolved horizontal ice core. Our multiproxy reconstruction reveals a sustained signal of enhanced marine productivity across the ACR. Transient climate modelling indicates this period coincided with maximum seasonal variability in sea-ice extent, implying that sea-ice biological feedbacks enhanced CO(2)sequestration and created a substantial regional marine carbon sink, which contributed to the plateau in CO(2)during the ACR. Our results highlight the role Antarctic sea ice plays in controlling global CO2, and demonstrate the need to incorporate such feedbacks into climate-carbon models.</t>
  </si>
  <si>
    <t>[Fogwill, C. J.; Rubino, M.; Millman, H.; Rainsley, E.; Montenari, M.; Cage, A. G.; Harris, M. R. P.] Keele Univ, Sch Geog Geol &amp; Environm, Keele, Staffs, England; [Fogwill, C. J.; Turney, C. S. M.; Menviel, L.; Baker, A.; Thomas, Z. A.; Vohra, J.] UNSW Sydney, Palaeontol Geobiol &amp; Earth Archives Res Ctr, Sch Biol Earth &amp; Environm Sci, Sydney, NSW, Australia; [Turney, C. S. M.; Baker, A.; Thomas, Z. A.; Weyrich, L. S.] UNSW Sydney, Sch Biol Earth &amp; Environm Sci, ARC Ctr Excellence Australian Biodivers &amp; Heritag, Sydney, NSW, Australia; [Turney, C. S. M.; Thomas, Z. A.] UNSW Sydney, Chronos 14Carbon Cycle Facil, Sydney, NSW, Australia; [Menviel, L.; Millman, H.] UNSW Sydney, Sch Biol Earth &amp; Environm Sci, Climate Change Res Ctr, Sydney, NSW, Australia; [Weber, M. E.] Univ Bonn, Inst Geoscinces, Dept Geochem &amp; Petrol, Bonn, Germany; [Ellis, B.] Australian Natl Univ, Res Sch Earth Sci, Canberra, ACT, Australia; [Golledge, N. R.] Victoria Univ Wellington, Antarctic Res Ctr, Wellington, New Zealand; [Golledge, N. R.] GNS Sci, Lower Hutt, New Zealand; [Etheridge, D.; Rubino, M.; Thornton, D. P.] CSIRO Oceans &amp; Atmosphere, Aspendale, Vic, Australia; [Rubino, M.] Univ Campania Luigi Vanvitelli, Dipartimento Matemat &amp; Fis, Caserta, Italy; [van Ommen, T. D.; Moy, A. D.; Curran, M. A. J.] Dept Agr Water &amp; Environm, Australian Antarctic Div, Kingston, Tas, Australia; [van Ommen, T. D.; Moy, A. D.; Curran, M. A. J.] Univ Tasmania, Antarctic Climate &amp; Ecosyst Cooperat Res Ctr, Hobart, Tas, Australia; [Davies, S.] Swansea Univ, Dept Geog, Swansea, W Glam, Wales; [Bird, M., I; Munksgaard, N. C.] James Cook Univ, Coll Sci Technol &amp; Engn, Ctr Trop Environm &amp; Sustainabil Sci, Cairns, Qld, Australia; [Bird, M., I] James Cook Univ, ARC Ctr Excellence Australian Biodivers &amp; Heritag, Cairns, Qld, Australia; [Munksgaard, N. C.] Charles Darwin Univ, Res Inst Environm &amp; Livelihoods, Darwin, NT, Australia; [Rootes, C. M.] Univ Sheffield, Dept Geog, Sheffield, S Yorkshire, England; [Rivera, A.] Univ Austral Chile, Inst Conservac Biodiversidad &amp; Terr, Valdivia, Chile; [Rivera, A.] Univ Chile, Dept Geog, Santiago, Chile; [Mackintosh, A.] Monash Univ, Sch Earth Atmosphere &amp; Environm, Melbourne, Vic, Australia; [Pike, J.; Hall, I. R.; Bagshaw, E. A.] Cardiff Univ, Sch Earth &amp; Ocean Sci, Cardiff, Wales; [Bronk-Ramsey, C.] Univ Oxford, Res Lab Archaeol &amp; Hist Art, Oxford, England; [Jones, R.] Exeter Univ, Sch Geog, Exeter, Devon, England; [Power, A.; Love, J.] Exeter Univ, Bioecon Ctr, Exeter, Devon, England; [Young, J.; Weyrich, L. S.] Univ Adelaide, Australian Ctr Ancient DNA, Adelaide, SA, Australia; [Cooper, A.] South Australian Museum, Adelaide, SA, Australia</t>
  </si>
  <si>
    <t>Keele University; University of New South Wales Sydney; University of New South Wales Sydney; University of New South Wales Sydney; University of New South Wales Sydney; University of Bonn; Australian National University; Victoria University Wellington; GNS Science - New Zealand; Commonwealth Scientific &amp; Industrial Research Organisation (CSIRO); Universita della Campania Vanvitelli; Australian Antarctic Division; Antarctic Climate &amp; Ecosystems Cooperative Research Centre (ACE CRC); University of Tasmania; Swansea University; James Cook University; James Cook University; Charles Darwin University; University of Sheffield; Universidad Austral de Chile; Universidad de Chile; Melbourne Genomics Health Alliance; Monash University; Cardiff University; University of Oxford; University of Exeter; University of Exeter; University of Adelaide; South Australian Museum</t>
  </si>
  <si>
    <t>Fogwill, CJ (corresponding author), Keele Univ, Sch Geog Geol &amp; Environm, Keele, Staffs, England.;Fogwill, CJ (corresponding author), UNSW Sydney, Palaeontol Geobiol &amp; Earth Archives Res Ctr, Sch Biol Earth &amp; Environm Sci, Sydney, NSW, Australia.</t>
  </si>
  <si>
    <t>c.j.fogwill@keele.ac.uk</t>
  </si>
  <si>
    <t>Etheridge, David M/B-7334-2013; Baker, Andy/O-5362-2019; Harris, Matthew Richard Pain/JCE-3200-2023; Cage, Alix Gayle/AAK-9555-2021; van Ommen, Tas D/B-5020-2012; Fogwill, Chris/AAW-3502-2021; Bird, Michael/G-5364-2010; Harris, Matthew/GQZ-4604-2022; Ellis, Bethany/ISA-4270-2023; Hall, Ian R/C-2755-2009; Fogwill, Christopher/HPF-1150-2023; Weber, Michael E/G-8707-2012; Rubino, Mauro/Q-5578-2016; Turney, Chris/P-8701-2018; Menviel, Laurie/D-6902-2013; Thomas, Zoe/D-1656-2016</t>
  </si>
  <si>
    <t>Baker, Andy/0000-0002-1552-6166; Harris, Matthew Richard Pain/0000-0002-3726-2376; Fogwill, Chris/0000-0002-6471-1106; Bird, Michael/0000-0003-1801-8703; Bagshaw, Elizabeth/0000-0001-8392-1750; Turney, Chris/0000-0001-6733-0993; Weyrich, Laura/0000-0001-5243-4634; Menviel, Laurie/0000-0002-5068-1591; Rivera, Andres/0000-0002-2779-4192; Etheridge, David/0000-0001-7970-2002; Cage, Alix/0000-0001-9992-9757; Ward, Zoe/0000-0002-0268-988X; Power, Albert/0000-0003-2283-5431; Power, Ann/0000-0002-7651-5276; Mackintosh, Andrew/0000-0002-6430-4711; Cooper, Alan/0000-0002-7738-7851; Thomas, Zoe/0000-0002-2323-4366; Ellis, Bethany/0000-0002-4662-1115; Weber, Michael E/0000-0003-2175-8980; Golledge, Nicholas/0000-0001-7676-8970; Young, Jennifer/0000-0002-2971-5486; Rubino, Mauro/0000-0002-8721-4508</t>
  </si>
  <si>
    <t>Australian Research Council (ARC); Royal Society of NZ fellowships; Linkage Partner Antarctic Logistics and Expeditions [LP120200724]; Australian Climate Change Science Program (ACCSP), an Australian Government Initiative; Coleg Cymraeg Cenedlaethol; European Research Council (ERC) [25923]; Deutsche Forschungsgemeinschaft [We2039/8-1]; Keele University; Australian Research Council [LP120200724] Funding Source: Australian Research Council</t>
  </si>
  <si>
    <t>Australian Research Council (ARC)(Australian Research Council); Royal Society of NZ fellowships; Linkage Partner Antarctic Logistics and Expeditions; Australian Climate Change Science Program (ACCSP), an Australian Government Initiative; Coleg Cymraeg Cenedlaethol; European Research Council (ERC)(European Research Council (ERC)Spanish Government); Deutsche Forschungsgemeinschaft(German Research Foundation (DFG)); Keele University; Australian Research Council(Australian Research Council)</t>
  </si>
  <si>
    <t>C.J.F., C.S.M.T., L.M., N.R.G., L.S.W. and A.C. are supported by their respective Australian Research Council (ARC) and Royal Society of NZ fellowships, and C.J.F. and A.G.C. thank Keele University for a Research Development Award that underpinned this research at Keele University IceLab and Exeter University. Fieldwork was undertaken under ARC Linkage Project (LP120200724), supported by Linkage Partner Antarctic Logistics and Expeditions, whose enduring support we acknowledge. CSIRO's contribution was supported in part by the Australian Climate Change Science Program (ACCSP), an Australian Government Initiative. S.D. acknowledges financial support from Coleg Cymraeg Cenedlaethol and the European Research Council (ERC grant agreement no. 25923). M.E.W. acknowledges support from the Deutsche Forschungsgemeinschaft (grant no. We2039/8-1). Finally, we thank H. Glanville for comments on the final draft of the manuscript, and A. Jeffery for advice on SEM analysis.</t>
  </si>
  <si>
    <t>75 VARICK ST, 9TH FLR, NEW YORK, NY 10013-1917 USA</t>
  </si>
  <si>
    <t>1752-0894</t>
  </si>
  <si>
    <t>1752-0908</t>
  </si>
  <si>
    <t>NAT GEOSCI</t>
  </si>
  <si>
    <t>Nat. Geosci.</t>
  </si>
  <si>
    <t>10.1038/s41561-020-0587-0</t>
  </si>
  <si>
    <t>ME9TQ</t>
  </si>
  <si>
    <t>Green Accepted, Green Submitted</t>
  </si>
  <si>
    <t>WOS:000542120500003</t>
  </si>
  <si>
    <t>Zhai, YY; Ding, ZH; Liu, YJ; Jin, SH; Kang, L</t>
  </si>
  <si>
    <t>Zhai, Yuyi; Ding, Zihang; Liu, Yunjia; Jin, Shaohua; Kang, Liang</t>
  </si>
  <si>
    <t>Research on novel spatial structure of power generation of spherical robot</t>
  </si>
  <si>
    <t>PROCEEDINGS OF THE INSTITUTION OF MECHANICAL ENGINEERS PART E-JOURNAL OF PROCESS MECHANICAL ENGINEERING</t>
  </si>
  <si>
    <t>Spherical mobile robot; energy harvesters; spatial structure layout; power generation</t>
  </si>
  <si>
    <t>Continuous energy supply is essential to spherical mobile robot in the Antarctic investigation. This paper puts forward energy harvesters that can generate electricity from the wind to achieve the long time and the long range exploration. The major contribution is to present the preliminary models of the energy harvester which uses the law of electromagnetic induction, and meanwhile the spatial structures about generating electricity are analyzed, and the influence of different structures on the power generation and efficiency will be obtained. In order to get the characteristics of power generation efficiency, this paper designs one element pipeline model and two element pipeline model, and then the motion of magnet in harvester will be simulated in different installed structures and wind speed. The varying rules of induced voltage are concluded at last. Finally, experiments are implemented based on the simulated model. The experimental results verify the dependability of different structural schemes of the robot and the validity of induced voltages' varying rules. The results show that the induced electromotive force value obtained by the one element pipeline structure model is larger than the two element pipeline model, but the stability of the latter is better. Through the research in this paper, it can provide a basis for selecting a suitable spherical robot space structure according to the environmental conditions to improve the endurance.</t>
  </si>
  <si>
    <t>[Zhai, Yuyi; Ding, Zihang; Liu, Yunjia; Jin, Shaohua; Kang, Liang] Shanghai Univ, Sch Mechatron Engn &amp; Automat, Shanghai 200444, Peoples R China</t>
  </si>
  <si>
    <t>Shanghai University</t>
  </si>
  <si>
    <t>Liu, YJ (corresponding author), Shanghai Univ, Sch Mechatron Engn &amp; Automat, Shanghai 200444, Peoples R China.</t>
  </si>
  <si>
    <t>yjliu2017@shu.edu.cn</t>
  </si>
  <si>
    <t>Ding, Zihang/0000-0001-6071-5380</t>
  </si>
  <si>
    <t>Shanghai Municipal Education Commission [12ZL1410700]; State Lead Academic Discipline Fund [12ZL1410700]; National High-tech R&amp;D Program of China (863 Program) [2011AA040202]; China Scholarship Council Fund [201208310055]</t>
  </si>
  <si>
    <t>Shanghai Municipal Education Commission(Shanghai Municipal Education Commission (SHMEC)); State Lead Academic Discipline Fund; National High-tech R&amp;D Program of China (863 Program)(National High Technology Research and Development Program of China); China Scholarship Council Fund(China Scholarship Council)</t>
  </si>
  <si>
    <t>The author(s) disclosed receipt of the following financial support for the research, authorship, and/or publication of this article: This research was jointly sponsored by the Shanghai Municipal Education Commission and State Lead Academic Discipline Fund (Project No. 12ZL1410700), the National High-tech R&amp;D Program of China (863 Program, Grant No. 2011AA040202) and the China Scholarship Council Fund (File No. 201208310055), which are greatly appreciated by the authors.</t>
  </si>
  <si>
    <t>SAGE PUBLICATIONS LTD</t>
  </si>
  <si>
    <t>1 OLIVERS YARD, 55 CITY ROAD, LONDON EC1Y 1SP, ENGLAND</t>
  </si>
  <si>
    <t>0954-4089</t>
  </si>
  <si>
    <t>2041-3009</t>
  </si>
  <si>
    <t>P I MECH ENG E-J PRO</t>
  </si>
  <si>
    <t>Proc. Inst. Mech. Eng. Part E-J. Process Mech. Eng.</t>
  </si>
  <si>
    <t>10.1177/0954408920932358</t>
  </si>
  <si>
    <t>Engineering, Mechanical</t>
  </si>
  <si>
    <t>Engineering</t>
  </si>
  <si>
    <t>MY9HI</t>
  </si>
  <si>
    <t>WOS:000552794400001</t>
  </si>
  <si>
    <t>Clementino, LD; Oda, FB; Teixeira, TR; Tavares, RSN; Colepicolo, P; dos Santos, AG; Debonsi, HM; Graminha, MAS</t>
  </si>
  <si>
    <t>Clementino, Leandro da Costa; Oda, Fernando Bombarda; Teixeira, Thaiz Rodrigues; Tavares, Renata Spagolla Napoleao; Colepicolo, Pio; dos Santos, Andre Gonzaga; Debonsi, Hosana Maria; Graminha, Marcia A. S.</t>
  </si>
  <si>
    <t>The antileishmanial activity of the antarctic brown algaAscoseira mirabilisSkottsberg</t>
  </si>
  <si>
    <t>NATURAL PRODUCT RESEARCH</t>
  </si>
  <si>
    <t>Cutaneous leishmaniasis; Antarctic macroalgae; Ascoseiraceae; Brown algae; GC-MS; Natural products</t>
  </si>
  <si>
    <t>CHEMICAL-COMPOSITION; GAS-CHROMATOGRAPHY; FATTY-ACIDS; MACROALGAE; FRACTIONS; SEAWEEDS; PROFILE; ALGAE</t>
  </si>
  <si>
    <t>Leishmaniasis is a group of diseases that have limited and high toxic therapeutic options. Herein, we evaluated the antileishmanial potential and cytotoxicity of hexanic extract obtained from the Antarctic brown algaAscoseira mirabilisusing bioguided fractionation againstLeishmania amazonensisand murine macrophages, which was fractionated by SPE, yielding seven fractions (F1-F7). The fraction F6 showed good anti-amastigote activity (IC50 = 73.4 +/- 0.4 mu g mL(-1)) and low cytotoxicity (CC50 &gt; 100 mu g mL(-1)). Thus, in order to identify the bioactive constituent(s) of F6, the fraction was separated in a semipreparative HPLC, yielding four fractions (F6.1-F6.4). F6.2 was the most bioactive fraction (IC50 = 66.5 +/- 4.5 mu g mL(-1)) and GC-MS analyses revealed that the compounds octadecane, propanoic acid, 1-monomyristin and azelaic acid correspond to 61% of its composition. These data show for the first time the antileishmanial potential of the Antarctic algaA. mirabilis.</t>
  </si>
  <si>
    <t>[Clementino, Leandro da Costa] Sao Paulo State Univ UNESP, Inst Chem, Araraquara, SP, Brazil; [Clementino, Leandro da Costa; Oda, Fernando Bombarda; dos Santos, Andre Gonzaga; Graminha, Marcia A. S.] Sao Paulo State Univ UNESP, Sch Pharmaceut Sci, Araraquara, SP, Brazil; [Teixeira, Thaiz Rodrigues; Tavares, Renata Spagolla Napoleao; Debonsi, Hosana Maria] Sao Paulo Univ USP, Sch Pharmaceut Sci Ribeirao Preto, Ribeirao Preto, Brazil; [Colepicolo, Pio] Sao Paulo Univ USP, Chem Inst, Sao Paulo, Brazil</t>
  </si>
  <si>
    <t>Universidade Estadual Paulista; Universidade Estadual Paulista</t>
  </si>
  <si>
    <t>Graminha, MAS (corresponding author), Sao Paulo State Univ UNESP, Sch Pharmaceut Sci, Araraquara, SP, Brazil.</t>
  </si>
  <si>
    <t>marcia.graminha@unesp.br</t>
  </si>
  <si>
    <t>da Costa Clementino, Leandro/P-7912-2017; Santos, André G./C-3353-2012; Teixeira, Thaiz R/L-1601-2016; Fapesp, Biota/F-8655-2017; Teixeira, Thaiz R/JCD-9187-2023; Spagolla Napoleão Tavares, Renata/GWZ-4955-2022; Graminha, Marcia/D-7951-2013; Debonsi, Hosana/C-6120-2012</t>
  </si>
  <si>
    <t>da Costa Clementino, Leandro/0000-0001-5196-6372; Fapesp, Biota/0000-0002-9887-8449; Graminha, Marcia/0000-0001-7280-3775; Oda, Fernando/0000-0001-7217-0840; dos Santos, Andre Gonzaga/0000-0002-4920-2506; Rodrigues Teixeira, Thaiz/0000-0001-9514-3327; Debonsi, Hosana/0000-0002-4888-0217; Spagolla Napoleao Tavares, Renata/0000-0002-8491-2319</t>
  </si>
  <si>
    <t>MCTI/CNPq/FNDCT - Acao Transversal Programa Antartico Brasileiro [407588/2013-2]; Fundacao de Amparo a Pesquisa do Estado de Sao Paulo (FAPESP) [2017/03552-5, 2016/06931]; Fundacao Coordenacao de Aperfeicoamento de Pessoal de Nivel Superior (CAPES); Conselho Nacional de Desenvolvimento Cientifico e Tecnologico (CNPq)</t>
  </si>
  <si>
    <t>MCTI/CNPq/FNDCT - Acao Transversal Programa Antartico Brasileiro; Fundacao de Amparo a Pesquisa do Estado de Sao Paulo (FAPESP)(Fundacao de Amparo a Pesquisa do Estado de Sao Paulo (FAPESP)); Fundacao Coordenacao de Aperfeicoamento de Pessoal de Nivel Superior (CAPES)(Coordenacao de Aperfeicoamento de Pessoal de Nivel Superior (CAPES)); Conselho Nacional de Desenvolvimento Cientifico e Tecnologico (CNPq)(Conselho Nacional de Desenvolvimento Cientifico e Tecnologico (CNPQ))</t>
  </si>
  <si>
    <t>This work was financially supported by MCTI/CNPq/FNDCT - Acao Transversal Programa Antartico Brasileiro, grant number 407588/2013-2; Fundacao de Amparo a Pesquisa do Estado de Sao Paulo (FAPESP), grant numbers 2017/03552-5 and 2016/06931; The scholarships for LCC, TRT, FBO were provided by Fundacao Coordenacao de Aperfeicoamento de Pessoal de Nivel Superior (CAPES) and to RSNT by Conselho Nacional de Desenvolvimento Cientifico e Tecnologico (CNPq).</t>
  </si>
  <si>
    <t>1478-6419</t>
  </si>
  <si>
    <t>1478-6427</t>
  </si>
  <si>
    <t>NAT PROD RES</t>
  </si>
  <si>
    <t>Nat. Prod. Res.</t>
  </si>
  <si>
    <t>DEC 2</t>
  </si>
  <si>
    <t>10.1080/14786419.2020.1782403</t>
  </si>
  <si>
    <t>Chemistry, Applied; Chemistry, Medicinal</t>
  </si>
  <si>
    <t>Chemistry; Pharmacology &amp; Pharmacy</t>
  </si>
  <si>
    <t>XE7FO</t>
  </si>
  <si>
    <t>WOS:000546919300001</t>
  </si>
  <si>
    <t>Dawson, HM; Heal, KR; Boysen, AK; Carlson, LT; Ingalls, AE; Young, JN</t>
  </si>
  <si>
    <t>Dawson, Hannah M.; Heal, Katherine R.; Boysen, Angela K.; Carlson, Laura T.; Ingalls, Anitra E.; Young, Jodi N.</t>
  </si>
  <si>
    <t>Potential of temperature- and salinity-driven shifts in diatom compatible solute concentrations to impact biogeochemical cycling within sea ice</t>
  </si>
  <si>
    <t>ELEMENTA-SCIENCE OF THE ANTHROPOCENE</t>
  </si>
  <si>
    <t>Sea ice; Metabolomics; Diatom; Osmoprotection; Cryoprotection; Metabolism</t>
  </si>
  <si>
    <t>GLYCINE BETAINE; DIMETHYLSULFONIOPROPIONATE DMSP; FRAGILARIOPSIS-CYLINDRUS; MICROBIAL COMMUNITIES; OSMOTIC ADJUSTMENT; VERTICAL ZONATION; MARINE; CARBON; ALGAE; PHYTOPLANKTON</t>
  </si>
  <si>
    <t>Sea-ice algae are an important source of primary production in polar regions, yet we have limited understanding of their responses to the seasonal cycling of temperature and salinity. Using a targeted liquid chromatography-mass spectrometry-based metabolomics approach, we found that axenic cultures of the Antarctic sea-ice diatom, Nitzschia lecointei, displayed large differences in their metabolomes when grown in a matrix of conditions that included temperatures of -1 and 4 degrees C, and salinities of 32 and 41, despite relatively small changes in growth rate. Temperature exerted a greater effect than salinity on cellular metabolite pool sizes, though the N- or S-containing compatible solutes, 2, 3-dihydroxypropane-1-sulfonate (DHPS), glycine betaine (GBT), dimethylsulfoniopropionate (DMSP), and proline responded strongly to both temperature and salinity, suggesting complexity in their control. We saw the largest (&gt; 4-fold) response to salinity for proline. DHPS, a rarely studied but potential compatible solute, had the highest intracellular concentrations among all compatible solutes of similar to 85 mM. When comparing the culture findings to natural Arctic sea-ice diatom communities, we found extensive overlap in metabolite profiles, highlighting the relevance of culture-based studies to probe environmental questions. Large changes in sea-ice diatom metabolomes and compatible solutes over a seasonal cycle could be significant components of biogeochemical cycling within sea ice.</t>
  </si>
  <si>
    <t>[Dawson, Hannah M.; Heal, Katherine R.; Boysen, Angela K.; Carlson, Laura T.; Ingalls, Anitra E.; Young, Jodi N.] Univ Washington, Sch Oceanog, Seattle, WA 98195 USA</t>
  </si>
  <si>
    <t>University of Washington; University of Washington Seattle</t>
  </si>
  <si>
    <t>Dawson, HM (corresponding author), Univ Washington, Sch Oceanog, Seattle, WA 98195 USA.</t>
  </si>
  <si>
    <t>hmdawson@uw.edu</t>
  </si>
  <si>
    <t>Heal, Katherine/0000-0002-4504-1039; Dawson, Hannah/0000-0003-2010-3536; Ingalls, Anitra/0000-0003-1953-7329</t>
  </si>
  <si>
    <t>Beatrice Crosby Booth Endowed Fellowship; University of Washington Graduate Top Scholar Award; National Science Foundation [174465, OCE-1228770]; Simons Foundation [385428, 598819]; University of Washington, School of Oceanography; Gordon and Betty Moore Foundation [5488]</t>
  </si>
  <si>
    <t>Beatrice Crosby Booth Endowed Fellowship; University of Washington Graduate Top Scholar Award; National Science Foundation(National Science Foundation (NSF)); Simons Foundation; University of Washington, School of Oceanography; Gordon and Betty Moore Foundation(Gordon and Betty Moore Foundation)</t>
  </si>
  <si>
    <t>Funding for this project was provided by the Beatrice Crosby Booth Endowed Fellowship (HMD), University of Washington Graduate Top Scholar Award (HMD), grants from the National Science Foundation (174465, HMD and JNY; OCE-1228770, AEI; GRFP to AKB and KRH) and the Simons Foundation (SF Award ID 385428, AEI; Award ID 598819, KRH), and JNY Start-up funds from the University of Washington, School of Oceanography. The opportunity to sample Arctic sea ice was provided by Jody W. Deming through funding from the Gordon and Betty Moore Foundation, Grant 5488.</t>
  </si>
  <si>
    <t>UNIV CALIFORNIA PRESS</t>
  </si>
  <si>
    <t>OAKLAND</t>
  </si>
  <si>
    <t>155 GRAND AVE, SUITE 400, OAKLAND, CA 94612-3758 USA</t>
  </si>
  <si>
    <t>2325-1026</t>
  </si>
  <si>
    <t>ELEMENTA-SCI ANTHROP</t>
  </si>
  <si>
    <t>Elementa-Sci. Anthrop.</t>
  </si>
  <si>
    <t>JUN 19</t>
  </si>
  <si>
    <t>10.1525/elementa.421</t>
  </si>
  <si>
    <t>MF4JX</t>
  </si>
  <si>
    <t>WOS:000545311800001</t>
  </si>
  <si>
    <t>Moreau, S; Boyd, PW; Strutton, PG</t>
  </si>
  <si>
    <t>Moreau, Sebastien; Boyd, Philip W.; Strutton, Peter G.</t>
  </si>
  <si>
    <t>Remote assessment of the fate of phytoplankton in the Southern Ocean sea-ice zone</t>
  </si>
  <si>
    <t>CARBON EXPORT; TWILIGHT ZONE; IRON; GROWTH; PRODUCTIVITY; DYNAMICS; CO2; SEQUESTRATION; VARIABILITY; COMMUNITY</t>
  </si>
  <si>
    <t>In the Southern Ocean, large-scale phytoplankton blooms occur in open water and the sea-ice zone (SIZ). These blooms have a range of fates including physical advection, downward carbon export, or grazing. Here, we determine the magnitude, timing and spatial trends of the biogeochemical (export) and ecological (foodwebs) fates of phytoplankton, based on seven BGC-Argo floats spanning three years across the SIZ. We calculate loss terms using the production of chlorophyll-based on nitrate depletion-compared with measured chlorophyll. Export losses are estimated using conspicuous chlorophyll pulses at depth. By subtracting export losses, we calculate grazing-mediated losses. Herbivory accounts for similar to 90% of the annually-averaged losses (169 mg C m(-2) d (-1)), and phytodetritus POC export comprises -10%. Furthermore, export and grazing losses each exhibit distinctive seasonality captured by all floats spanning 60 degrees S to 69 degrees S. These similar trends reveal widespread patterns in phytoplankton fate throughout the Southern Ocean SIZ.</t>
  </si>
  <si>
    <t>[Moreau, Sebastien] Norwegian Polar Res Inst, Fram Ctr, POB 6606 Langnes, NO-9296 Tromso, Norway; [Moreau, Sebastien; Boyd, Philip W.; Strutton, Peter G.] Univ Tasmania, Inst Marine &amp; Antarct Studies, Hobart, Tas 7001, Australia; [Strutton, Peter G.] Univ Tasmania, Australian Res Council Ctr Excellence Climate Ext, Hobart, Tas 7001, Australia</t>
  </si>
  <si>
    <t>Norwegian Polar Institute; University of Tasmania; University of Tasmania</t>
  </si>
  <si>
    <t>Moreau, S (corresponding author), Norwegian Polar Res Inst, Fram Ctr, POB 6606 Langnes, NO-9296 Tromso, Norway.;Moreau, S (corresponding author), Univ Tasmania, Inst Marine &amp; Antarct Studies, Hobart, Tas 7001, Australia.</t>
  </si>
  <si>
    <t>sebastien.moreau@npolar.no</t>
  </si>
  <si>
    <t>Boyd, Philip/J-7624-2014; Strutton, Peter/C-4466-2011</t>
  </si>
  <si>
    <t>Boyd, Philip/0000-0001-7850-1911; Moreau, Sebastien/0000-0001-9446-812X; Strutton, Peter/0000-0002-2395-9471</t>
  </si>
  <si>
    <t>Australian Research Council's Special Research Initiative for Antarctic Gateway Partnership [SR140300001]; NSF's Southern Ocean Carbon and Climate Observations and Modeling (SOCCOM) Project under the NSF [PLR-1425989]; NOAA; NASA</t>
  </si>
  <si>
    <t>Australian Research Council's Special Research Initiative for Antarctic Gateway Partnership(Australian Research Council); NSF's Southern Ocean Carbon and Climate Observations and Modeling (SOCCOM) Project under the NSF; NOAA(National Oceanic Atmospheric Admin (NOAA) - USA); NASA(National Aeronautics &amp; Space Administration (NASA))</t>
  </si>
  <si>
    <t>S.M. was supported by the Australian Research Council's Special Research Initiative for Antarctic Gateway Partnership (Project ID SR140300001). Float deployments were supported by NSF's Southern Ocean Carbon and Climate Observations and Modeling (SOCCOM) Project under the NSF Award PLR-1425989, with additional support from NOAA and NASA. Logistical support for this project in the Antarctic was provided by the US National Science Foundation through the US Antarctic Program. We thank Patricia Yager for sharing the integrated chlorophyll and nitrate deficit data obtained during the 2010-2011 ASPIRE campaign in the Amundsen Sea from which we drew our reference value of the chl:N ratio.</t>
  </si>
  <si>
    <t>10.1038/s41467-020-16931-0</t>
  </si>
  <si>
    <t>MF9VL</t>
  </si>
  <si>
    <t>WOS:000545685100005</t>
  </si>
  <si>
    <t>Perrin, E; Ghini, V; Giovannini, M; Di Patti, F; Cardazzo, B; Carraro, L; Fagorzi, C; Turano, P; Fani, R; Fondi, M</t>
  </si>
  <si>
    <t>Perrin, Elena; Ghini, Veronica; Giovannini, Michele; Di Patti, Francesca; Cardazzo, Barbara; Carraro, Lisa; Fagorzi, Camilla; Turano, Paola; Fani, Renato; Fondi, Marco</t>
  </si>
  <si>
    <t>Diauxie and co-utilization of carbon sources can coexist during bacterial growth in nutritionally complex environments</t>
  </si>
  <si>
    <t>ANTARCTIC BACTERIUM; TRANSPORTERS; EXPRESSION; COMPONENTS; CARNITINE; BIOFILM; REVEAL; GENOME</t>
  </si>
  <si>
    <t>It is commonly thought that when multiple carbon sources are available, bacteria metabolize them either sequentially (diauxic growth) or simultaneously (co-utilization). However, this view is mainly based on analyses in relatively simple laboratory settings. Here we show that a heterotrophic marine bacterium, Pseudoalteromonas haloplanktis, can use both strategies simultaneously when multiple possible nutrients are provided in the same growth experiment. The order of nutrient uptake is partially determined by the biomass yield that can be achieved when the same compounds are provided as single carbon sources. Using transcriptomics and time-resolved intracellular H-1-C-13 NMR, we reveal specific pathways for utilization of various amino acids. Finally, theoretical modelling indicates that this metabolic phenotype, combining diauxie and co-utilization of substrates, is compatible with a tight regulation that allows the modulation of assimilatory pathways. It is thought that when multiple carbon sources are available, bacteria metabolize them either sequentially or simultaneously. Here, the authors show that a marine bacterium can use a mixed strategy when multiple possible nutrients are provided, and analyse the metabolic pathways involved.</t>
  </si>
  <si>
    <t>[Perrin, Elena; Giovannini, Michele; Fagorzi, Camilla; Fani, Renato; Fondi, Marco] Univ Florence, Dept Biol, Florence, Italy; [Ghini, Veronica] Consorzio Interuniv Risonanze Magnetiche Metallo, Florence, Italy; [Di Patti, Francesca] Univ Florence, Dept Phys &amp; Astron, Florence, Italy; [Di Patti, Francesca; Fondi, Marco] Univ Florence, CSDC, Florence, Italy; [Cardazzo, Barbara; Carraro, Lisa] Univ Padua, Dept Comparat Biomed &amp; Food Sci, Padua, Italy; [Turano, Paola] Univ Florence, Ctr Magnet Resonance CERM, Florence, Italy</t>
  </si>
  <si>
    <t>University of Florence; University of Florence; University of Florence; University of Padua; University of Florence</t>
  </si>
  <si>
    <t>Fondi, M (corresponding author), Univ Florence, Dept Biol, Florence, Italy.;Fondi, M (corresponding author), Univ Florence, CSDC, Florence, Italy.</t>
  </si>
  <si>
    <t>marco.fondi@unifi.it</t>
  </si>
  <si>
    <t>Di Patti, Francesca/G-7072-2011; Perrin, Elena/AAX-2762-2020</t>
  </si>
  <si>
    <t>Perrin, Elena/0000-0001-5148-3178; GHINI, VERONICA/0000-0003-3759-6701; Fondi, Marco/0000-0001-9291-5467; Fagorzi, Camilla/0000-0002-9996-8868</t>
  </si>
  <si>
    <t>Instruct-ERIC, a Landmark ESFRI project; PNRA (Programma Nazionale di Ricerca in Antartide) [PNRA16_00246]</t>
  </si>
  <si>
    <t>Instruct-ERIC, a Landmark ESFRI project; PNRA (Programma Nazionale di Ricerca in Antartide)</t>
  </si>
  <si>
    <t>P.T. and V.G. acknowledge the support and the use of resources of Instruct-ERIC, a Landmark ESFRI project, and specifically the CERM/CIRMMP Italy Centre. M.F. and E.P. would like to thank Prof. Alessio Mengoni for the help in designing the experiments and his critical evaluation of the work. This project was supported by a PNRA (Programma Nazionale di Ricerca in Antartide) grant (grant PNRA16_00246).</t>
  </si>
  <si>
    <t>10.1038/s41467-020-16872-8</t>
  </si>
  <si>
    <t>MF9VW</t>
  </si>
  <si>
    <t>WOS:000545686200003</t>
  </si>
  <si>
    <t>Brainard, J</t>
  </si>
  <si>
    <t>Brainard, Jeffrey</t>
  </si>
  <si>
    <t>Antarctic field season postponed</t>
  </si>
  <si>
    <t>SCIENCE</t>
  </si>
  <si>
    <t>AMER ASSOC ADVANCEMENT SCIENCE</t>
  </si>
  <si>
    <t>1200 NEW YORK AVE, NW, WASHINGTON, DC 20005 USA</t>
  </si>
  <si>
    <t>0036-8075</t>
  </si>
  <si>
    <t>1095-9203</t>
  </si>
  <si>
    <t>Science</t>
  </si>
  <si>
    <t>MD5NG</t>
  </si>
  <si>
    <t>WOS:000544017600005</t>
  </si>
  <si>
    <t>Lattuca, ME; Llompart, F; Avigliano, E; Renzi, M; De Leva, I; Boy, CC; Vanella, FA; Barrantes, ME; Fernández, DA; de Albuquerque, CQ</t>
  </si>
  <si>
    <t>Lattuca, Maria Eugenia; Llompart, Facundo; Avigliano, Esteban; Renzi, Marta; De Leva, Ileana; Boy, Claudia Clementina; Vanella, Fabian Alberto; Barrantes, Maria Eugenia; Fernandez, Daniel Alfredo; de Albuquerque, Cristiano Queiroz</t>
  </si>
  <si>
    <t>First Insights Into the Growth and Population Structure of Cottoperca trigloides (Perciformes, Bovichtidae) From the Southwestern Atlantic Ocean</t>
  </si>
  <si>
    <t>age determination; Cottoperca trigloides; fish stocks; growth; MPA Namuncura/Burdwood Bank; nursery areas; otolith chemistry; southwestern Atlantic Ocean</t>
  </si>
  <si>
    <t>OTOLITH CHEMISTRY; FRESH-WATER; PHYSIOLOGICAL INFLUENCES; PATAGONOTOTHEN-RAMSAYI; STOCK DISCRIMINATION; ELEGINOPS-MACLOVINUS; FISH OTOLITHS; MARINE FISH; HABITAT USE; AGE</t>
  </si>
  <si>
    <t>The aim of this work was to describe the growth of Cottoperca trigloides, a notothenioid species with a non-Antarctic distribution, and to test the existence of different nursery areas and fish stocks through changes in the otolith elemental composition. Fish were collected during spring 2009 over the Patagonia continental shelf, including the Marine Protected Area Namuncura/Burdwood Bank, in the southwestern Atlantic Ocean. The age and growth analyses were performed by counting marks in sagittae, assuming an annual periodicity of their deposition, and identified 8-year classes (0+ to 7+). Given the size range of the fish, length-at-age data were fitted to the Gompertz growth model a TLt = 55.45 [exp ((exp) -0.32 (t - 1.89))1, explaining more than 95% of the growth pattern. Moreover, the chemical composition of otolith core and edge areas was analyzed by laser ablation inductively coupled plasma mass spectrometry. The canonical analysis of principal coordinates successfully allocated 72.92% of the fish for the core and 91.67% for the edge area of the otolith, in three groups corresponding to northern Patagonia shelf, southern Patagonia shelf, and Marine Protected Area Namuncura/Burdwood Bank areas, suggesting a high segregation among them over the Patagonian shelf. Thus, otolith elemental composition has proven to be an efficient approach to identify different nursery areas and stocks for the species. The present results provide new information on the growth and the population structure of C. trigloides, from a geographical area where information on this issue is still scarce, constituting an essential tool to develop conservation principles for the species.</t>
  </si>
  <si>
    <t>[Lattuca, Maria Eugenia; Llompart, Facundo; Boy, Claudia Clementina; Vanella, Fabian Alberto; Barrantes, Maria Eugenia; Fernandez, Daniel Alfredo] CADIC CONICET, Ctr Austral Invest Cient, Lab Ecol Fisiol &amp; Evoluc Organismos Acuat, Ushuaia, Argentina; [Llompart, Facundo; Fernandez, Daniel Alfredo] Univ Nacl Tierra del Fuego, Inst Ciencias Polares Ambiente &amp; Recursos Nat UNT, Ushuaia, Argentina; [Avigliano, Esteban] Univ Buenos Aires, CONICET, UBA, Inst Invest Prod Anim,INPA,Fac Ciencias Vet, Buenos Aires, DF, Argentina; [Renzi, Marta; De Leva, Ileana] Inst Nacl Invest &amp; Desarrollo Pesquero INIDEP, Mar Del Plata, Argentina; [de Albuquerque, Cristiano Queiroz] Univ Fed Rural Semiarido UFERSA, Dept Ciencias Anim, Mossoro, Brazil</t>
  </si>
  <si>
    <t>Consejo Nacional de Investigaciones Cientificas y Tecnicas (CONICET); Consejo Nacional de Investigaciones Cientificas y Tecnicas (CONICET); University of Buenos Aires; Consejo Nacional de Investigaciones Cientificas y Tecnicas (CONICET); National Fisheries Research &amp; Development Institute (INIDEP); Universidade Federal Rural do Semi-Arido (UFERSA)</t>
  </si>
  <si>
    <t>Lattuca, ME (corresponding author), CADIC CONICET, Ctr Austral Invest Cient, Lab Ecol Fisiol &amp; Evoluc Organismos Acuat, Ushuaia, Argentina.</t>
  </si>
  <si>
    <t>elattuca@gmail.com</t>
  </si>
  <si>
    <t>Consejo Nacional de Investigaciones Cientificas y Tecnicas [PIP 0321, PIP 0440, PUE 2016 - CADIC]</t>
  </si>
  <si>
    <t>Consejo Nacional de Investigaciones Cientificas y Tecnicas(Consejo Nacional de Investigaciones Cientificas y Tecnicas (CONICET))</t>
  </si>
  <si>
    <t>This work was supported by the Consejo Nacional de Investigaciones Cientificas y Tecnicas (grant numbers PIP 0321, PIP 0440, and PUE 2016 - CADIC).</t>
  </si>
  <si>
    <t>10.3389/fmars.2020.00421</t>
  </si>
  <si>
    <t>LZ8EO</t>
  </si>
  <si>
    <t>WOS:000541454100001</t>
  </si>
  <si>
    <t>Sacristán-Soriano, O; Criado, NP; Avila, C</t>
  </si>
  <si>
    <t>Sacristan-Soriano, Oriol; Perez Criado, Natalia; Avila, Conxita</t>
  </si>
  <si>
    <t>Host Species Determines Symbiotic Community Composition in Antarctic Sponges (Porifera: Demospongiae)</t>
  </si>
  <si>
    <t>Antarctic Peninsula; South Shetland Islands; sponge holobiont; archaea; benthic ecology</t>
  </si>
  <si>
    <t>AMMONIA-OXIDIZING ARCHAEA; MARINE SPONGES; DECEPTION ISLAND; DIVERSITY; ABUNDANCE; BACTERIA; ECOLOGY; MICROORGANISMS; SPECIFICITY; EVOLUTION</t>
  </si>
  <si>
    <t>The microbiota of four Antarctic sponges, Dendrilla antarctica, Sphaerotylus antarcticus, Mycale acerata, and Hemigellius pilosus, collected at two South Shetland Islands and at two locations in the Antarctic Peninsula separated by ca. 670 km, were analyzed together with surrounding seawater. We used high throughput sequencing of the V4 region of the 16S rRNA gene common to Bacteria and Archaea to investigate the prokaryotic diversity and community composition. Our study reveals that sponge-associated prokaryote communities are consistently detected within a particular sponge species regardless of the collection site. Their community structure and composition are typical of low microbial abundance (LMA) sponges. We conclude that prokaryote communities from Antarctic sponges are less diverse and differ in their composition compared to those in the water column. Microbiome analysis indicates that Antarctic sponges harbor a strict core consisting of seven OTUs, and a small variable community comprising several tens of OTUs. Two abundant prokaryotes from the variable microbiota that are affiliated to the archaeal and bacterial phyla Thaumarchaeota and Nitrospirae may be involved in the sponge nitrification process and might be relevant components of the nitrogen cycling in Antarctica. The likely generalist nature of dominant microbes and the host-specific structure of symbiont communities suggest that these Antarctic sponges represent different ecological niches for particular prokaryotic enrichments.</t>
  </si>
  <si>
    <t>[Sacristan-Soriano, Oriol] Univ Richmond, Dept Biol, Richmond, VA 23173 USA; [Sacristan-Soriano, Oriol] CSIC, CEAB, Blanes, Spain; [Perez Criado, Natalia; Avila, Conxita] Univ Barcelona, Inst Biodivers Res IRBio, Fac Biol, Dept Evolutionary Biol Ecol &amp; Environm Sci, Barcelona, Spain</t>
  </si>
  <si>
    <t>University of Richmond; Consejo Superior de Investigaciones Cientificas (CSIC); CSIC - Centre d'Estudis Avancats de Blanes (CEAB); University of Barcelona</t>
  </si>
  <si>
    <t>Sacristán-Soriano, O (corresponding author), Univ Richmond, Dept Biol, Richmond, VA 23173 USA.;Sacristán-Soriano, O (corresponding author), CSIC, CEAB, Blanes, Spain.</t>
  </si>
  <si>
    <t>osacriso7@gmail.com</t>
  </si>
  <si>
    <t>Spanish Government [CTM2013- 42667/ANT, CTM2016-78901/ANT, CTM2017-88080]; European Union [705464]; Marie Curie Actions (MSCA) [705464] Funding Source: Marie Curie Actions (MSCA)</t>
  </si>
  <si>
    <t>Spanish Government(Spanish Government); European Union(European Union (EU)); Marie Curie Actions (MSCA)(Marie Curie Actions)</t>
  </si>
  <si>
    <t>This work was funded by grants from the Spanish Government: DISTANTCOM (CTM2013- 42667/ANT), BlueBio (CTM2016-78901/ANT), and PopCOmics project (CTM2017-88080; MCIU,AEI/FEDER, UE), as well as the European Union's Horizon 2020 Research and Innovation Program under the Marie Sklodowska-Curie grant agreement 705464 (SCOOBA) to OS-S.</t>
  </si>
  <si>
    <t>10.3389/fmars.2020.00474</t>
  </si>
  <si>
    <t>LZ8FH</t>
  </si>
  <si>
    <t>WOS:000541456000001</t>
  </si>
  <si>
    <t>Berneira, L; da Silva, C; Poletti, T; Ritter, M; dos Santos, M; Colepicolo, P; de Pereira, CMP</t>
  </si>
  <si>
    <t>Berneira, Lucas; da Silva, Caroline; Poletti, Tais; Ritter, Marina; dos Santos, Marco; Colepicolo, Pio; de Pereira, Claudio Martin Pereira</t>
  </si>
  <si>
    <t>Evaluation of the volatile composition and fatty acid profile of seven Antarctic macroalgae</t>
  </si>
  <si>
    <t>Fatty acids; Volatile organic compounds; Antarctic macroalgae; Gas chromatography</t>
  </si>
  <si>
    <t>CHEMICAL-COMPOSITION; SENSORY PROPERTIES; BROWN MACROALGAE; GREEN MACROALGAE; RED ALGAE; BLACK-SEA; EXTRACTION; IDENTIFICATION; OPTIMIZATION; CHLOROPHYTA</t>
  </si>
  <si>
    <t>Fatty acids (FAs) and volatile organic compounds (VOCs) are among bioactive substances produced by macroalgae, which have important reported biological activities. The aim of this work was to determine the diversity of FAs and VOCs in brown, green, and red Antarctic macroalgae. Results showed that seaweeds contained 13 to 25 FAs with a predominance of palmitic, oleic, linoleic, and eicosapentaenoic acids. Concerning VOCs, 28 to 55 distinct compounds could be detected, distributed among aldehydes, hydrocarbons, furan derivatives, and ketones, for instance. Generally, hexanal (5.83%-25.51%), heptadecane (0.92%-49.84%) and 2-pentylfuran (3.02%-12.57%) were found in considerable amounts in the analyzed specimens. It is worth noting that, to the best of our knowledge, this was the first time that Antarctic macroalgae had their VOCs elucidated. Therefore, Antarctic seaweeds were composed of several VOCs and FAs which could assist in the elucidation of secondary metabolites from these organisms.</t>
  </si>
  <si>
    <t>[Berneira, Lucas; da Silva, Caroline; Poletti, Tais; Ritter, Marina; dos Santos, Marco; de Pereira, Claudio Martin Pereira] Univ Fed Pelotas, Bioforens Res Grp, Lipid &amp; Bioorgan Lab, Ctr Chem Pharmaceut &amp; Food Sci, Eliseu Maciel St,S-N, BR-96900010 Pelotas, RS, Brazil; [Colepicolo, Pio] Univ Sao Paulo, Inst Chem, Dept Biochem, Lineu Prestes Ave,748, BR-05508000 Sao Paulo, SP, Brazil</t>
  </si>
  <si>
    <t>Universidade Federal de Pelotas; Universidade de Sao Paulo</t>
  </si>
  <si>
    <t>de Pereira, CMP (corresponding author), Univ Fed Pelotas, Bioforens Res Grp, Lipid &amp; Bioorgan Lab, Ctr Chem Pharmaceut &amp; Food Sci, Eliseu Maciel St,S-N, BR-96900010 Pelotas, RS, Brazil.</t>
  </si>
  <si>
    <t>lahbbioufpel@gmail.com</t>
  </si>
  <si>
    <t>Moraes Berneira, Lucas/0000-0003-0859-9647</t>
  </si>
  <si>
    <t>Brazilian research funding agency National Council for Scientific and Technological Development (CNPq); Brazilian research funding agency Coordination for Improvement of Higher Level Personnel (CAPES) [001]; Brazilian research funding agency Foundation for Research Support of the State of Rio Grande do Sul (FAPERGS); Brazilian research funding agency Foundation for Research Support of the State of SAo Paulo (FAPESP)</t>
  </si>
  <si>
    <t>Brazilian research funding agency National Council for Scientific and Technological Development (CNPq)(Conselho Nacional de Desenvolvimento Cientifico e Tecnologico (CNPQ)Fundacao de Apoio a Pesquisa do Distrito Federal (FAPDF)); Brazilian research funding agency Coordination for Improvement of Higher Level Personnel (CAPES)(Coordenacao de Aperfeicoamento de Pessoal de Nivel Superior (CAPES)); Brazilian research funding agency Foundation for Research Support of the State of Rio Grande do Sul (FAPERGS)(Fundacao de Amparo a Ciencia e Tecnologia do Estado do Rio Grande do Sul (FAPERGS)); Brazilian research funding agency Foundation for Research Support of the State of SAo Paulo (FAPESP)</t>
  </si>
  <si>
    <t>The authors are grateful to the people from the logistic support from the Brazilian Antarctic Program. The authors are also thankful for the financial and fellowship support from the Brazilian research funding agencies National Council for Scientific and Technological Development (CNPq), Coordination for Improvement of Higher Level Personnel (CAPES, Finance Code 001), Foundation for Research Support of the State of Rio Grande do Sul (FAPERGS), and Foundation for Research Support of the State of SAo Paulo (FAPESP).</t>
  </si>
  <si>
    <t>10.1007/s10811-020-02170-9</t>
  </si>
  <si>
    <t>WOS:000541320500004</t>
  </si>
  <si>
    <t>Pascoe, P; McInnes, JC; Lashko, A; Robinson, S; Achurch, H; Salton, M; Alderman, R; Carmichael, N</t>
  </si>
  <si>
    <t>Pascoe, Penelope; McInnes, Julie C.; Lashko, Anna; Robinson, Sue; Achurch, Helen; Salton, Marcus; Alderman, Rachael; Carmichael, Noel</t>
  </si>
  <si>
    <t>Trends in gentoo penguin (Pygoscelis papua) breeding population size at Macquarie Island</t>
  </si>
  <si>
    <t>Population census; Long-term monitoring; Seabird; Breeding success; Southern Ocean; Sub-Antarctic</t>
  </si>
  <si>
    <t>MARION ISLAND; GIANT PETRELS; ERADICATION; SUCCESS; CLIMATE; AREAS; DIET</t>
  </si>
  <si>
    <t>Gentoo penguins (Pygoscelis papua) have a widespread breeding distribution across the sub-Antarctic and Antarctic. Population trends vary across their range, with increases recorded in the Antarctic and Atlantic sectors of the Southern Ocean, while other sub-Antarctic populations are decreasing. Macquarie Island is the only breeding site for gentoo penguins in the Pacific sector of the Southern Ocean and one of just two breeding sites within Australian territories. Eight island-wide censuses were undertaken between 1984 and 2017 to estimate the number of breeding pairs, with a follow-up chick census conducted in four years to calculate breeding success. The most recent census in 2017 recorded the fewest breeding pairs since counts began, with 2527 +/- 66 gentoo pairs island wide. However, breeding success was the highest recorded at 0.99 chicks per nest. Trends in sub-populations around the island differed. However, island-wide breeding pairs have decreased by - 1.8 +/- 0.4% per annum over the past 34 years, particularly driven by breeding colonies in the east-coast section of the island. This overall negative trend differs from the currently stable global trend, but mirrors what is happening in some other parts of the species' sub-Antarctic range. We suggest based on a 50% decrease in breeding pairs over the species' last three generations, and a lack of recent data from Heard Island, Australia's other gentoo penguin breeding site, the species be considered for listing under the AustralianEnvironment Protection and Biodiversity Conservation Act 1999.</t>
  </si>
  <si>
    <t>[Pascoe, Penelope; McInnes, Julie C.] Univ Tasmania, Inst Marine &amp; Antarctic Studies, Private Bag 129, Hobart, Tas 7001, Australia; [McInnes, Julie C.; Alderman, Rachael] Dept Primary Ind Pk Water &amp; Environm, Nat &amp; Cultural Heritage Div, Hobart, Tas, Australia; [Lashko, Anna] Australian Natl Univ, Res Sch Biol, Div Ecol &amp; Evolut, Canberra, ACT, Australia; [Robinson, Sue] Dept Primary Ind Pk Water &amp; Environm, Biosecur Tasmania, Hobart, Tas, Australia; [Achurch, Helen; Salton, Marcus] Dept Agr Water &amp; Environm, Australian Antarctic Div, Kingston, Tas, Australia; [Carmichael, Noel] Dept Primary Ind Pk Water &amp; Environm, Tasmanian Pk &amp; Wildlife Serv, Hobart, Tas, Australia</t>
  </si>
  <si>
    <t>University of Tasmania; Australian National University; Australian Antarctic Division</t>
  </si>
  <si>
    <t>Pascoe, P (corresponding author), Univ Tasmania, Inst Marine &amp; Antarctic Studies, Private Bag 129, Hobart, Tas 7001, Australia.</t>
  </si>
  <si>
    <t>Penelope.Pascoe@utas.edu.au</t>
  </si>
  <si>
    <t>McInnes, Julie C/C-2865-2014; Salton, Marcus/AAC-1616-2022</t>
  </si>
  <si>
    <t>Salton, Marcus/0000-0001-5647-406X</t>
  </si>
  <si>
    <t>Marine Conservation Program (Department of Primary Industries, Parks, Water and Environment); Australian Antarctic Division</t>
  </si>
  <si>
    <t>Monitoring of gentoo penguin numbers on Macquarie Island has been carried out by the Tasmanian Parks and Wildlife Service (TasPWS), with support from the Marine Conservation Program (Department of Primary Industries, Parks, Water and Environment) and the Australian Antarctic Division. Thanks to the TasPWS rangers and to the Australian National Antarctic Research Expedition teams who have assisted with collecting census data over the years.</t>
  </si>
  <si>
    <t>10.1007/s00300-020-02697-0</t>
  </si>
  <si>
    <t>MB6FI</t>
  </si>
  <si>
    <t>WOS:000541307200001</t>
  </si>
  <si>
    <t>Clay, TA; Joo, R; Weimerskirch, H; Phillips, RA; den Ouden, O; Basille, M; Clusella-Trullas, S; Assink, JD; Patrick, SC</t>
  </si>
  <si>
    <t>Clay, Thomas A.; Joo, Rocio; Weimerskirch, Henri; Phillips, Richard A.; den Ouden, Olivier; Basille, Mathieu; Clusella-Trullas, Susana; Assink, Jelle D.; Patrick, Samantha C.</t>
  </si>
  <si>
    <t>Sex-specific effects of wind on the flight decisions of a sexually dimorphic soaring bird</t>
  </si>
  <si>
    <t>JOURNAL OF ANIMAL ECOLOGY</t>
  </si>
  <si>
    <t>biologging; foraging behaviour; hidden Markov model; movement ecology; niche specialization; optimization; sexual segregation; wandering albatross</t>
  </si>
  <si>
    <t>HIDDEN MARKOV-MODELS; WANDERING ALBATROSSES; ENERGY LANDSCAPES; FORAGING ECOLOGY; ANIMAL MOVEMENT; HABITAT USE; BEHAVIOR; SPEED; SEABIRDS; PETRELS</t>
  </si>
  <si>
    <t>In a highly dynamic airspace, flying animals are predicted to adjust foraging behaviour to variable wind conditions to minimize movement costs. Sexual size dimorphism is widespread in wild animal populations, and for large soaring birds which rely on favourable winds for energy-efficient flight, differences in morphology, wing loading and associated flight capabilities may lead males and females to respond differently to wind. However, the interaction between wind and sex has not been comprehensively tested. We investigated, in a large sexually dimorphic seabird which predominantly uses dynamic soaring flight, whether flight decisions are modulated to variation in winds over extended foraging trips, and whether males and females differ. Using GPS loggers we tracked 385 incubation foraging trips of wandering albatrossesDiomedea exulans, for which males arec. 20% larger than females, from two major populations (Crozet and South Georgia). Hidden Markov models were used to characterize behavioural states-directed flight, area-restricted search (ARS) and resting-and model the probability of transitioning between states in response to wind speed and relative direction, and sex. Wind speed and relative direction were important predictors of state transitioning. Birds were much more likely to take off (i.e. switch from rest to flight) in stronger headwinds, and as wind speeds increased, to be in directed flight rather than ARS. Males from Crozet but not South Georgia experienced stronger winds than females, and males from both populations were more likely to take-off in windier conditions. Albatrosses appear to deploy an energy-saving strategy by modulating taking-off, their most energetically expensive behaviour, to favourable wind conditions. The behaviour of males, which have higher wing loading requiring faster speeds for gliding flight, was influenced to a greater degree by wind than females. As such, our results indicate that variation in flight performance drives sex differences in time-activity budgets and may lead the sexes to exploit regions with different wind regimes.</t>
  </si>
  <si>
    <t>[Clay, Thomas A.; Patrick, Samantha C.] Univ Liverpool, Sch Environm Sci, Liverpool, Merseyside, England; [Joo, Rocio; Basille, Mathieu] Univ Florida, Ft Lauderdale Res &amp; Educ Ctr, Dept Wildlife Ecol &amp; Conservat, Davie, FL USA; [Weimerskirch, Henri] CNRS UMR 7273, Ctr Etud Biol Chize, Villiers En Bois, France; [Phillips, Richard A.] NERC, British Antarctic Survey, Cambridge, England; [den Ouden, Olivier; Assink, Jelle D.] Royal Netherlands Meteorol Inst, R&amp;D Seismol &amp; Acoust, De Bilt, Netherlands; [den Ouden, Olivier] Delft Univ Technol, Fac Civil Engn &amp; Geosci, Dept Geosci &amp; Engn, Delft, Netherlands; [Clusella-Trullas, Susana] Stellenbosch Univ, Dept Bot &amp; Zool, Stellenbosch, South Africa; [Clusella-Trullas, Susana] Stellenbosch Univ, Ctr Invas Biol, Stellenbosch, South Africa</t>
  </si>
  <si>
    <t>University of Liverpool; State University System of Florida; University of Florida; UK Research &amp; Innovation (UKRI); Natural Environment Research Council (NERC); NERC British Antarctic Survey; Royal Netherlands Meteorological Institute; Delft University of Technology; Stellenbosch University; Stellenbosch University</t>
  </si>
  <si>
    <t>Clay, TA (corresponding author), Univ Liverpool, Sch Environm Sci, Liverpool, Merseyside, England.</t>
  </si>
  <si>
    <t>tommy.clay@outlook.com</t>
  </si>
  <si>
    <t>Weimerskirch, Henri/F-5562-2013; Clay, Tommy/W-4867-2019; Basille, Mathieu/A-6133-2017</t>
  </si>
  <si>
    <t>Clay, Tommy/0000-0002-0644-6105; Joo, Rocio/0000-0003-0319-4210; Basille, Mathieu/0000-0001-9366-7127; Assink, Jelle/0000-0002-4990-6845; Clusella-Trullas, Susana/0000-0002-8891-3597</t>
  </si>
  <si>
    <t>Human Frontier Science Program Young Investigator Grant [RGY0072/2017]; Terres Australes Antarctique Francaises; NERC; Institut Polaire Francais; NERC [bas0100035] Funding Source: UKRI</t>
  </si>
  <si>
    <t>Human Frontier Science Program Young Investigator Grant(Human Frontier Science Program); Terres Australes Antarctique Francaises; NERC(UK Research &amp; Innovation (UKRI)Natural Environment Research Council (NERC)); Institut Polaire Francais; NERC(UK Research &amp; Innovation (UKRI)Natural Environment Research Council (NERC))</t>
  </si>
  <si>
    <t>Human Frontier Science Program Young Investigator Grant, Grant/Award Number: RGY0072/2017; Institut Polaire Francais; Terres Australes Antarctique Francaises; NERC</t>
  </si>
  <si>
    <t>0021-8790</t>
  </si>
  <si>
    <t>1365-2656</t>
  </si>
  <si>
    <t>J ANIM ECOL</t>
  </si>
  <si>
    <t>J. Anim. Ecol.</t>
  </si>
  <si>
    <t>10.1111/1365-2656.13267</t>
  </si>
  <si>
    <t>Ecology; Zoology</t>
  </si>
  <si>
    <t>Environmental Sciences &amp; Ecology; Zoology</t>
  </si>
  <si>
    <t>MU3PL</t>
  </si>
  <si>
    <t>WOS:000541053600001</t>
  </si>
  <si>
    <t>Harris, A; Lazaratos, M; Siemers, M; Watt, E; Hoang, A; Tomida, S; Schubert, L; Saita, M; Heberle, J; Furutani, Y; Kandori, H; Bondar, AN; Brown, LS</t>
  </si>
  <si>
    <t>Harris, Andrew; Lazaratos, Michalis; Siemers, Malte; Watt, Ethan; Hoang, Anh; Tomida, Sahoko; Schubert, Luiz; Saita, Mattia; Heberle, Joachim; Furutani, Yuji; Kandori, Hideki; Bondar, Ana-Nicoleta; Brown, Leonid S.</t>
  </si>
  <si>
    <t>Mechanism of Inward Proton Transport in an Antarctic Microbial Rhodopsin</t>
  </si>
  <si>
    <t>JOURNAL OF PHYSICAL CHEMISTRY B</t>
  </si>
  <si>
    <t>ANABAENA SENSORY RHODOPSIN; RETINAL SCHIFF-BASE; MCMURDO DRY VALLEYS; PARTICLE MESH EWALD; MOLECULAR-DYNAMICS; NATRONOBACTERIUM-PHARAONIS; CRYSTAL-STRUCTURE; ALL-TRANS; CHROMOPHORE ISOMERIZATION; GLOEOBACTER RHODOPSIN</t>
  </si>
  <si>
    <t>Although the outward-directed proton transport across biological membranes is well studied and its importance for bioenergetics is clearly understood, inward-directed light-driven proton pumping by microbial rhodopsins has remained a mystery both physiologically and mechanistically. A new family of Antarctic rhodopsins, which is a subgroup within a novel class of schizorhodopsins reported recently, includes a member, denoted as AntR, which proved amenable to extensive characterization with experiments and computation. Phylogenetic analyses identify AntR as distinct from the well-studied microbial rhodopsins that function as outward-directed ion pumps, and bioinformatics sequence analyses reveal amino acid substitutions at conserved sites essential for outward proton pumping. Modeling and numerical simulations of AntR, combined with advanced analyses using the graph theory and centrality measures from social sciences, identify the dynamic three-dimensional network of hydrogen-bonded water molecules and amino acid residues that function as communication hubs in AntR. This network undergoes major rearrangement upon retinal isomerization, showing important changes in the connectivity of the active center, retinal Schiff base, to the opposing sides of the membrane, as required for proton transport. Numerical simulations and experimental studies of the photochemical cycle of AntR by spectroscopy and sitedirected mutagenesis allowed us to identify pathways that could conduct protons in the direction opposite to that commonly known for outward-directed pumps.</t>
  </si>
  <si>
    <t>[Lazaratos, Michalis; Siemers, Malte; Bondar, Ana-Nicoleta] Free Univ Berlin, Dept Phys, Theoret Mol Biophys Grp, D-14195 Berlin, Germany; [Harris, Andrew; Watt, Ethan; Hoang, Anh; Brown, Leonid S.] Univ Guelph, Dept Phys, Guelph, ON N1G 2W1, Canada; [Tomida, Sahoko; Furutani, Yuji; Kandori, Hideki] Nagoya Inst Technol, Dept Life Sci &amp; Appl Chem, Nagoya, Aichi 4668555, Japan; [Schubert, Luiz; Saita, Mattia; Heberle, Joachim] Free Univ Berlin, Dept Phys, Expt Mol Biophys Grp, D-14195 Berlin, Germany</t>
  </si>
  <si>
    <t>Free University of Berlin; University of Guelph; Nagoya Institute of Technology; Free University of Berlin</t>
  </si>
  <si>
    <t>Bondar, AN (corresponding author), Free Univ Berlin, Dept Phys, Theoret Mol Biophys Grp, D-14195 Berlin, Germany.;Brown, LS (corresponding author), Univ Guelph, Dept Phys, Guelph, ON N1G 2W1, Canada.</t>
  </si>
  <si>
    <t>nbondar@zedat.fu-berlin.de; lebrown@uoguelph.ca</t>
  </si>
  <si>
    <t>Furutani, Yuji/J-8337-2019; Heberle, Joachim/D-8605-2016; Brown, Leonid/X-7445-2019; Schubert, Luiz/AAN-3618-2021</t>
  </si>
  <si>
    <t>Furutani, Yuji/0000-0001-5284-8773; Heberle, Joachim/0000-0001-6321-2615; Brown, Leonid/0000-0002-5614-8317; Schubert, Luiz/0000-0002-3805-1319; Lazaratos, Michail/0000-0001-7587-6769; Bondar, Ana-Nicoleta/0000-0003-2636-9773</t>
  </si>
  <si>
    <t>Canada Foundation for Innovation/Ontario Innovation Trust; Natural Sciences and Engineering Research Council of Canada (NSERC) [RGPIN-2018-04397]; University of Guelph; Excellence Initiative via the Freie Universitat Berlin; JSPS KAKENHI [19H05784]; CREST [JPMJCR17N5]; German Research Foundation via Collaborative Research Center [SFB 1078]; NSERC Postgraduate Doctoral Scholarship; DAAD Research Scholarship; MITACS Globalink Scholarship; Graduate Tuition Scholarship from the University of Guelph; NSERC undergraduate summer research award (USRA); International Max Planck Research School on Multiscale Bio-Systems; Grants-in-Aid for Scientific Research [20K21251, 19H05784] Funding Source: KAKEN</t>
  </si>
  <si>
    <t>Canada Foundation for Innovation/Ontario Innovation Trust(Canada Foundation for Innovation); Natural Sciences and Engineering Research Council of Canada (NSERC)(Natural Sciences and Engineering Research Council of Canada (NSERC)); University of Guelph; Excellence Initiative via the Freie Universitat Berlin; JSPS KAKENHI(Ministry of Education, Culture, Sports, Science and Technology, Japan (MEXT)Japan Society for the Promotion of ScienceGrants-in-Aid for Scientific Research (KAKENHI)); CREST(Core Research for Evolutional Science and Technology (CREST)); German Research Foundation via Collaborative Research Center; NSERC Postgraduate Doctoral Scholarship(European Research Council (ERC)); DAAD Research Scholarship; MITACS Globalink Scholarship; Graduate Tuition Scholarship from the University of Guelph; NSERC undergraduate summer research award (USRA); International Max Planck Research School on Multiscale Bio-Systems; Grants-in-Aid for Scientific Research(Ministry of Education, Culture, Sports, Science and Technology, Japan (MEXT)Japan Society for the Promotion of ScienceGrants-in-Aid for Scientific Research (KAKENHI))</t>
  </si>
  <si>
    <t>The research was supported by grants from the Canada Foundation for Innovation/Ontario Innovation Trust, the Natural Sciences and Engineering Research Council of Canada (NSERC, discovery grant RGPIN-2018-04397 and several RTI infrastructure grants) and the University of Guelph for L.S.B.; by funding from the Excellence Initiative via the Freie Universitat Berlin and computing resources from the North German Supercomputing Center, HLRN (all to A.-N.B.); by JSPS KAKENHI grants (19H05784 to Y. F.) and CREST (JPMJCR17N5 to Y.F.); and by the German Research Foundation via Collaborative Research Center SFB 1078 Protonation dynamics in protein function, projects B3 (J.H.) and C4 (A.-N.B.). A.H. is a recipient of the NSERC Postgraduate Doctoral Scholarship, DAAD Research Scholarship, MITACS Globalink Scholarship, and the Graduate Tuition Scholarship from the University of Guelph; E.W. was a recipient of the NSERC undergraduate summer research award (USRA); L.S. thanks the International Max Planck Research School on Multiscale Bio-Systems for funding. L.S.B. wants to thank Yuri Wolf (NCBI, NLM, NIH), Armen Mulkidjanian (University of Osnabruck), Oded Beja (Technion), Janet Wood (University of Guelph), Victor A. Lorenz-Fonfria (University of Valencia), Keiichi Inoue (University of Tokyo), and Elena Govorunova (University of Texas Health Science Center at Houston) for fruitful discussions.</t>
  </si>
  <si>
    <t>1520-6106</t>
  </si>
  <si>
    <t>1520-5207</t>
  </si>
  <si>
    <t>J PHYS CHEM B</t>
  </si>
  <si>
    <t>J. Phys. Chem. B</t>
  </si>
  <si>
    <t>JUN 18</t>
  </si>
  <si>
    <t>10.1021/acs.jpcb.0c02767</t>
  </si>
  <si>
    <t>MP7TI</t>
  </si>
  <si>
    <t>WOS:000552403500001</t>
  </si>
  <si>
    <t>Schiariti, A; Dutto, MS; Oliveira, OM; Siquier, GF; Tapia, FAP; Chiaverano, L</t>
  </si>
  <si>
    <t>Schiariti, Agustin; Sofia Dutto, Maria; Oliveira, Otto M.; Faillia Siquier, Gabriela; Puente Tapia, Francisco Alejandro; Chiaverano, Luciano</t>
  </si>
  <si>
    <t>Overview of the comb jellies (Ctenophora) from the South-western Atlantic and Sub Antarctic region (32-60°S; 34-70°W)</t>
  </si>
  <si>
    <t>NEW ZEALAND JOURNAL OF MARINE AND FRESHWATER RESEARCH</t>
  </si>
  <si>
    <t>Jellyfish; ctenophores; gelatinous zooplankton; Argentina; Uruguay</t>
  </si>
  <si>
    <t>MNEMIOPSIS-LEIDYI CTENOPHORA; MERLUCCIUS-HUBBSI LARVAE; GELATINOUS ZOOPLANKTON; PELAGIC CNIDARIANS; ACARTIA-TONSA; SOUTHWESTERN ATLANTIC; RELATIVE PREDATION; LOBATE CTENOPHORE; NATURAL-HISTORY; CHESAPEAKE-BAY</t>
  </si>
  <si>
    <t>Ctenophora are important components of marine ecosystems. However, the South-western Atlantic and Sub Antarctic region are still one of the least studied region in the world. We report the species composition and spatial distribution of Ctenophora and reviewed the studies performed in this region. New data obtained between 1910 and 2019, encompassing an area of c. 7 million km(2)(32-60 degrees S, 34-70 degrees W) were presented and published information was added. We confirm the occurrence of nine taxa, seven of which have been previously reported in the region.Mnemiopsis leidyiandPleurobrachia pileuswere the most frequent and numerous species.Beroe ovatawas frequently observed but reaching high numbers only occasionally.Beroe cucumiswas always observed in low numbers.Callianira antarctica,Lampea pancerinaandMertensia ovumhave been reported few times as single individuals.EurhamphaeaandBeroesp. were found for the first time in the study region. This overview represents the state of the art in ctenophore research for the studied region, providing new knowledge on species composition and patterns of spatial distribution in the area.</t>
  </si>
  <si>
    <t>[Schiariti, Agustin; Puente Tapia, Francisco Alejandro] Inst Nacl Invest &amp; Desarrollo Pesquero INIDEP, Mar Del Plata, Argentina; [Schiariti, Agustin; Puente Tapia, Francisco Alejandro] Consejo Nacl Invest Cient &amp; Tecn CONICET, Buenos Aires, DF, Argentina; [Sofia Dutto, Maria] CONICET UNS, Ctr Cient Tecnol Bahia Blanca, Inst Argentino Oceanog IADO, Bahia Blanca, Buenos Aires, Argentina; [Oliveira, Otto M.] Univ Fed ABC, Ctr Ciencias Nat &amp; Humanas, Sao Paulo, Brazil; [Faillia Siquier, Gabriela] Univ Republica, Fac Ciencias, Dept Biol Anim, Secc Zool Invertebrados, Montevideo, Uruguay; [Chiaverano, Luciano] Univ Southern Mississippi, Div Marine Sci, Hattiesburg, MS 39406 USA</t>
  </si>
  <si>
    <t>Consejo Nacional de Investigaciones Cientificas y Tecnicas (CONICET); National Fisheries Research &amp; Development Institute (INIDEP); Consejo Nacional de Investigaciones Cientificas y Tecnicas (CONICET); National University of the South; Consejo Nacional de Investigaciones Cientificas y Tecnicas (CONICET); Universidade Federal do ABC (UFABC); Universidad de la Republica, Uruguay; University of Southern Mississippi</t>
  </si>
  <si>
    <t>Schiariti, A (corresponding author), Inst Nacl Invest &amp; Desarrollo Pesquero INIDEP, Mar Del Plata, Argentina.;Schiariti, A (corresponding author), Consejo Nacl Invest Cient &amp; Tecn CONICET, Buenos Aires, DF, Argentina.</t>
  </si>
  <si>
    <t>agustin@inidep.edu.ar</t>
  </si>
  <si>
    <t>Schiariti, Agustin/K-5028-2012; Oliveira, Otto Müller M.P. Patrão/B-1946-2010</t>
  </si>
  <si>
    <t>Puente Tapia, Francisco Alejandro/0000-0002-5815-2600</t>
  </si>
  <si>
    <t>INIDEP; FONCyT [PICT 2015-1151, PICT 2018-3872]</t>
  </si>
  <si>
    <t>INIDEP; FONCyT(FONCyT)</t>
  </si>
  <si>
    <t>This work was supported by the INIDEP and FONCyT [grant numbers PICT 2015-1151 and PICT 2018-3872]. This is INIDEP contribution No 2212.</t>
  </si>
  <si>
    <t>0028-8330</t>
  </si>
  <si>
    <t>1175-8805</t>
  </si>
  <si>
    <t>NEW ZEAL J MAR FRESH</t>
  </si>
  <si>
    <t>N. Z. J. Mar. Freshw. Res.</t>
  </si>
  <si>
    <t>APR 3</t>
  </si>
  <si>
    <t>10.1080/00288330.2020.1775660</t>
  </si>
  <si>
    <t>SC1KX</t>
  </si>
  <si>
    <t>WOS:000548652100001</t>
  </si>
  <si>
    <t>Rolph, RJ; Feltham, DL; Schröder, D</t>
  </si>
  <si>
    <t>Rolph, Rebecca J.; Feltham, Daniel L.; Schroder, David</t>
  </si>
  <si>
    <t>Changes of the Arctic marginal ice zone during the satellite era</t>
  </si>
  <si>
    <t>FLOE SIZE DISTRIBUTION; ANTARCTIC SEA-ICE; THERMODYNAMIC MODEL; PACK ICE; OCEAN; THICKNESS; IMPACT; BREAKUP</t>
  </si>
  <si>
    <t>Many studies have shown a decrease in Arctic sea ice extent. It does not logically follow, however, that the extent of the marginal ice zone (MIZ), here defined as the area of the ocean with ice concentrations from 15 % to 80 %, is also changing. Changes in the MIZ extent has implications for the level of atmospheric and ocean heat and gas exchange in the area of partially ice-covered ocean and for the extent of habitat for organisms that rely on the MIZ, from primary producers like sea ice algae to seals and birds. Here, we present, for the first time, an analysis of satellite observations of pan-Arctic averaged MIZ extent. We find no trend in the MIZ extent over the last 40 years from observations. Our results indicate that the constancy of the MIZ extent is the result of an observed increase in width of the MIZ being compensated for by a decrease in the perimeter of the MIZ as it moves further north. We present simulations from a coupled sea ice-ocean mixed layer model using a prognostic floe size distribution, which we find is consistent with, but poorly constrained by, existing satellite observations of pan-Arctic MIZ extent. We provide seasonal upper and lower bounds on MIZ extent based on the four satellite-derived sea ice concentration datasets used. We find a large and significant increase (&gt; 50 %) in the August and September MIZ fraction (MIZ extent divided by sea ice extent) for the Bootstrap and OSI-450 observational datasets, which can be attributed to the reduction in total sea ice extent. Given the results of this study, we suggest that references to rapid changes in the MIZ should remain cautious and provide a specific and clear definition of both the MIZ itself and also the property of the MIZ that is changing.</t>
  </si>
  <si>
    <t>[Rolph, Rebecca J.; Feltham, Daniel L.; Schroder, David] Univ Reading, Ctr Polar Observat &amp; Modelling, Dept Meteorol, Reading RG6 6BB, Berks, England; [Rolph, Rebecca J.] Helmholtz Ctr Polar &amp; Marine Res, Alfred Wegener Inst, Potsdam, Germany</t>
  </si>
  <si>
    <t>University of Reading; Helmholtz Association; Alfred Wegener Institute, Helmholtz Centre for Polar &amp; Marine Research</t>
  </si>
  <si>
    <t>Rolph, RJ (corresponding author), Univ Reading, Ctr Polar Observat &amp; Modelling, Dept Meteorol, Reading RG6 6BB, Berks, England.;Rolph, RJ (corresponding author), Helmholtz Ctr Polar &amp; Marine Res, Alfred Wegener Inst, Potsdam, Germany.</t>
  </si>
  <si>
    <t>rebecca.rolph@awi.de</t>
  </si>
  <si>
    <t>Schroeder, David/0000-0003-2351-4306; Feltham, Daniel/0000-0003-2289-014X; Fuchs, Rebecca/0000-0002-8583-5933</t>
  </si>
  <si>
    <t>NERC (National Environmental Research Council of the UK) [NE/R000654/1]; NERC [NE/T009470/1, cpom30001] Funding Source: UKRI</t>
  </si>
  <si>
    <t>NERC (National Environmental Research Council of the UK); NERC(UK Research &amp; Innovation (UKRI)Natural Environment Research Council (NERC))</t>
  </si>
  <si>
    <t>This research has been supported by the NERC (National Environmental Research Council of the UK (grant no. NE/R000654/1)).</t>
  </si>
  <si>
    <t>10.5194/tc-14-1971-2020</t>
  </si>
  <si>
    <t>MB9SF</t>
  </si>
  <si>
    <t>WOS:000542936900002</t>
  </si>
  <si>
    <t>Kriest, I; Kähler, P; Koeye, W; Kyale, K; Sauerland, V; Oschlies, A</t>
  </si>
  <si>
    <t>Kriest, Iris; Kaehler, Paul; Koeye, Wolfgang; Kyale, Karin; Sauerland, Volkmar; Oschlies, Andreas</t>
  </si>
  <si>
    <t>One size fits all? Calibrating an ocean biogeochemistry model for different circulations</t>
  </si>
  <si>
    <t>OXYGEN MINIMUM ZONES; EARTH SYSTEM MODEL; ORGANIC-CARBON; DEEP-OCEAN; REMINERALIZATION; SOUTHERN; PERFORMANCE; NITROGEN; TRACER; FLUX</t>
  </si>
  <si>
    <t>Global biogeochemical ocean models are often tuned to match the observed distributions and fluxes of inorganic and organic quantities. This tuning is typically carried out by hand. However, this rather subjective approach might not yield the best fit to observations, is closely linked to the circulation employed and is thus influenced by its specific features and even its faults. We here investigate the effect of model tuning, via objective optimisation, of one biogeochemical model of intermediate complexity when simulated in five different offline circulations. For each circulation, three of six model parameters have been adjusted to characteristic features of the respective circulation. The values of these three parameters - namely, the oxygen utilisation of remineralisation, the particle flux parameter and potential nitrogen fixation rate - correlate significantly with deep mixing and ideal age of North Atlantic Deep Water (NADW) and the outcrop area of Antarctic Intermediate Waters (AAIW) and Subantarctic Mode Water (SAMW) in the Southern Ocean. The clear relationship between these parameters and circulation characteristics, which can be easily diagnosed from global models, can provide guidance when tuning global biogeochemistry within any new circulation model. The results from 20 global cross-validation experiments show that parameter sets optimised for a specific circulation can be transferred between similar circulations without losing too much of the model's fit to observed quantities. When compared to model intercomparisons of subjectively tuned, global coupled biogeochemistry-circulation models, each with different circulation and/or biogeochemistry, our results show a much lower range of oxygen inventory, oxygen minimum zone (OMZ) volume and global biogeochemical fluxes. Export production depends to a large extent on the circulation applied, while deep particle flux is mostly determined by the particle flux parameter. Oxygen inventory, OMZ volume, primary production and fixed-nitrogen turnover depend more or less equally on both factors, with OMZ volume showing the highest sensitivity, and residual variability. These results show a beneficial effect of optimisation, even when a biogeochemical model is first optimised in a relatively coarse circulation and then transferred to a different finer-resolution circulation model.</t>
  </si>
  <si>
    <t>[Kriest, Iris; Kaehler, Paul; Koeye, Wolfgang; Kyale, Karin; Sauerland, Volkmar; Oschlies, Andreas] GEOMAR Helmholtz Zentrum Ozeanforsch Kiel, Dusternbrooker Weg 20, D-24105 Kiel, Germany; [Sauerland, Volkmar] Univ Kiel, Dept Math, Christian Albrechts Pl 4, D-24118 Kiel, Germany</t>
  </si>
  <si>
    <t>Helmholtz Association; GEOMAR Helmholtz Center for Ocean Research Kiel; University of Kiel</t>
  </si>
  <si>
    <t>Kriest, I (corresponding author), GEOMAR Helmholtz Zentrum Ozeanforsch Kiel, Dusternbrooker Weg 20, D-24105 Kiel, Germany.</t>
  </si>
  <si>
    <t>ikriest@geomar.de</t>
  </si>
  <si>
    <t>Kvale, Karin F/A-7597-2013; Kriest, Iris/B-2741-2014; Oschlies, Andreas/F-9749-2012; Kvale, Karin/T-1231-2018; Koeve, Wolfgang/B-6362-2008</t>
  </si>
  <si>
    <t>Kvale, Karin/0000-0001-8043-5431; Koeve, Wolfgang/0000-0002-2298-9230; Sauerland, Volkmar/0000-0003-3787-111X</t>
  </si>
  <si>
    <t>Bundesministerium fur Bildung und Forschung [FKZ01LP1512A]</t>
  </si>
  <si>
    <t>Bundesministerium fur Bildung und Forschung(Federal Ministry of Education &amp; Research (BMBF))</t>
  </si>
  <si>
    <t>This research has been supported by the Bundesministerium fur Bildung und Forschung (grant no. FKZ01LP1512A).</t>
  </si>
  <si>
    <t>10.5194/bg-17-3057-2020</t>
  </si>
  <si>
    <t>MB9NH</t>
  </si>
  <si>
    <t>WOS:000542923400001</t>
  </si>
  <si>
    <t>Steiner, Z; Sarkar, A; Prakash, S; Vinaychandran, PN; Turchyn, AV</t>
  </si>
  <si>
    <t>Steiner, Zvi; Sarkar, Amit; Prakash, Satya; Vinaychandran, P. N.; Turchyn, Alexandra, V</t>
  </si>
  <si>
    <t>Dissolved Strontium, Sr/Ca Ratios, and the Abundance of Acantharia in the Indian and Southern Oceans</t>
  </si>
  <si>
    <t>strontium; calcium; Acantharia; Sr/Ca; Southern Ocean; Indian Ocean</t>
  </si>
  <si>
    <t>PARTICULATE MATTER; VERTICAL FLUX; DEEP-OCEAN; ATLANTIC; PACIFIC; CHEMISTRY; SEAWATER; BASIN; PRECIPITATION; ARAGONITE</t>
  </si>
  <si>
    <t>We report measurements of strontium concentrations and Sr/Ca ratios in the Indian and Southern Oceans, which show that subtle geochemical variations along the main thermocline are the product of calcium carbonate (CaCO3) and celestite (SrSO4) precipitation and dissolution. Our calculations suggest that celestite skeletons precipitated by Acantharia contribute up to 10 mol % of the combined amount of carbonate and celestite shells precipitated in the Indian Ocean. The data suggest that the distribution of the concentration of strontium in the global ocean is governed by the different modes of deep-water formation in the Southern Ocean and North Atlantic. The formation of Antarctic bottom waters from strontium-rich, upwelled deep waters forms a southern end member contrasted with the strontium-depleted North Atlantic deep water. The difference in strontium concentrations and Sr/Ca ratios of the different water masses reported here is maintained by precipitation, export, and dissolution of CaCO3 and SrSO4. These preformed strontium concentrations correlate linearly with nitrate and phosphate concentrations in the Indian Ocean, but this correlation is weaker in low latitudes, where the mixotrophic lifestyle of Acantharia allows them to thrive in nutrient-depleted environments.</t>
  </si>
  <si>
    <t>[Steiner, Zvi; Turchyn, Alexandra, V] Univ Cambridge, Dept Earth Sci, Cambridge CB2 3EQ, England; [Steiner, Zvi] GEOMAR Helmholtz Ctr Ocean Res Kiel, D-24148 Kiel, Germany; [Sarkar, Amit] Minist Earth Sci, Natl Ctr Antarctic &amp; Ocean Res, Vasco Da Gama 403804, Goa, India; [Prakash, Satya] Indian Natl Ctr Ocean Informat Serv, Hyderabad 500090, Telangana, India; [Vinaychandran, P. N.] Indian Inst Sci, Bangalore 560012, Karnataka, India</t>
  </si>
  <si>
    <t>University of Cambridge; Helmholtz Association; GEOMAR Helmholtz Center for Ocean Research Kiel; Ministry of Earth Sciences (MoES) - India; National Centre for Polar and Ocean Research (NCPOR); Ministry of Earth Sciences (MoES) - India; Indian National Centre for Ocean Information Services (INCOIS); Indian Institute of Science (IISC) - Bangalore</t>
  </si>
  <si>
    <t>Steiner, Z (corresponding author), Univ Cambridge, Dept Earth Sci, Cambridge CB2 3EQ, England.;Steiner, Z (corresponding author), GEOMAR Helmholtz Ctr Ocean Res Kiel, D-24148 Kiel, Germany.</t>
  </si>
  <si>
    <t>zsteiner@geomar.de</t>
  </si>
  <si>
    <t>Prakash, Satya/HNS-9397-2023; Steiner, Zvi/J-1260-2019</t>
  </si>
  <si>
    <t>Steiner, Zvi/0000-0002-9584-4956</t>
  </si>
  <si>
    <t>European Research Council (ERC) [307582]; Natural Environment Research Council (NERC) [NE/S001344/1]; Blavatnik postdoctoral fellowship; Isaac Newton Trust grant; Indian National Centre for Ocean Information Services (INCOIS); NERC [NE/S001344/1] Funding Source: UKRI</t>
  </si>
  <si>
    <t>European Research Council (ERC)(European Research Council (ERC)Spanish Government); Natural Environment Research Council (NERC)(UK Research &amp; Innovation (UKRI)Natural Environment Research Council (NERC)); Blavatnik postdoctoral fellowship; Isaac Newton Trust grant; Indian National Centre for Ocean Information Services (INCOIS); NERC(UK Research &amp; Innovation (UKRI)Natural Environment Research Council (NERC))</t>
  </si>
  <si>
    <t>The study was funded by European Research Council (ERC) Grant Stg (307582) CARBONSINK and Natural Environment Research Council (NERC) Grant NE/S001344/1 to Alexandra V. Turchyn. A Blavatnik postdoctoral fellowship and an Isaac Newton Trust grant supported Zvi Steiner. The cruise on board RV Sagar Nidhi was supported by the Indian National Centre for Ocean Information Services (INCOIS) as the first cruise of the Second International Indian Ocean Expedition (IIOE-2). The authors thank Patrick Martin for advice on Acantharia and their identification and Deborah Wall-Palmer for providing plankton net data and the images of Acantharia. Mervyn Greaves provided valuable assistance with the ICP analyses. Harold Bradbury and Ruth Hindshaw assisted with TIMS measurements of calcium concentrations. The authors thank James Bishop for reading and commenting on a previous version of this manuscript and Liselotte Tinel for logistic assistance with the Southern Ocean samples.</t>
  </si>
  <si>
    <t>10.1021/acsearthspacechem.9b00281</t>
  </si>
  <si>
    <t>MQ1PW</t>
  </si>
  <si>
    <t>WOS:000552671200001</t>
  </si>
  <si>
    <t>Ohta, J; Yasukawa, K; Nozaki, T; Takaya, Y; Mimura, K; Fujinaga, K; Nakamura, K; Usui, Y; Kimura, JI; Chang, Q; Kato, Y</t>
  </si>
  <si>
    <t>Ohta, Junichiro; Yasukawa, Kazutaka; Nozaki, Tatsuo; Takaya, Yutaro; Mimura, Kazuhide; Fujinaga, Koichiro; Nakamura, Kentaro; Usui, Yoichi; Kimura, Jun-Ichi; Chang, Qing; Kato, Yasuhiro</t>
  </si>
  <si>
    <t>Fish proliferation and rare-earth deposition by topographically induced upwelling at the late Eocene cooling event</t>
  </si>
  <si>
    <t>REY-RICH MUD; OSMIUM ISOTOPE COMPOSITION; DEEP-SEA MUD; NORTH PACIFIC; CENOZOIC SEDIMENTATION; OLIGOCENE TRANSITION; OCEAN; GEOCHEMISTRY; CIRCULATION; HISTORY</t>
  </si>
  <si>
    <t>The deep-sea clay that covers wide areas of the pelagic ocean bottom provides key information about open-ocean environments but lacks age-diagnostic calcareous or siliceous microfossils. The marine osmium isotope record has varied in response to environmental changes and can therefore be a useful stratigraphic marker. In this study, we used osmium isotope ratios to determine the depositional ages of pelagic clays extraordinarily rich in fish debris. Much fish debris was deposited in the western North and central South Pacific sites roughly 34.4 million years ago, concurrent with a late Eocene event, a temporal expansion of Antarctic ice preceding the Eocene-Oligocene climate transition. The enhanced northward flow of bottom water formed around Antarctica probably caused upwelling of deep-ocean nutrients at topographic highs and stimulated biological productivity that resulted in the proliferation of fish in pelagic realms. The abundant fish debris is now a highly concentrated source of industrially critical rare-earth elements.</t>
  </si>
  <si>
    <t>[Ohta, Junichiro; Yasukawa, Kazutaka; Nozaki, Tatsuo; Fujinaga, Koichiro; Kato, Yasuhiro] Univ Tokyo, Frontier Res Ctr Energy &amp; Resources FRCER, Bunkyo Ku, 7-3-1 Hongo, Tokyo 1138656, Japan; [Ohta, Junichiro; Yasukawa, Kazutaka; Nozaki, Tatsuo; Takaya, Yutaro; Fujinaga, Koichiro; Kato, Yasuhiro] Chiba Inst Technol, Ocean Resources Res Ctr Next Generat ORCeNG, 2-17-1 Tsudanuma, Narashino, Chiba 2750016, Japan; [Ohta, Junichiro; Yasukawa, Kazutaka; Mimura, Kazuhide; Nakamura, Kentaro; Kato, Yasuhiro] Univ Tokyo, Dept Syst Innovat, Bunkyo Ku, 7-3-1 Hongo, Tokyo 1138656, Japan; [Ohta, Junichiro; Usui, Yoichi; Kimura, Jun-Ichi; Chang, Qing] Japan Agcy Marine Earth Sci &amp; Technol JAMSTEC, Volcanoes &amp; Earths Interior Res Ctr, Res Inst Marine Geodynam, 2-15 Natsushima Cho, Yokosuka, Kanagawa 2370061, Japan; [Nozaki, Tatsuo; Takaya, Yutaro; Kato, Yasuhiro] Japan Agcy Marine Earth Sci &amp; Technol JAMSTEC, Submarine Resources Res Ctr, Res Inst Marine Resources Utilizat, 2-15 Natsushima Cho, Yokosuka, Kanagawa 2370061, Japan; [Nozaki, Tatsuo] Kobe Univ, Dept Planetol, Nada Ku, 1-1 Rokkodai Cho, Kobe, Hyogo 6578501, Japan; [Takaya, Yutaro] Waseda Univ, Fac Sci &amp; Engn, Shinjuku Ku, 3-4-1 Okubo, Tokyo 1698555, Japan</t>
  </si>
  <si>
    <t>University of Tokyo; Chiba Institute of Technology; University of Tokyo; Japan Agency for Marine-Earth Science &amp; Technology (JAMSTEC); Japan Agency for Marine-Earth Science &amp; Technology (JAMSTEC); Kobe University; Waseda University</t>
  </si>
  <si>
    <t>Kato, Y (corresponding author), Univ Tokyo, Frontier Res Ctr Energy &amp; Resources FRCER, Bunkyo Ku, 7-3-1 Hongo, Tokyo 1138656, Japan.;Kato, Y (corresponding author), Chiba Inst Technol, Ocean Resources Res Ctr Next Generat ORCeNG, 2-17-1 Tsudanuma, Narashino, Chiba 2750016, Japan.;Kato, Y (corresponding author), Univ Tokyo, Dept Syst Innovat, Bunkyo Ku, 7-3-1 Hongo, Tokyo 1138656, Japan.;Kato, Y (corresponding author), Japan Agcy Marine Earth Sci &amp; Technol JAMSTEC, Submarine Resources Res Ctr, Res Inst Marine Resources Utilizat, 2-15 Natsushima Cho, Yokosuka, Kanagawa 2370061, Japan.</t>
  </si>
  <si>
    <t>ykato@sys.t.u-tokyo.ac.jp</t>
  </si>
  <si>
    <t>Yasukawa, Kazutaka/AAF-7346-2020; Kato, Yasuhiro/S-8981-2017; Fujinaga, Koichiro/S-8146-2017</t>
  </si>
  <si>
    <t>Yasukawa, Kazutaka/0000-0002-3216-8698; Kato, Yasuhiro/0000-0002-5711-8304; Nozaki, Tatsuo/0000-0001-6523-6231; Takaya, Yutaro/0000-0003-4046-6780; Mimura, Kazuhide/0000-0002-6411-0378; Nakamura, Kentaro/0000-0001-9115-589X; Usui, Yoichi/0000-0003-2365-2485</t>
  </si>
  <si>
    <t>Japan Society for the Promotion of Science (JSPS) [JP15H05771, JP17H01361, JP16K13895, JP14J10351, JP16J07136, JP15H02148, JP16H01123, JP18H04372]</t>
  </si>
  <si>
    <t>Japan Society for the Promotion of Science (JSPS)(Ministry of Education, Culture, Sports, Science and Technology, Japan (MEXT)Japan Society for the Promotion of Science)</t>
  </si>
  <si>
    <t>This study used samples provided by JAMSTEC from core KR13-02 PC05, by the International Ocean Discovery Program from core DSDP Hole 596, and by the GSJ through T. Yamazaki from core GH83-3 P406. We thank Y. Otsuki and H. Yamamoto for supporting the Os and Re isotope analyses. We also thank Y. Itabashi for assistance with the ICP-QMS analyses. We are grateful for helpful discussions with H. Iwamori. This study was financially supported by the Japan Society for the Promotion of Science (JSPS) through Grants-in-Aid Nos. JP15H05771 to Y.K., JP17H01361 to K.N., JP16K13895 to T.N., JP14J10351 and JP16J07136 to J.O., and JP15H02148, JP16H01123, and JP18H04372 to J.-I.K.</t>
  </si>
  <si>
    <t>10.1038/s41598-020-66835-8</t>
  </si>
  <si>
    <t>MD4WZ</t>
  </si>
  <si>
    <t>WOS:000543973600027</t>
  </si>
  <si>
    <t>Brabyn, L; Stichbury, G</t>
  </si>
  <si>
    <t>Brabyn, Lars; Stichbury, Glen</t>
  </si>
  <si>
    <t>Calculating the surface melt rate of Antarctic glaciers using satellite-derived temperatures and stream flows</t>
  </si>
  <si>
    <t>ENVIRONMENTAL MONITORING AND ASSESSMENT</t>
  </si>
  <si>
    <t>Antarctic glaciers; Landsat; Land surface temperature; Melt rate; MODIS</t>
  </si>
  <si>
    <t>TAYLOR VALLEY; ENERGY-BALANCE; MELTWATER; CLIMATE</t>
  </si>
  <si>
    <t>Melt rate models are fundamental for understanding the impacts of climate change on glaciers and the subsequent effects on habitats and sea level rise. Ice melt models have mostly been derived from energy balance or air temperature index calculations. This research demonstrates that satellite-derived land surface temperature (LST) measurements provide a simpler method for estimating surface melt rate that substitutes for energy balance models. Since these satellite images are continuous (distributed) across space, they do not need calibration for topography. Antarctic glacier melt discharge data from nearby stream gauges were used to calibrate an LST-derived melt model. The model calculations are simplified by the fact that groundwater flow is assumed to be minimal due to permafrost, and the glaciers are assumed to only melt on the surface. A new method called the Temperature Area Sum model is developed, which builds on an existing Temperature Area Index model. A daily melt rate model is developed using 77 Landsat 8 images and calculates the volume of meltwater produced per hectare for any given LST between -7 and 0 degrees C. A seasonal average daily melt rate model is also developed that uses 1660 MODIS images. The utility of the seasonal MODIS model is demonstrated by calculating melt rates, water flows and wetness across the entire Ross Sea Region. An unexpected large wet area to the southwest of the Ross Ice Shelf requires further investigation and demonstrates the usefulness of these models for large remote areas. Surface melt rate and wetness can now be calculated for different climate change scenarios.</t>
  </si>
  <si>
    <t>[Brabyn, Lars; Stichbury, Glen] Univ Waikato, Geog Programme, Hamilton 3216, New Zealand</t>
  </si>
  <si>
    <t>University of Waikato</t>
  </si>
  <si>
    <t>Brabyn, L (corresponding author), Univ Waikato, Geog Programme, Hamilton 3216, New Zealand.</t>
  </si>
  <si>
    <t>larsb@waikato.ac.nz</t>
  </si>
  <si>
    <t>Brabyn, Lars/N-1479-2016</t>
  </si>
  <si>
    <t>Brabyn, Lars/0000-0002-3400-6182</t>
  </si>
  <si>
    <t>Ministry of Business, Innovation and Employment, New Zealand</t>
  </si>
  <si>
    <t>Ministry of Business, Innovation and Employment, New Zealand(New Zealand Ministry of Business, Innovation and Employment (MBIE))</t>
  </si>
  <si>
    <t>This research was funded by the Ministry of Business, Innovation and Employment, New Zealand, through contract number CO9X1413.Data availabilityThe data is not available.</t>
  </si>
  <si>
    <t>0167-6369</t>
  </si>
  <si>
    <t>1573-2959</t>
  </si>
  <si>
    <t>ENVIRON MONIT ASSESS</t>
  </si>
  <si>
    <t>Environ. Monit. Assess.</t>
  </si>
  <si>
    <t>JUN 17</t>
  </si>
  <si>
    <t>10.1007/s10661-020-08396-x</t>
  </si>
  <si>
    <t>MC3SB</t>
  </si>
  <si>
    <t>WOS:000543210000003</t>
  </si>
  <si>
    <t>Grebieniow, A; Korczak-Abshire, M; Gasek, A; Górecka-Bruzda, A</t>
  </si>
  <si>
    <t>Grebieniow, Anna; Korczak-Abshire, Malgorzata; Gasek, Anna; Gorecka-Bruzda, Aleksandra</t>
  </si>
  <si>
    <t>Antarctic fur seal (Arctocephalus gazella) annual migration and temporal patterns of on-shore occurrence of leucistic individuals on King George Island</t>
  </si>
  <si>
    <t>Pinnipeds; Otariidae; Population rotation; ASPA 151; Lions Rump CEMP Site</t>
  </si>
  <si>
    <t>SOUTH SHETLAND ISLANDS; VARIABILITY; ECOSYSTEMS; PENGUINS; RECORDS</t>
  </si>
  <si>
    <t>Non-invasive tracking the on-shore occurrence of the atypically pigmented animals and determination of land residency duration of leucistic seals would help us find out more about the rotation of the migrating population. During seven austral summer seasons (2011-2018), by counting the animals every 10 days at the Cape Lions Rump shore, King George Island, South Shetlands, in the Antarctic Specially Protected Area No. 151 and the adjacent ice-free land (31.52 km(2)) we registered fourteen leucistic individuals per a total of 43,919 animals. Moreover, daily monitoring of local fauna resulted in further 33 leucistic animals (together 47, in all seasons). Whilst the results of 10-day censuses of the total population were similar inter-seasonally, a tendency for increased occurrence of leucistic individuals in successive seasons was revealed. Generally, the number of animals increased significantly as season progressed. Since leucistic individuals stayed on-shore for 1-2 days usually, it can be hypothesised that the observation of migrating Antarctic fur seals every 3 days does not involve the same individuals. Also, additional every 5-day censuses taken in one season in ASPA 151 resulted in a higher seasonal number of animals, which proves that more frequent counts help us estimate population abundance more efficiently. Thus, every 5-day counts are proposed as a feasible and justified method of population monitoring.</t>
  </si>
  <si>
    <t>[Grebieniow, Anna] Polish Soc Nat Conservat Salamandra, Stolarska 7-3, PL-60788 Poznan, Poland; [Korczak-Abshire, Malgorzata] Polish Acad Sci, Inst Biochem &amp; Biophys, Pawinskiego 5a, PL-02106 Warsaw, Poland; [Gasek, Anna] Polish Acad Sci, Bot Garden, Ctr Biol Div Conservat Powsin, Prawdziwka 2, PL-02973 Warsaw, Poland; [Gorecka-Bruzda, Aleksandra] Polish Acad Sci, Inst Genet &amp; Anim Breeding, Dept Anim Behav, PL-05552 Jastrzebiec, Magdalenka, Poland</t>
  </si>
  <si>
    <t>Polish Academy of Sciences; Institute of Biochemistry &amp; Biophysics - Polish Academy of Sciences; Polish Academy of Sciences; Polish Academy of Sciences; Institute of Genetics &amp; Animal Biotechnology, Polish Academy of Sciences</t>
  </si>
  <si>
    <t>Korczak-Abshire, M (corresponding author), Polish Acad Sci, Inst Biochem &amp; Biophys, Pawinskiego 5a, PL-02106 Warsaw, Poland.</t>
  </si>
  <si>
    <t>mka@ibb.waw.pl</t>
  </si>
  <si>
    <t>Gorecka-Bruzda, Aleksandra/F-7399-2010; Korczak-Abshire, Malgorzata/AAA-1563-2020</t>
  </si>
  <si>
    <t>Korczak-Abshire, Malgorzata/0000-0001-7695-0588; Gorecka-Bruzda, Aleksandra/0000-0002-2770-2278</t>
  </si>
  <si>
    <t>National Science Centre [2017/01/X/NZ8/02078]</t>
  </si>
  <si>
    <t>National Science Centre(National Science Centre, Poland)</t>
  </si>
  <si>
    <t>The authors wish to thank Piotr Angiel who collected the GIS data and developed the basis for the map presented in Fig. 2, Hanna Szulczewska and Joseph C. Abshire for English proofreading of this manuscript and all persons involved in Lions Rump CEMP site monitoring in 2011-2018. The data used in this paper were collected with the support of The Henryk Arctowski Polish Antarctic Station. The research was funded by the National Science Centre, 2017/01/X/NZ8/02078 MINIATURA Grant. The authors would like to express their sincere gratitude to dr Greg Hofmeyr, dr Andrew Lowther and dr Javier Negrete for theirs constructive comments which helped to improve the original version of the article.</t>
  </si>
  <si>
    <t>10.1007/s00300-020-02694-3</t>
  </si>
  <si>
    <t>WOS:000540942500001</t>
  </si>
  <si>
    <t>Faucher, B; Lacelle, D; Fisher, DA; Weisleitner, K; Andersen, DT</t>
  </si>
  <si>
    <t>Faucher, Benoit; Lacelle, Denis; Fisher, David A.; Weisleitner, Klemens; Andersen, Dale T.</t>
  </si>
  <si>
    <t>Modeling δD-δ18O Steady-State of Well-Sealed Perennially Ice-Covered Lakes and Their Recharge Source: Examples From Lake Untersee and Lake Vostok, Antarctica</t>
  </si>
  <si>
    <t>isotope geochemistry; freezing; ice-covered lakes; Antarctica; FREZCHEM</t>
  </si>
  <si>
    <t>DRONNING MAUD LAND; AQUEOUS SALT-SOLUTIONS; ISOTOPIC COMPOSITION; STABLE-ISOTOPE; VESTFOLD HILLS; SURFACE SNOW; SALINE LAKES; WATER; CORE; FRACTIONATION</t>
  </si>
  <si>
    <t>Perennially ice-covered lakes that are tightly sealed from the atmosphere represent a unique group of polar lakes. In these lakes, the delta D-delta O-18 evolution of the water column and steady-state conditions are controlled by rates of recharge and freezing at the bottom of the ice cover. We developed a recursive model (FREEZCH9) that takes into account the changing salinity in the water column as a result of freezing and mixes the recharge water to the residual water in well-sealed perennially ice-covered lakes. Our model is tested against datasets from Lake Vostok and is used to assess the delta D-delta O-18 mass balance of Lake Untersee and evaluate if the lake is in isotopic steady-state. OurFREEZCH9simulations fit well with the predicted delta D-delta O-18 values of Lake Vostok's upper water column and the overlying accreted ice. Simulations withFREEZCH9also suggests that Lake Untersee is in isotopic steady-state and that its two input sources (i.e., subaqueous terminus melting of the Anuchin Glacier and subglacial meltwater) have similar delta D-delta O-18 composition. Our modeling demonstrates that Lake Untersee most likely did not receive additional input from surface streams during the last 300-500 years.FREEZCH9may be also used to determine if any groundwater systems of the McMurdo Dry Valleys are fully or partially recharged by subglacial lakes.</t>
  </si>
  <si>
    <t>[Faucher, Benoit; Lacelle, Denis] Univ Ottawa, Dept Geog Environm &amp; Geomat, Ottawa, ON, Canada; [Fisher, David A.] Univ Ottawa, Dept Earth &amp; Environm Sci, Ottawa, ON, Canada; [Weisleitner, Klemens] Univ Innsbruck, Fac Biol, Inst Ecol, Innsbruck, Austria; [Andersen, Dale T.] SETI Inst, Carl Sagan Ctr, Mountain View, CA USA</t>
  </si>
  <si>
    <t>University of Ottawa; University of Ottawa; University of Innsbruck</t>
  </si>
  <si>
    <t>Faucher, B (corresponding author), Univ Ottawa, Dept Geog Environm &amp; Geomat, Ottawa, ON, Canada.</t>
  </si>
  <si>
    <t>bfauc073@uottawa.ca</t>
  </si>
  <si>
    <t>Weisleitner, Klemens/KCL-0270-2024</t>
  </si>
  <si>
    <t>TAWANI Foundation; Trottier Family Foundation; Natural Sciences and Engineering Research Council of Canada (NSERC) Discovery Grant; Polar Knowledge Canada (POLAR); NASA's Astrobiology Program; Arctic and Antarctic Research Institute/Russian Antarctic Expedition; NSERC Alexander Graham Bell Canada Graduate Scholarship</t>
  </si>
  <si>
    <t>TAWANI Foundation; Trottier Family Foundation; Natural Sciences and Engineering Research Council of Canada (NSERC) Discovery Grant(Natural Sciences and Engineering Research Council of Canada (NSERC)); Polar Knowledge Canada (POLAR); NASA's Astrobiology Program(National Aeronautics &amp; Space Administration (NASA)); Arctic and Antarctic Research Institute/Russian Antarctic Expedition; NSERC Alexander Graham Bell Canada Graduate Scholarship(Natural Sciences and Engineering Research Council of Canada (NSERC))</t>
  </si>
  <si>
    <t>This work was supported by the TAWANI Foundation, the Trottier Family Foundation, the Natural Sciences and Engineering Research Council of Canada (NSERC) Discovery Grant, Polar Knowledge Canada (POLAR), NASA's Astrobiology Program and the Arctic and Antarctic Research Institute/Russian Antarctic Expedition. A NSERC Alexander Graham Bell Canada Graduate Scholarship provided financial support to BF. Logistical support was provided by the Antarctic Logistics Centre International, Cape Town, South Africa.</t>
  </si>
  <si>
    <t>JUN 16</t>
  </si>
  <si>
    <t>10.3389/feart.2020.00220</t>
  </si>
  <si>
    <t>MJ8XS</t>
  </si>
  <si>
    <t>WOS:000548371500001</t>
  </si>
  <si>
    <t>Follestad, AF; Herlingshaw, K; Ghadjari, H; Knudsen, DJ; McWilliams, KA; Moen, JI; Spicher, A; Wu, J; Oksavik, K</t>
  </si>
  <si>
    <t>Follestad, A. Faehn; Herlingshaw, K.; Ghadjari, H.; Knudsen, D. J.; McWilliams, K. A.; Moen, J., I; Spicher, A.; Wu, J.; Oksavik, Kjellmar</t>
  </si>
  <si>
    <t>Dayside Field-Aligned Current Impacts on Ionospheric Irregularities</t>
  </si>
  <si>
    <t>FACs; ionosphere; scintillations; aurora</t>
  </si>
  <si>
    <t>GPS PHASE SCINTILLATION; HIGH-LATITUDES; SIGNAL LOCK; PLASMA; REGION; INSTABILITY; PRECIPITATION; CLIMATOLOGY; BACKSCATTER; SATELLITES</t>
  </si>
  <si>
    <t>Global Navigation Satellite Systems (GNSS) are subject to disturbances caused by plasma irregularities in the ionosphere. Studies have suggested that in addition to the gradient drift and Kelvin-Helmholtz instabilities, electron precipitation may be important for phase scintillations in the dayside auroral region. This study combines in situ Swarm data with ground GNSS observations to investigate the potential role of filamentary field-aligned currents (FACs) on phase scintillations in the dayside auroral region by analyzing 22 events with phase scintillations exceeding 0.45 radians. We observe colocation between regions of severe phase scintillations and highly filamented FACs with fluctuations measured in the spacecraft frame of the order of 20 Hz. The observations indicate that filamentary FACs are crucial drivers for irregularities responsible for creating severe phase scintillations measured in the dayside auroral region and are thus of significant importance in the context of space weather impact on satellite communication.</t>
  </si>
  <si>
    <t>[Follestad, A. Faehn; Moen, J., I; Spicher, A.] Univ Oslo, Dept Phys, Oslo, Norway; [Herlingshaw, K.; Moen, J., I; Oksavik, Kjellmar] Univ Ctr Svalbard, Longyearbyen, Norway; [Herlingshaw, K.; Oksavik, Kjellmar] Univ Bergen, Dept Phys &amp; Technol, Birkeland Ctr Space Sci, Bergen, Norway; [Ghadjari, H.; Knudsen, D. J.; Wu, J.] Univ Calgary, Dept Phys &amp; Astron, Calgary, AB, Canada; [McWilliams, K. A.] Univ Saskatchewan, Dept Phys &amp; Engn Phys, Saskatoon, SK, Canada</t>
  </si>
  <si>
    <t>University of Oslo; University Centre Svalbard (UNIS); University of Bergen; University of Calgary; University of Saskatchewan</t>
  </si>
  <si>
    <t>Follestad, AF (corresponding author), Univ Oslo, Dept Phys, Oslo, Norway.</t>
  </si>
  <si>
    <t>a.k.f.follestad@fys.uio.no; kjellmar.oksavik@uib.no</t>
  </si>
  <si>
    <t>Oksavik, Kjellmar/GWZ-7781-2022; Knudsen, David/JJF-1802-2023; Moen, Joeran I/I-1349-2017</t>
  </si>
  <si>
    <t>Oksavik, Kjellmar/0000-0003-4312-6992; Spicher, Andres/0000-0002-6777-8015; Wu, Jiashu/0000-0001-8544-4097; Faehn Follestad, Anna/0000-0003-2060-1383; Knudsen, David/0000-0001-5898-2260; Herlingshaw, Katie/0000-0001-6861-1914</t>
  </si>
  <si>
    <t>Norwegian Agency for International Cooperation and Quality Enhancement in Higher Education [NNA-2016/10081]; Research Council of Norway Grant [275653, 212014, 223252]; Canadian Space Agency for the EFI;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t>
  </si>
  <si>
    <t>Norwegian Agency for International Cooperation and Quality Enhancement in Higher Education; Research Council of Norway Grant(Research Council of Norway); Canadian Space Agency for the EFI(Canadian Space Agency);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t>
  </si>
  <si>
    <t>The work would not have been possible without Canada-Norway mobility funds provided by the Norwegian Agency for International Cooperation and Quality Enhancement in Higher Education, Project NNA-2016/10081. J. M. and A. S. received funding from the Research Council of Norway Grant 275653. K. O. received funding from the Research Council of Norway Grants 212014 and 223252. We acknowledge the use of NASA/GSFC's Space Physics Data Facility's CDAWeb and ftp services and OMNI data. Swarm is a European Space Agency mission with major support from the Canadian Space Agency for the EFI. Swarm data can be accessed fromESA's data access webpage (https://earth.esa.int/web/guest/swarm/data-access). The authors acknowledge the use of SuperDARN data. SuperDARN is a collection of radars funded by national scientific funding agencies of Australia, Canada, China, France, Japan, South Africa, United Kingdom, and United States of America. We also thank Mark Lester, the PI of the Hankasalmi radar for use of the data. SuperDARN data are available from the British Antarctic Survay (at https://www.bas.ac.uk/project/superdarn/). Scintillation data from GPS and GLONASS were provided by Kjellmar Oksavik, University of Bergen(kjellmar.oksavik@uib.no). The scintillation data have been published in Mendeley Data and are available online (at https://doi.org/10.17632/vzgv93rr8z.2).</t>
  </si>
  <si>
    <t>e2019GL086722</t>
  </si>
  <si>
    <t>10.1029/2019GL086722</t>
  </si>
  <si>
    <t>MC6IF</t>
  </si>
  <si>
    <t>WOS:000543387400052</t>
  </si>
  <si>
    <t>Gertler, CG; O'Gorman, PA; Kravitz, B; Moore, JC; Phipps, SJ; Watanabe, S</t>
  </si>
  <si>
    <t>Gertler, Charles G.; O'Gorman, Paul A.; Kravitz, Ben; Moore, John C.; Phipps, Steven J.; Watanabe, Shingo</t>
  </si>
  <si>
    <t>Weakening of the Extratropical Storm Tracks in Solar Geoengineering Scenarios</t>
  </si>
  <si>
    <t>Storm Tracks; Geoengineering; Available Potential Energy; Climate Change; Extratropical Cyclones</t>
  </si>
  <si>
    <t>ENERGY; EDDIES; ICE</t>
  </si>
  <si>
    <t>Solar geoengineering that aims to offset global warming could nonetheless alter atmospheric temperature gradients and humidity and thus affect the extratropical storm tracks. Here, we first analyze climate model simulations from experiment G1 of the Geoengineering Model Intercomparison Project, in which a reduction in incoming solar radiation balances a quadrupling of CO2. The Northern Hemisphere extratropical storm track weakens by a comparable amount in G1 as it does for increased CO(2)only. The Southern Hemisphere storm track also weakens in G1, in contrast to a strengthening and poleward shift for increased CO2. Using mean available potential energy, we show that the changes in zonal-mean temperature and humidity are sufficient to explain the different responses of storm-track intensity. We also demonstrate similar weakening in a more complex geoengineering scenario. Our results offer insight into how geoengineering affects storm tracks, highlighting the potential for geoengineering to induce novel climate changes.</t>
  </si>
  <si>
    <t>[Gertler, Charles G.; O'Gorman, Paul A.] MIT, Dept Earth Atmospher &amp; Planetary Sci, Cambridge, MA 02139 USA; [Kravitz, Ben] Indiana Univ, Dept Earth &amp; Atmospher Sci, Bloomington, IN USA; [Kravitz, Ben] Pacific Northwest Natl Lab, Atmospher Sci &amp; Global Change Div, Richland, WA 99352 USA; [Moore, John C.] Beijing Normal Univ, Coll Global Change &amp; Earth Syst Sci, Beijing, Peoples R China; [Moore, John C.] Univ Lapland, Arctic Ctr, Rovaniemi, Finland; [Phipps, Steven J.] Univ Tasmania, Inst Marine &amp; Antarctic Studies, Hobart, Tas, Australia; [Watanabe, Shingo] Japan Agcy Marine Earth Sci &amp; Technol JAMSTEC, Yokohama, Kanagawa, Japan</t>
  </si>
  <si>
    <t>Massachusetts Institute of Technology (MIT); Indiana University System; Indiana University Bloomington; United States Department of Energy (DOE); Pacific Northwest National Laboratory; Beijing Normal University; University of Lapland; University of Tasmania; Japan Agency for Marine-Earth Science &amp; Technology (JAMSTEC)</t>
  </si>
  <si>
    <t>Gertler, CG (corresponding author), MIT, Dept Earth Atmospher &amp; Planetary Sci, Cambridge, MA 02139 USA.</t>
  </si>
  <si>
    <t>cgertler@mit.edu</t>
  </si>
  <si>
    <t>Watanabe, Shingo/L-9689-2014; Gertler, Charles/HKE-8331-2023; Moore, John C/B-2868-2013; Kravitz, Ben/P-7925-2014; Phipps, Steven/B-3135-2008</t>
  </si>
  <si>
    <t>Watanabe, Shingo/0000-0002-2228-0088; Moore, John C/0000-0001-8271-5787; Kravitz, Ben/0000-0001-6318-1150; O'Gorman, Paul/0000-0003-1748-0816; Phipps, Steven/0000-0001-5657-8782</t>
  </si>
  <si>
    <t>MIT Joint Program on the Science and Policy of Global Change, NASA [NNX16AC98G]; National Science Foundation Graduate Research Fellowship Program under NSF [1122374]; NSF [AGS 1552195, AGS 1749986]; National Science Foundation [CBET-1931641]; Indiana University Environmental Resilience Institute; Prepared for Environmental Change Grand Challenge initiative; US Department of Energy [DE-AC05-76RL01830]; National Basic Research Program of China [2016YFA0602701]; Australian Research Council's Special Research Initiative for the Antarctic Gateway Partnership [SR140300001]; CSIRO Oceans and Atmosphere; Integrated Research Program for Advancing Climate Models (TOUGOU Program) from the Ministry of Education, Culture, Sports, Science, and Technology (MEXT), Japan</t>
  </si>
  <si>
    <t>MIT Joint Program on the Science and Policy of Global Change, NASA; National Science Foundation Graduate Research Fellowship Program under NSF; NSF(National Science Foundation (NSF)); National Science Foundation(National Science Foundation (NSF)); Indiana University Environmental Resilience Institute; Prepared for Environmental Change Grand Challenge initiative; US Department of Energy(United States Department of Energy (DOE)); National Basic Research Program of China(National Basic Research Program of China); Australian Research Council's Special Research Initiative for the Antarctic Gateway Partnership(Australian Research Council); CSIRO Oceans and Atmosphere; Integrated Research Program for Advancing Climate Models (TOUGOU Program) from the Ministry of Education, Culture, Sports, Science, and Technology (MEXT), Japan</t>
  </si>
  <si>
    <t>We are grateful to R.G. Prinn for helpful discussions. C.G.G. was supported by the Industry and Foundation sponsors of the MIT Joint Program on the Science and Policy of Global Change, NASA grant NNX16AC98G to MIT, and the National Science Foundation Graduate Research Fellowship Program under NSF Grant 1122374. P. A.O'G. acknowledges support from NSF Grants AGS 1552195 and AGS 1749986. Support for B.K. was provided in part by the National Science Foundation through agreement CBET-1931641, the Indiana University Environmental Resilience Institute, and the Prepared for Environmental Change Grand Challenge initiative. The Pacific Northwest National Laboratory is operated for the US Department of Energy by Battelle Memorial Institute under contract DE-AC05-76RL01830. J. C.M. acknowledges support from the National Basic Research Program of China (2016YFA0602701). S.J.P. acknowledges support from the Australian Research Council's Special Research Initiative for the Antarctic Gateway Partnership (project SR140300001) and from CSIRO Oceans and Atmosphere. S.W. is supported by the Integrated Research Program for Advancing Climate Models (TOUGOU Program) from the Ministry of Education, Culture, Sports, Science, and Technology (MEXT), Japan. MIROC-ESM simulations were performed on the Earth Simulator at JAMSTEC. We are grateful to D. Ji for the BNU-ESM G1 model output (http://climatemodeling.bnu.edu.cn/G1.html).The other GeoMIP and CMIP5 data used in this study are available on the Earth System Grid (https://www.earthsystemgrid.org/).GLENS data and information are available at http://www.cesm.ucar.edu/projects/community-projects/GLENS/.A directory including all analysis code used in this study is published online at http://doi.org/10.5281/zenodo.3715447.</t>
  </si>
  <si>
    <t>e2020GL087348</t>
  </si>
  <si>
    <t>10.1029/2020GL087348</t>
  </si>
  <si>
    <t>Bronze, Green Submitted, Green Accepted, Green Published</t>
  </si>
  <si>
    <t>WOS:000543387400002</t>
  </si>
  <si>
    <t>Rye, CD; Marshall, J; Kelley, M; Russell, G; Nazarenko, LS; Kostov, Y; Schmidt, GA; Hansen, J</t>
  </si>
  <si>
    <t>Rye, Craig D.; Marshall, John; Kelley, Maxwell; Russell, Gary; Nazarenko, Larissa S.; Kostov, Yavor; Schmidt, Gavin A.; Hansen, James</t>
  </si>
  <si>
    <t>Antarctic Glacial Melt as a Driver of Recent Southern Ocean Climate Trends</t>
  </si>
  <si>
    <t>Antarctica; melt; ice shelf; Southern Ocean; sea surface temperature; sea ice</t>
  </si>
  <si>
    <t>SEA-LEVEL RISE; FRESH-WATER; ICE SHELVES; ANNULAR MODE; SENSITIVITY; COVER</t>
  </si>
  <si>
    <t>Recent trends in Southern Ocean (SO) climate-of surface cooling, freshening, and sea ice expansion-are not captured in historical climate simulations. Here we demonstrate that the addition of a plausible increase in Antarctic meltwater to a coupled climate model can produce a closer match to a wide range of climate trends. We use an ensemble of simulations of the Goddard Institute for Space Studies Earth system model to compute climate response functions (CRFs) for the addition of meltwater. These imply a cooling and freshening of the SO, an expansion of sea ice, and an increase in steric height, all consistent with observations since 1992. The CRF framework allows one to compare the efficacy of Antarctic meltwater as a driver of SO climate trends, relative to greenhouse gas and surface wind forcing. The meltwater CRFs presented here strongly suggest that interactive Antarctic ice melt should be included in climate models.</t>
  </si>
  <si>
    <t>[Rye, Craig D.; Hansen, James] Columbia Univ, Ctr Climate Syst Res, New York, NY 10027 USA; [Marshall, John] MIT, Dept Earth Atmospher &amp; Planetary Sci, Cambridge, MA USA; [Kelley, Maxwell; Russell, Gary; Nazarenko, Larissa S.; Schmidt, Gavin A.] NASA, Goddard Inst Space Studies, New York, NY 10025 USA; [Kostov, Yavor] Univ Exeter, Atmospher &amp; Ocean Sci, Exeter, Devon, England</t>
  </si>
  <si>
    <t>Columbia University; Massachusetts Institute of Technology (MIT); National Aeronautics &amp; Space Administration (NASA); NASA Goddard Space Flight Center; Goddard Institute for Space Studies; University of Exeter</t>
  </si>
  <si>
    <t>Rye, CD (corresponding author), Columbia Univ, Ctr Climate Syst Res, New York, NY 10027 USA.</t>
  </si>
  <si>
    <t>craig.d.rye@gmail.com</t>
  </si>
  <si>
    <t>Schmidt, Gavin/D-4427-2012; Rye, Craig/AAU-7772-2021</t>
  </si>
  <si>
    <t>Schmidt, Gavin/0000-0002-2258-0486; Russell, Gary/0000-0001-7174-5825; , Yavor/0000-0001-6038-8818</t>
  </si>
  <si>
    <t>Climate Science Awareness and Solutions group (CSAS; Columbia University); Grantham Foundation; Durst family; MIT-GISS collaborative agreement; NASA Modeling, Analysis, and Prediction program; NASA High-End Computing (HEC) Program through the NASA Center for Climate Simulation (NCCS) at Goddard Space Flight Center</t>
  </si>
  <si>
    <t>Climate Science Awareness and Solutions group (CSAS; Columbia University); Grantham Foundation; Durst family; MIT-GISS collaborative agreement; NASA Modeling, Analysis, and Prediction program(National Aeronautics &amp; Space Administration (NASA)); NASA High-End Computing (HEC) Program through the NASA Center for Climate Simulation (NCCS) at Goddard Space Flight Center</t>
  </si>
  <si>
    <t>C. R. and J. H acknowledge the support of the Climate Science Awareness and Solutions group (CSAS; Columbia University). Major CSAS funding is provided by the Grantham Foundation, the Durst family, Gerry Lenfest, Ian Cumming, and Jim and Krisann Miller. J. M. acknowledges support from the MIT-GISS collaborative agreement. M. K., G.R., L. N., and G. S. are supported by the NASA Modeling, Analysis, and Prediction program. Resources supporting this work were provided by the NASA High-End Computing (HEC) Program through the NASA Center for Climate Simulation (NCCS) at Goddard Space Flight Center. The GISS modelE source code is available at the website (https://www.giss.nasa.gov/tools/modelE/).</t>
  </si>
  <si>
    <t>e2019GL086892</t>
  </si>
  <si>
    <t>10.1029/2019GL086892</t>
  </si>
  <si>
    <t>WOS:000543387400045</t>
  </si>
  <si>
    <t>Wallace, LO; van Wijk, EM; Rintoul, SR; Hally, B</t>
  </si>
  <si>
    <t>Wallace, L. O.; van Wijk, E. M.; Rintoul, S. R.; Hally, B.</t>
  </si>
  <si>
    <t>Bathymetry-Constrained Navigation of Argo Floats Under Sea Ice on the Antarctic Continental Shelf</t>
  </si>
  <si>
    <t>Argo profiling floats; navigation; sea ice; Antarctic continental shelf; polynya</t>
  </si>
  <si>
    <t>WEDDELL GYRE; V LAND; ADELIE; ICEBERG; WATER</t>
  </si>
  <si>
    <t>Antarctic continental shelf waters are poorly sampled, particularly beneath sea ice during winter. Profiling floats could help fill this gap, but floats are unable to surface to obtain a satellite position when ice is present. We deployed Argo profiling floats in a coastal polynya with a novel mission to rest on the sea floor between profiles. Parking on the seabed minimized the drift of the floats and allowed year-round, full-depth measurements over multiple winters. Measurements of water depth derived from the floats were used in combination with known bathymetry to constrain the position of profiles collected under ice. Errors were quantified by withholding known positions and comparing them to estimated positions; the bathymetrically constrained algorithm outperformed linear interpolation. A similar approach could potentially be used to geolocate other under-ice oceanographic platforms that measure water depth.</t>
  </si>
  <si>
    <t>[Wallace, L. O.; Hally, B.] RMIT Univ, Sch Sci, Melbourne, Vic, Australia; [van Wijk, E. M.; Rintoul, S. R.] CSIRO Oceans &amp; Atmosphere, Hobart, Tas, Australia; [van Wijk, E. M.; Rintoul, S. R.] Univ Tasmania, Australian Antarctic Program Partnership, Hobart, Tas, Australia; [Rintoul, S. R.] Ctr Southern Hemisphere Oceans Res, Hobart, Tas, Australia</t>
  </si>
  <si>
    <t>Royal Melbourne Institute of Technology (RMIT); Melbourne Genomics Health Alliance; Commonwealth Scientific &amp; Industrial Research Organisation (CSIRO); University of Tasmania</t>
  </si>
  <si>
    <t>Wallace, LO (corresponding author), RMIT Univ, Sch Sci, Melbourne, Vic, Australia.</t>
  </si>
  <si>
    <t>luke.wallace2@rmit.edu.au</t>
  </si>
  <si>
    <t>Hally, Bryan/KDN-1311-2024; van Wijk, Esmee/AAB-2451-2020; Wallace, Luke/HKO-4124-2023</t>
  </si>
  <si>
    <t>van Wijk, Esmee/0000-0002-9375-4383; Hally, Bryan/0000-0003-2771-492X; Wallace, Luke/0000-0002-4642-8374</t>
  </si>
  <si>
    <t>Australian Antarctic Program Partnership; CSIRO; Earth Systems and Climate Change Hub of the Australian Government's National Environmental Science Program; Australian Antarctic Science Program; Antarctic Gateway Partnership; Australia's Integrated Marine Observing System; Centre for Southern Hemisphere Oceans Research</t>
  </si>
  <si>
    <t>Australian Antarctic Program Partnership; CSIRO(Commonwealth Scientific &amp; Industrial Research Organisation (CSIRO)); Earth Systems and Climate Change Hub of the Australian Government's National Environmental Science Program; Australian Antarctic Science Program; Antarctic Gateway Partnership; Australia's Integrated Marine Observing System; Centre for Southern Hemisphere Oceans Research(Commonwealth Scientific &amp; Industrial Research Organisation (CSIRO))</t>
  </si>
  <si>
    <t>We thank two anonymous reviewers for their constructive and insightful comments that helped to improve this manuscript. This research was supported by the Australian Antarctic Program Partnership; CSIRO; the Earth Systems and Climate Change Hub of the Australian Government's National Environmental Science Program; the Australian Antarctic Science Program; the Antarctic Gateway Partnership; Australia's Integrated Marine Observing System; and the Centre for Southern Hemisphere Oceans Research. Algorithm and float data are available online (from and ).</t>
  </si>
  <si>
    <t>e2020GL087019</t>
  </si>
  <si>
    <t>10.1029/2020GL087019</t>
  </si>
  <si>
    <t>WOS:000543387400029</t>
  </si>
  <si>
    <t>Gao, Y; Yu, S; Sherrell, RM; Fan, SY; Bu, KX; Anderson, JR</t>
  </si>
  <si>
    <t>Gao, Yuan; Yu, Shun; Sherrell, Robert M.; Fan, Songyun; Bu, Kaixuan; Anderson, James R.</t>
  </si>
  <si>
    <t>Particle-Size Distributions and Solubility of Aerosol Iron Over the Antarctic Peninsula During Austral Summer</t>
  </si>
  <si>
    <t>aerosol iron; aerosol Fe solubility; aerosol particle size; Antarctic Peninsula; atmospheric iron deposition flux</t>
  </si>
  <si>
    <t>TRACE-METAL CONCENTRATIONS; PINE ISLAND GLACIER; SOUTHERN-OCEAN; MINERAL DUST; ATMOSPHERIC IRON; DRY DEPOSITION; SEA-ICE; BIOGEOCHEMICAL CYCLE; MULTIPLE SOURCES; WEST ANTARCTICA</t>
  </si>
  <si>
    <t>This study provides new data on the properties of aerosol iron (Fe) over the Antarctic Peninsula, one of the fastest warming regions on Earth in recent decades. Atmospheric deposition delivers Fe, a limiting micronutrient, to the Southern Ocean, and aerosol particle size influences the air-to-sea deposition rate and fractional solubility of aerosol Fe. Size-segregated aerosols were collected at Palmer Station on the West Antarctic Peninsula during austral summer 2016-2017. Results show single-mode size distribution of aerosol Fe, peaking at 4.4 mu m diameter. The average concentration of total aerosol Fe was 1.3 (0.40) ng m(-3) (range 0.74-1.8 ng m(-3)). High concentrations of total aerosol Fe occurred in January, implying increased Fe source strength then. Total labile Fe varied between 0.019 and 0.095 ng m(-3), and labile Fe (II) accounted for similar to 90% of the total labile Fe. The average fractional solubility for total Fe was 3.8% (1.5%) (range 2.5-7.3%). Estimated dry deposition fluxes for the study period were 3.2 mu g m(-2) year(-1) for total labile Fe and 83 mu g m(-2) year(-1) for total Fe in aerosols. We speculate that local and regional dust sources in Antarctica contributed to the observed aerosol Fe in austral summer and that warming on the Antarctic Peninsula during the past half century may have increased the formation of dust sources in this region. The potential biogeochemical impact of atmospheric Fe input to the West Antarctic Peninsula shelf waters and adjacent pelagic surface waters of the Southern Ocean may need to be re-evaluated.</t>
  </si>
  <si>
    <t>[Gao, Yuan; Yu, Shun; Fan, Songyun] Rutgers State Univ, Dept Earth &amp; Environm Sci, Newark, NJ 07103 USA; [Sherrell, Robert M.; Bu, Kaixuan] Rutgers State Univ, Dept Marine &amp; Coastal Sci, New Brunswick, NJ USA; [Sherrell, Robert M.] Rutgers State Univ, Dept Earth &amp; Planetary Sci, Piscataway, NJ USA; [Anderson, James R.] Arizona State Univ, Sch Engn Matter Transport &amp; Energy, Tempe, AZ USA</t>
  </si>
  <si>
    <t>Rutgers University System; Rutgers University Newark; Rutgers University New Brunswick; Rutgers University System; Rutgers University New Brunswick; Rutgers University System; Rutgers University New Brunswick; Arizona State University; Arizona State University-Tempe</t>
  </si>
  <si>
    <t>Gao, Y (corresponding author), Rutgers State Univ, Dept Earth &amp; Environm Sci, Newark, NJ 07103 USA.</t>
  </si>
  <si>
    <t>yuangaoh@newark.rutgers.edu</t>
  </si>
  <si>
    <t>Anderson, James/0000-0001-5676-821X; Sherrell, Robert/0000-0002-2498-744X; Gao, Yuan/0000-0002-1781-8971</t>
  </si>
  <si>
    <t>U.S. NSF [1341494]; U.S. Antarctic Program</t>
  </si>
  <si>
    <t>U.S. NSF(National Science Foundation (NSF)); U.S. Antarctic Program</t>
  </si>
  <si>
    <t>This research was supported by U.S. NSF Grant 1341494 to Y. G. We thank Hugh Ducklow for encouragement of this research. Pami Mukherjee, Rafael Jusino-Atresino, and Guojie Xu participated in fieldwork preparation. Wancheng Zhou and Isatis Cintron participated briefly in field sampling. Jianqiong Zhan assisted with meteorological data analyses. Constructive comments from Holly Winton, Zongbo Shi, and an anonymous reviewer helped improve the original manuscript significantly. This work would not have become possible without the dedication and support from the staff of Palmer Station and the U.S. Antarctic Program. The data used in this paper have been deposited to the U.S. Antarctic Program Data Center and are available online (via DOI: 10.15784/601257).</t>
  </si>
  <si>
    <t>e2019JD032082</t>
  </si>
  <si>
    <t>10.1029/2019JD032082</t>
  </si>
  <si>
    <t>LZ3VS</t>
  </si>
  <si>
    <t>WOS:000541156800022</t>
  </si>
  <si>
    <t>Turner, J; Guarino, MV; Arnatt, J; Jena, B; Marshall, GJ; Phillips, T; Bajish, CC; Clem, K; Wang, ZM; Andersson, T; Murphy, EJ; Cavanagh, R</t>
  </si>
  <si>
    <t>Turner, John; Guarino, Maria Vittoria; Arnatt, Jack; Jena, Babula; Marshall, Gareth J.; Phillips, Tony; Bajish, C. C.; Clem, Kyle; Wang, Zhaomin; Andersson, Tom; Murphy, Eugene J.; Cavanagh, Rachel</t>
  </si>
  <si>
    <t>Recent Decrease of Summer Sea Ice in the Weddell Sea, Antarctica</t>
  </si>
  <si>
    <t>sea ice; Antarctica; Weddell Sea; climate change; cryosphere; polynya</t>
  </si>
  <si>
    <t>VARIABILITY; CIRCULATION</t>
  </si>
  <si>
    <t>In Austral summer 2016/2017, the sea ice extent (SIE) in the Weddell Sea dropped to a near-record value in the satellite era (1.88 x 10(6) km(2)), a large negative seasonal anomaly that persisted in an unprecedented fashion for the following three summers. Various atmospheric and oceanic factors played a part in the change. Ice loss started in September 2016 when the northern Weddell Sea experienced westerly winds of record strength, advecting multiyear sea ice from the region. In late 2016, a polynya over Maud Rise contributed to low SIE over the eastern Weddell Sea. With extensive areas of open water early in the summer, upper ocean temperatures increased by similar to 0.5 degrees C, with the anomalies persisting in subsequent years. The reappearance of the Maud Rise polynya in 2017, high ocean temperatures, and storms of record depth kept the summer SIE low.</t>
  </si>
  <si>
    <t>[Turner, John; Guarino, Maria Vittoria; Arnatt, Jack; Marshall, Gareth J.; Phillips, Tony; Andersson, Tom; Murphy, Eugene J.; Cavanagh, Rachel] NERC, British Antarctic Survey, Cambridge, England; [Jena, Babula; Bajish, C. C.] Govt India, Minist Earth Sci, Natl Ctr Polar &amp; Ocean Res, Vasco Da Gama, India; [Clem, Kyle] Victoria Univ Wellington, Sch Geog Environm &amp; Earth Sci, Wellington, New Zealand; [Wang, Zhaomin] Hohai Univ, Coll Oceanog, Nanjing, Peoples R China; [Wang, Zhaomin] Southern Marine Sci &amp; Engn Guangdong Lab Zhuhai, Zhuhai, Peoples R China</t>
  </si>
  <si>
    <t>UK Research &amp; Innovation (UKRI); Natural Environment Research Council (NERC); NERC British Antarctic Survey; Ministry of Earth Sciences (MoES) - India; National Centre for Polar and Ocean Research (NCPOR); Victoria University Wellington; Hohai University; Southern Marine Science &amp; Engineering Guangdong Laboratory; Southern Marine Science &amp; Engineering Guangdong Laboratory (Zhuhai)</t>
  </si>
  <si>
    <t>Turner, J (corresponding author), NERC, British Antarctic Survey, Cambridge, England.</t>
  </si>
  <si>
    <t>jtu@bas.ac.uk</t>
  </si>
  <si>
    <t>Clem, Kyle/AAG-6626-2021; Andersson, Tom/ISU-6762-2023; murphy, eugene/GZL-1620-2022</t>
  </si>
  <si>
    <t>Clem, Kyle/0000-0002-1419-2758; Andersson, Tom/0000-0002-1556-9932; Marshall, Gareth/0000-0001-8887-7314; , Bajish/0000-0002-5909-094X; Turner, John/0000-0002-6111-5122; Guarino, Maria Vittoria/0000-0002-7531-4560; Phillips, Tony/0000-0002-3058-9157</t>
  </si>
  <si>
    <t>NERC [NE/P013279/1]; National Natural Science Foundation of China [41941007, 41876220]; NERC [bas0100032, bas0100035, bas0100034, NE/P013279/1] Funding Source: UKRI</t>
  </si>
  <si>
    <t>NERC(UK Research &amp; Innovation (UKRI)Natural Environment Research Council (NERC)); National Natural Science Foundation of China(National Natural Science Foundation of China (NSFC)); NERC(UK Research &amp; Innovation (UKRI)Natural Environment Research Council (NERC))</t>
  </si>
  <si>
    <t>This work formed part of the Polar Science for Planet Earth program of the British Antarctic Survey, Natural Environment Research Council. M.V. G. was funded by NERC Grant NE/P013279/1. Z. W. was financially supported by the National Natural Science Foundation of China (grant numbers 41941007 and 41876220).</t>
  </si>
  <si>
    <t>e2020GL087127</t>
  </si>
  <si>
    <t>10.1029/2020GL087127</t>
  </si>
  <si>
    <t>WOS:000543387400016</t>
  </si>
  <si>
    <t>Ming, A; Winton, VHL; Keeble, J; Abraham, NL; Dalvi, MC; Griffiths, P; Caillon, N; Jones, AE; Mulvaney, R; Savarino, J; Frey, MM; Yang, X</t>
  </si>
  <si>
    <t>Ming, Alison; Winton, V. Holly L.; Keeble, James; Abraham, Nathan L.; Dalvi, Mohit C.; Griffiths, Paul; Caillon, Nicolas; Jones, Anna E.; Mulvaney, Robert; Savarino, Joel; Frey, Markus M.; Yang, Xin</t>
  </si>
  <si>
    <t>Stratospheric Ozone Changes From Explosive Tropical Volcanoes: Modeling and Ice Core Constraints</t>
  </si>
  <si>
    <t>volcanic eruption; ozone; isotopes in ice cores; Samalas; chemistry-climate modeling; Antarctica</t>
  </si>
  <si>
    <t>DRONNING MAUD-LAND; CLIMATE-COMPOSITION MODEL; EAST ANTARCTIC PLATEAU; AIR-SNOW TRANSFER; PAST 2 KYR; INTERCOMPARISON PROJECT; ACCURATE SIMULATION; EXPERIMENTAL-DESIGN; DOME C; PART 1</t>
  </si>
  <si>
    <t>Major tropical volcanic eruptions have emitted large quantities of stratospheric sulfate and are potential sources of stratospheric chlorine although this is less well constrained by observations. This study combines model and ice core analysis to investigate past changes in total column ozone. Historic eruptions are good analogs for future eruptions as stratospheric chlorine levels have been decreasing since the year 2000. We perturb the preindustrial atmosphere of a chemistry-climate model with high and low emissions of sulfate and chlorine. The sign of the resulting Antarctic ozone change is highly sensitive to the background stratospheric chlorine loading. In the first year, the response is dynamical, with ozone increases over Antarctica. In the high HCl (2Tg emission) experiment, the injected chlorine is slowly transported to the polar regions with subsequent chemical ozone depletion. These model results are then compared to measurements of the stable nitrogen isotopic ratio, delta N-15(NO3-), from a low snow accumulation Antarctic ice core from Dronning Maud Land (recovered in 2016-2017). We expect ozone depletion to lead to increased surface ultraviolet (UV) radiation, enhanced air-snow nitrate photochemistry and enrichment in delta N-15(NO3-) in the ice core. We focus on the possible ozone depletion event that followed the largest volcanic eruption in the past 1,000 years, Samalas in 1257. The characteristic sulfate signal from this volcano is present in the ice core but the variability in delta N-15(NO3-) dominates any signal arising from changes in ultraviolet from ozone depletion. Prolonged complete ozone removal following this eruption is unlikely to have occurred over Antarctica. Plain Language Summary Chlorine in the stratosphere destroys ozone that protects the Earth from harmful ultraviolet radiation. Volcanic eruptions in the tropics can emit sulfate and chlorine into the stratosphere. Chlorine levels are currently decreasing and to understand the impact of a volcanic eruption on stratospheric ozone in a future climate, historical eruptions are a useful analog since the preindustrial climate also had low chlorine levels. Using a chemistry-climate model, we run a set of experiments where we inject different amounts of sulfate and chlorine into the stratosphere over the tropics to simulate different types and strengths of explosive volcanoes and we find that the ozone over Antarctica initially increases over the first year following the eruption. If the volcano emits a large amount of chlorine, ozone then decreases over Antarctica in years two to four following the eruption. We also compare our results to ice core data around a large historic volcanic eruption, Samalas (1257).</t>
  </si>
  <si>
    <t>[Ming, Alison; Winton, V. Holly L.; Jones, Anna E.; Mulvaney, Robert; Frey, Markus M.; Yang, Xin] British Antarctic Survey, Cambridge, England; [Ming, Alison; Keeble, James; Abraham, Nathan L.; Griffiths, Paul] Univ Cambridge, Dept Chem, Cambridge, England; [Keeble, James; Abraham, Nathan L.; Griffiths, Paul] Univ Cambridge, Natl Ctr Atmospher Sci NCAS, Cambridge, England; [Dalvi, Mohit C.] Met Off Hadley Ctr, Exeter, Devon, England; [Caillon, Nicolas; Savarino, Joel] Univ Grenoble Alpes, CNRS, IRD, Grenoble INP,IGE, Grenoble, France</t>
  </si>
  <si>
    <t>UK Research &amp; Innovation (UKRI); Natural Environment Research Council (NERC); NERC British Antarctic Survey; University of Cambridge; University of Cambridge; Met Office - UK; Hadley Centre; Communaute Universite Grenoble Alpes; Institut National Polytechnique de Grenoble; Universite Grenoble Alpes (UGA); Centre National de la Recherche Scientifique (CNRS); Institut de Recherche pour le Developpement (IRD)</t>
  </si>
  <si>
    <t>Ming, A (corresponding author), British Antarctic Survey, Cambridge, England.;Ming, A (corresponding author), Univ Cambridge, Dept Chem, Cambridge, England.</t>
  </si>
  <si>
    <t>A.Ming@damtp.cam.ac.uk</t>
  </si>
  <si>
    <t>Frey, Markus/G-1756-2012; Winton, Holly/J-5486-2019; Yang, Xin/AGB-3514-2022; Griffiths, Paul/E-8592-2010; Caillon, Nicolas/B-7127-2019; Mulvaney, Robert/K-3929-2012; savarino, joel/H-9730-2012</t>
  </si>
  <si>
    <t>Frey, Markus/0000-0003-0535-0416; Winton, Holly/0000-0001-7112-6768; Yang, Xin/0000-0002-3838-9758; Griffiths, Paul/0000-0002-1089-340X; Jones, Anna/0000-0002-2040-4841; Dalvi, Mohit/0000-0003-1669-0811; Keeble, James/0000-0003-2714-1084; Abraham, Nathan Luke/0000-0003-3750-3544; Caillon, Nicolas/0000-0002-6318-6194; Mulvaney, Robert/0000-0002-5372-8148; savarino, joel/0000-0002-6708-9623</t>
  </si>
  <si>
    <t>National Environment Research Council (NERC) [NE/N011813/1]; University of Cambridge; European Community [603557]; Joint UK BEIS/Defra Met Office Hadley Centre Climate Programme [GA01101]; Natural Environment Research Council as part of British Antarctic Survey's program Polar Science for Planet Earth; ANR [ANR-15-IDEX-02, ANR-16-CE01-0011-01]; LabEx OSUG@2020 [ANR10 LABX56]; New Zealand Deep South National Science Challenge; Met Office; Natural Environment Research Council; NERC [bas0100032, NE/N011813/1, bas0100034, ncas10014] Funding Source: UKRI</t>
  </si>
  <si>
    <t>National Environment Research Council (NERC)(UK Research &amp; Innovation (UKRI)Natural Environment Research Council (NERC)); University of Cambridge(University of Cambridge); European Community; Joint UK BEIS/Defra Met Office Hadley Centre Climate Programme; Natural Environment Research Council as part of British Antarctic Survey's program Polar Science for Planet Earth; ANR(Agence Nationale de la Recherche (ANR)); LabEx OSUG@2020; New Zealand Deep South National Science Challenge; Met Office; Natural Environment Research Council(UK Research &amp; Innovation (UKRI)Natural Environment Research Council (NERC)); NERC(UK Research &amp; Innovation (UKRI)Natural Environment Research Council (NERC))</t>
  </si>
  <si>
    <t>This project was funded by a National Environment Research Council (NERC) Standard Grant (NE/N011813/1) to M. M. F. V. H. L. W. would like to thank the University of Cambridge Doctoral Training Program (DTP) for funding a NERC Research Experience Project (REP) that contributed to this manuscript. J. K. received funding from the European Community's Seventh Framework Programme (FP7/2007-2013) under Grant Agreement 603557 (StratoClim). M. D. was supported by the Joint UK BEIS/Defra Met Office Hadley Centre Climate Programme (GA01101). A. E. J. was funded by the Natural Environment Research Council as part of British Antarctic Survey's program Polar Science for Planet Earth. J. S. and N. C. thank the ANR (Investissements d'avenir ANR-15-IDEX-02 and EAIIST Grant ANR-16-CE01-0011-01) and the INSU program LEFE-CHAT for supporting the stable isotope laboratory. This is a publication of the PANDA platform on which isotope analysis was performed. PANDA was partially funded by the LabEx OSUG@2020 (ANR10 LABX56). We would like to thank British Antarctic Survey (BAS) and Alfred Wegener Institute (AWI) staff for field and logistical support at Halley Station and Kohnen Station, respectively. Technical support for nitrate isotope analysis at the Institut des Geosciences de l'Environnement (IGE), Grenoble was provided by Pete Arkers. In addition, we thank Lisa Hauge, Emily Ludlow, Shaun Miller, Catriona Sinclair, Rebecca Tuckwell, Sarah Jackson, Julius Rix, and Liz Thomas for technical support at BAS. We would like to thank Bodeker Scientific, funded by the New Zealand Deep South National Science Challenge, for providing the combined NIWA-BS total column ozone database. The ice core data set is available through the Polar Data Centre (Winton, Caillon et al., 2019). This work used Monsoon2, a collaborative High Performance Computing facility funded by the Met Office and the Natural Environment Research Council. This work also used JASMIN, the UK collaborative data analysis facility. The model data are archived on the MONSooN2 platform and the full data are available upon request. The model data used in this paper is archived on the Centre for Environmental Data Analysis (Ming, 2020). We would like to thank David Wade, Alex Archibald, Joanna Haigh, and John Pyle for very helpful discussions as well as an anonymous reviewer and the Editor for their thoughtful comments and efforts toward improving our manuscript.</t>
  </si>
  <si>
    <t>e2019JD032290</t>
  </si>
  <si>
    <t>10.1029/2019JD032290</t>
  </si>
  <si>
    <t>Green Submitted, hybrid, Green Accepted</t>
  </si>
  <si>
    <t>WOS:000541156800024</t>
  </si>
  <si>
    <t>Phillips, LM; Aitkenhead, I; Janion-Scheepers, C; King, CK; McGeoch, MA; Nielsen, UN; Terauds, A; Liu, WPA; Chown, SL</t>
  </si>
  <si>
    <t>Phillips, Laura M.; Aitkenhead, Ian; Janion-Scheepers, Charlene; King, Catherine K.; McGeoch, Melodie A.; Nielsen, Uffe N.; Terauds, Aleks; Liu, W. P. Amy; Chown, Steven L.</t>
  </si>
  <si>
    <t>Basal tolerance but not plasticity gives invasive springtails the advantage in an assemblage setting</t>
  </si>
  <si>
    <t>Biological invasions; climate change; CTmax; CTmin; growth; water balance</t>
  </si>
  <si>
    <t>CLIMATE-CHANGE; PHENOTYPIC PLASTICITY; ENVIRONMENTAL-CHANGE; THERMAL TOLERANCE; GLOBAL ANALYSIS; TEMPERATURE; BIODIVERSITY; ACCLIMATION; DIVERSITY; ECOLOGY</t>
  </si>
  <si>
    <t>As global climates change, alien species are anticipated to have a growing advantage relative to their indigenous counterparts, mediated through consistent trait differences between the groups. These insights have largely been developed based on interspecific comparisons using multiple species examined from different locations. Whether such consistent physiological trait differences are present within assemblages is not well understood, especially for animals. Yet, it is at the assemblage level that interactions play out. Here, we examine whether physiological trait differences observed at the interspecific level are also applicable to assemblages. We focus on the Collembola, an important component of the soil fauna characterized by invasions globally, and five traits related to fitness: critical thermal maximum, minimum and range, desiccation resistance and egg development rate. We test the predictions that the alien component of a local assemblage has greater basal physiological tolerances or higher rates, and more pronounced phenotypic plasticity than the indigenous component. Basal critical thermal maximum, thermal tolerance range, desiccation resistance, optimum temperature for egg development, the rate of development at that optimum and the upper temperature limiting egg hatching success are all significantly higher, on average, for the alien than the indigenous components of the assemblage. Outcomes for critical thermal minimum are variable. No significant differences in phenotypic plasticity exist between the alien and indigenous components of the assemblage. These results are consistent with previous interspecific studies investigating basal thermal tolerance limits and development rates and their phenotypic plasticity, in arthropods, but are inconsistent with results from previous work on desiccation resistance. Thus, for the Collembola, the anticipated advantage of alien over indigenous species under warming and drying is likely to be manifest in local assemblages, globally.</t>
  </si>
  <si>
    <t>[Phillips, Laura M.; Aitkenhead, Ian; McGeoch, Melodie A.; Liu, W. P. Amy; Chown, Steven L.] Monash Univ, Sch Biol Sci, Clayton, Vic 3800, Australia; [Janion-Scheepers, Charlene] Iziko South African Museum, ZA-8001 Cape Town, South Africa; [Janion-Scheepers, Charlene] Univ Cape Town, Dept Biol Sci, ZA-7700 Cape Town, South Africa; [King, Catherine K.; Terauds, Aleks] Australian Antarctic Div, Dept Agr Water &amp; Environm, 203 Channel Highway, Kingston, Tas 7050, Australia; [Nielsen, Uffe N.] Western Sydney Univ, Hawkesbury Inst Environm, Locked Bag 1797, Penrith, NSW 2751, Australia</t>
  </si>
  <si>
    <t>Monash University; University of Cape Town; Australian Antarctic Division; Western Sydney University</t>
  </si>
  <si>
    <t>Chown, SL (corresponding author), Monash Univ, Sch Biol Sci, Clayton, Vic 3800, Australia.</t>
  </si>
  <si>
    <t>Chown, Steven/ABD-7646-2021; Terauds, Aleks/A-4991-2010; King, Catherine/G-7059-2017; McGeoch, Melodie/F-8353-2011</t>
  </si>
  <si>
    <t>King, Catherine/0000-0003-3356-0381; LIU, WING PUI AMY/0000-0002-8787-4960; McGeoch, Melodie/0000-0003-3388-2241; Janion-Scheepers, Charlene/0000-0001-5942-7912</t>
  </si>
  <si>
    <t>Australian Antarctic Science Grant [4307]; Australian Research Council [DP190100341]</t>
  </si>
  <si>
    <t>Australian Antarctic Science Grant; Australian Research Council(Australian Research Council)</t>
  </si>
  <si>
    <t>This work was supported by Australian Antarctic Science Grant [4307] and by Australian Research Council Discovery Project [DP190100341].</t>
  </si>
  <si>
    <t>JUN 15</t>
  </si>
  <si>
    <t>coaa049</t>
  </si>
  <si>
    <t>10.1093/conphys/coaa049</t>
  </si>
  <si>
    <t>ME6AO</t>
  </si>
  <si>
    <t>WOS:000544736500001</t>
  </si>
  <si>
    <t>Cartwright, J; Banks, CJ; Srokosz, M</t>
  </si>
  <si>
    <t>Cartwright, Jessica; Banks, Christopher J.; Srokosz, Meric</t>
  </si>
  <si>
    <t>Improved GNSS-R bi-static altimetry and independent digital elevation models of Greenland and Antarctica from TechDemoSat-1</t>
  </si>
  <si>
    <t>GPS SIGNALS; DOME C; SCATTERING; SNOW; REFLECTOMETRY; OCEAN; INTERFEROMETRY; PRECISION; RADAR</t>
  </si>
  <si>
    <t>Improved digital elevation models (DEMs) of the Antarctic and Greenland ice sheets are presented, which have been derived from Global Navigation Satellite Systems-Reflectometry (GNSS-R). This builds on a previous study (Cartwright et al., 2018) using GNSS-R to derive an Antarctic DEM but uses improved processing and an additional 13 months of measurements, totalling 46 months of data from the UK TechDemoSat-1 satellite. A median bias of under 10 m and root-mean-square errors (RMSEs) of under 53 m for the Antarctic and 166 m for Greenland are obtained, as compared to existing DEMs. The results represent, compared to the earlier study, a halving of the median bias to 9 m, an improvement in coverage of 18 %, and a 4 times higher spatial resolution (now gridded at 25 km). In addition, these are the first published satellite altimetry measurements of the region surrounding the South Pole. Comparisons south of 88 degrees S yield RMSEs of less than 33 m when compared to NASA's Operation IceBridge measurements. Differences between DEMs are explored, the limitations of the technique are noted, and the future potential of GNSS-R for glacial ice studies is discussed.</t>
  </si>
  <si>
    <t>[Cartwright, Jessica; Srokosz, Meric] Natl Oceanog Ctr, Southampton SO14 3ZH, Hants, England; [Cartwright, Jessica] Natl Oceanog Ctr, Ocean &amp; Earth Sci, Southampton, Hants, England; [Cartwright, Jessica] Univ Southampton, Southampton SO14 3ZH, Hants, England; [Banks, Christopher J.] Natl Oceanog Ctr, Liverpool L3 5DA, Merseyside, England</t>
  </si>
  <si>
    <t>NERC National Oceanography Centre; NERC National Oceanography Centre; University of Southampton; NERC National Oceanography Centre</t>
  </si>
  <si>
    <t>Cartwright, J (corresponding author), Natl Oceanog Ctr, Southampton SO14 3ZH, Hants, England.;Cartwright, J (corresponding author), Natl Oceanog Ctr, Ocean &amp; Earth Sci, Southampton, Hants, England.;Cartwright, J (corresponding author), Univ Southampton, Southampton SO14 3ZH, Hants, England.</t>
  </si>
  <si>
    <t>jc1n15@noc.soton.ac.uk</t>
  </si>
  <si>
    <t>Cartwright, Jessica/AAT-8201-2020; Banks, Chris J/A-5334-2012</t>
  </si>
  <si>
    <t>Cartwright, Jessica/0000-0002-7569-9974; Srokosz, Meric/0000-0002-7347-7411</t>
  </si>
  <si>
    <t>Natural Environment Research Council [NE/L002531/1]</t>
  </si>
  <si>
    <t>Natural Environment Research Council(UK Research &amp; Innovation (UKRI)Natural Environment Research Council (NERC))</t>
  </si>
  <si>
    <t>This research has been supported by the Natural Environment Research Council (grant no. NE/L002531/1)</t>
  </si>
  <si>
    <t>10.5194/tc-14-1909-2020</t>
  </si>
  <si>
    <t>MA3CV</t>
  </si>
  <si>
    <t>WOS:000541796200001</t>
  </si>
  <si>
    <t>Kavan, J; Nyvlt, D; Laska, K; Engel, Z; Knazkova, M</t>
  </si>
  <si>
    <t>Kavan, Jan; Nyvlt, Daniel; Laska, Kamil; Engel, Zbynek; Knazkova, Michaela</t>
  </si>
  <si>
    <t>High-latitude dust deposition in snow on the glaciers of James Ross Island, Antarctica</t>
  </si>
  <si>
    <t>EARTH SURFACE PROCESSES AND LANDFORMS</t>
  </si>
  <si>
    <t>glaciers; high-latitude dust deposition; snow pit; James Ross Island; Antarctic Peninsula; long-range transport</t>
  </si>
  <si>
    <t>TAYLOR VALLEY; PATAGONIA DESERT; EOLIAN SEDIMENT; TRACE-ELEMENTS; VICTORIA-LAND; ICE CAP; TRANSPORT; AEROSOL; CONTEMPORARY; PENINSULA</t>
  </si>
  <si>
    <t>High-latitude dust (HLD) depositions on four glaciers of James Ross Island (the Ulu Peninsula) were analysed. The deposition rate on the selected glaciers varies from 11.8 to 64.0 g m(-2), which is one order of magnitude higher compared to the glaciers in Antarctica or elsewhere in the world. A strong negative relationship between the sediment amount and altitude of a sampling site was found. This is most likely caused by the higher availability of aeolian material in the atmospheric boundary layer. General southerly and south-westerly wind directions over the Ulu Peninsula - with exceptions based on local terrain configuration - help to explain the significantly lower level of sediment deposition on San Jose Glacier and the high level on Triangular Glacier. X-ray fluorescence (XRF) spectrophotometry was used to estimate the relative proportions of the main and trace (lithophile) elements in the sediment samples. Both the sediment amount and the XRF results are analysed in a depth profile at each locality and compared among the glaciers, suggesting long-range transport of fine mineral material from outside James Ross Island. The distribution of aeolian sediment among the glaciers corresponds well with the prevailing wind direction on the Ulu Peninsula. (c) 2020 John Wiley &amp; Sons, Ltd.</t>
  </si>
  <si>
    <t>[Kavan, Jan; Nyvlt, Daniel; Laska, Kamil; Knazkova, Michaela] Masaryk Univ, Fac Sci, Dept Geog, Polar Geolab, Kotlarska 2, CZ-61137 Brno, Czech Republic; [Engel, Zbynek] Charles Univ Prague, Fac Sci, Dept Phys Geog &amp; Geoecol, Albertov 6, CZ-12842 Prague, Czech Republic</t>
  </si>
  <si>
    <t>Masaryk University Brno; Charles University Prague</t>
  </si>
  <si>
    <t>Kavan, J (corresponding author), Masaryk Univ, Fac Sci, Dept Geog, Polar Geolab, Kotlarska 2, CZ-61137 Brno, Czech Republic.</t>
  </si>
  <si>
    <t>jan.kavan.cb@gmail.com</t>
  </si>
  <si>
    <t>Kavan, Jan/ACU-4986-2022; Nyvlt, Daniel/J-6504-2019; Engel, Zbyněk/S-2954-2016; Laska, Kamil/L-7875-2013</t>
  </si>
  <si>
    <t>Nyvlt, Daniel/0000-0002-6876-490X; Engel, Zbyněk/0000-0002-5209-7823; Laska, Kamil/0000-0002-5199-9737; Kavan, Jan/0000-0003-4524-3009</t>
  </si>
  <si>
    <t>0197-9337</t>
  </si>
  <si>
    <t>1096-9837</t>
  </si>
  <si>
    <t>EARTH SURF PROC LAND</t>
  </si>
  <si>
    <t>Earth Surf. Process. Landf.</t>
  </si>
  <si>
    <t>10.1002/esp.4831</t>
  </si>
  <si>
    <t>LZ4VZ</t>
  </si>
  <si>
    <t>WOS:000541225100007</t>
  </si>
  <si>
    <t>van Leeuwe, MA; Webb, AL; Venables, HJ; Visser, RJW; Meredith, MP; Elzenga, JTM; Stefels, J</t>
  </si>
  <si>
    <t>van Leeuwe, Maria A.; Webb, Alison L.; Venables, Hugh J.; Visser, Ronald J. W.; Meredith, Mike P.; Elzenga, J. Theo M.; Stefels, Jacqueline</t>
  </si>
  <si>
    <t>Annual patterns in phytoplankton phenology in Antarctic coastal waters explained by environmental drivers</t>
  </si>
  <si>
    <t>NORTHERN MARGUERITE BAY; ICE-ZONE WEST; SEA-ICE; PHAEOCYSTIS-ANTARCTICA; CLIMATE-CHANGE; ROSS SEA; INTERANNUAL VARIABILITY; SPATIAL VARIABILITY; COMMUNITY STRUCTURE; PENINSULA</t>
  </si>
  <si>
    <t>Coastal zones of Antarctica harbor rich but highly variable phytoplankton communities. The mechanisms that control the dynamics of these communities are not well defined. Here we elucidate the mechanisms that drive seasonal species succession, based on algal photophysiological characteristics and environmental factors. For this, phytoplankton community structure together with oceanographic parameters was studied over a 5-year period (2012-2017) at Rothera Station at Ryder Bay (Western Antarctic Peninsula). Algal pigment patterns and photophysiological studies based on fluorescence analyses were combined with data from the Rothera Time-Series program. Considerable interannual variation was observed, related to variations in wind-mixing, ice cover and an El Nino event. Clear patterns in the succession of algal classes became manifest when combining the data collected over the five successive years. In spring, autotrophic flagellates with a high light affinity were the first to profit from increasing light and sea ice melt. These algae most likely originated from sea-ice communities, stressing the role of sea ice as a seeding vector for the spring bloom. Diatoms became dominant towards summer in more stratified and warmer surface waters. These communities displayed significantly lower photoflexibility than spring communities. There are strong indications for mixotrophy in cryptophytes, which would explain much of their apparently random occurrence. Climate models predict continuing retreat of Antarctic sea-ice during the course of this century. For the near-future we predict that the marginal sea-ice zone will still harbor significant communities of haptophytes and chlorophytes, whereas increasing temperatures will mainly be beneficial for diatoms.</t>
  </si>
  <si>
    <t>[van Leeuwe, Maria A.; Webb, Alison L.; Elzenga, J. Theo M.; Stefels, Jacqueline] Univ Groningen, GELIFES, Groningen, Netherlands; [Venables, Hugh J.; Meredith, Mike P.] British Antarctic Survey, Cambridge, England; [Visser, Ronald J. W.] Univ Groningen, ESRIG, Groningen, Netherlands; [Webb, Alison L.] Univ Warwick, Coventry, W Midlands, England</t>
  </si>
  <si>
    <t>University of Groningen; UK Research &amp; Innovation (UKRI); Natural Environment Research Council (NERC); NERC British Antarctic Survey; University of Groningen; University of Warwick</t>
  </si>
  <si>
    <t>van Leeuwe, MA (corresponding author), Univ Groningen, GELIFES, Groningen, Netherlands.</t>
  </si>
  <si>
    <t>m.a.van.leeuwe@rug.nl</t>
  </si>
  <si>
    <t>Meredith, Michael/0000-0002-7342-7756; van Leeuwe, Maria/0000-0002-9572-4700</t>
  </si>
  <si>
    <t>Netherlands Organisation for Scientific Research (NWO) under the Polar Program (NPP) Project [866.10.101, 866.14.101]; U.K. Natural Environment Research Council</t>
  </si>
  <si>
    <t>Netherlands Organisation for Scientific Research (NWO) under the Polar Program (NPP) Project(Netherlands Organization for Scientific Research (NWO)); U.K. Natural Environment Research Council(UK Research &amp; Innovation (UKRI)Natural Environment Research Council (NERC))</t>
  </si>
  <si>
    <t>We thank the Dutch Program winter research assistants Amber Annett, Mairi Fenton and Emily Davey for collecting samples over winter. We are grateful to the technical staff at the British Antarctic Survey Rothera Station for all general support. We thank Janne-Markus Rintala for microscopic analyses and the Royal Netherlands Institute for Sea Research for nutrient analyses. Funding for this study was provided by the Netherlands Organisation for Scientific Research (NWO) under the Polar Program (NPP) Project Numbers 866.10.101 and 866.14.101. RaTS is a component of the BAS Polar Oceans research program, funded by the U.K. Natural Environment Research Council.</t>
  </si>
  <si>
    <t>10.1002/lno.11477</t>
  </si>
  <si>
    <t>MI9HG</t>
  </si>
  <si>
    <t>hybrid, Green Published, Green Accepted</t>
  </si>
  <si>
    <t>WOS:000541079700001</t>
  </si>
  <si>
    <t>Heesterman, ARG</t>
  </si>
  <si>
    <t>Heesterman, Aart Reinier Gustaaf</t>
  </si>
  <si>
    <t>Containing the risk of catastrophic climate change</t>
  </si>
  <si>
    <t>CLEAN TECHNOLOGIES AND ENVIRONMENTAL POLICY</t>
  </si>
  <si>
    <t>SEA-LEVEL RISE; CARBON CAPTURE; DIOXIDE; BIOGAS</t>
  </si>
  <si>
    <t>There is a general perception that limiting emissions of carbon dioxide will be sufficient to avoid catastrophic climate change. The reality could well be that the many of the world's wealthy coastal cities which historically developed as ports will be inundated repeatedly to disappear eventually below the sea, with large swathes of the earth being flooded. Other major conurbations may cease to be liveable without air conditioning, while large numbers of people could well starve as a result of disruption of ecosystems. To the extent that this possibility is recognized, it is nevertheless perceived as a gradual process with the worst results in a distance future with any sea-level rise a gradual process. Limiting emissions is unlikely to be sufficient, because the level of carbon dioxide in the earth's atmosphere is now much higher than ever before since humans started to exploit fossil fuels. We know this from the study of ancient air bubbles in Antarctic ice cores. There is a lack of balance between the energy transmitted by the incoming sunlight and the earth's outgoing infrared heat radiation. So far this imbalance is absorbed by the enormous thermal mass of the oceans. As to the speed of sea-level rise, a period of extremely rapid sea-level rise of about 1.4 cm per year has occurred in the prehistoric past and disintegration of ice sheets as is happening currently may well be a plausible explanation of this fact. In fact, it is straightforward to create substantial amounts of negative emissions of carbon dioxide. Nevertheless, making it happen will require an unprecedented degree of global cooperation, a high level of taxation on the extraction of coal and crude oil, and the use of pressurized liquid petrol gas as aviation fuel. [GRAPHICS] .</t>
  </si>
  <si>
    <t>[Heesterman, Aart Reinier Gustaaf] Univ Birmingham, Birmingham, W Midlands, England</t>
  </si>
  <si>
    <t>University of Birmingham</t>
  </si>
  <si>
    <t>Heesterman, ARG (corresponding author), Univ Birmingham, Birmingham, W Midlands, England.</t>
  </si>
  <si>
    <t>ARGHees@BTInternet.com</t>
  </si>
  <si>
    <t>1618-954X</t>
  </si>
  <si>
    <t>1618-9558</t>
  </si>
  <si>
    <t>CLEAN TECHNOL ENVIR</t>
  </si>
  <si>
    <t>Clean Technol. Environ. Policy</t>
  </si>
  <si>
    <t>10.1007/s10098-020-01868-1</t>
  </si>
  <si>
    <t>Green &amp; Sustainable Science &amp; Technology; Engineering, Environmental; Environmental Sciences</t>
  </si>
  <si>
    <t>Science &amp; Technology - Other Topics; Engineering; Environmental Sciences &amp; Ecology</t>
  </si>
  <si>
    <t>ML6VQ</t>
  </si>
  <si>
    <t>WOS:000540929700001</t>
  </si>
  <si>
    <t>Moreno, PI</t>
  </si>
  <si>
    <t>Moreno, Patricio, I</t>
  </si>
  <si>
    <t>Timing and structure of vegetation, fire, and climate changes on the Pacific slope of northwestern Patagonia since the last glacial termination</t>
  </si>
  <si>
    <t>CHILEAN LAKE DISTRICT; ANTARCTIC COLD REVERSAL; ISLA GRANDE; RADIOCARBON CHRONOLOGY; SOUTHERN WESTERLIES; ABRUPT VEGETATION; LATE-PLEISTOCENE; ATMOSPHERIC CO2; POLLEN EVIDENCE; REGIME SHIFTS</t>
  </si>
  <si>
    <t>By virtue of its location in the southern mid-latitudes, northwestern Patagonia (40 degrees-44 degrees S) offers the opportunity to unravel the mechanisms involved in the initiation and propagation of paleoclimate signals of hemispheric and global significance. Of particular importance is deciphering the evolution of the Southern Westerly Winds (SWW) considering their influence at continental, zonal, hemispheric, and global scale. Here I present a multi-decadal record from Lago Proschle, a small closed-basin lake located on the Pacific slope of northwestern Patagonia, to examine the timing and structure of vegetation, fire, and climate change along a continuum since the onset of the Last Glacial Termination (T1). The record shows rapid glacier recession during T1, reaching the western Andean foothills in similar to 400 years or less. Nothofagus-dominated forests established between similar to 17.4-17 ka, followed by closed-canopy North Patagonian Rain Forests (NPRF) with shade-tolerant thermophilous trees between similar to 16.3-15.4 ka. These changes suggest an abrupt warming trend and an increase in precipitation at similar to 16.3 ka, associated with a northward shift of the SWW. Subsequent increases in cold-tolerant hygrophilous trees between similar to 15.4-12.8 ka imply a shift to cold, more humid conditions during the Antarctic Cold Reversal, suggesting stronger SWW influence. This was followed by stand-replacing fires brought by a sudden decline in summer precipitation at similar to 12.8 ka, associated with a millennial-scale southward shift of the SWW which was contemporaneous with the onset of the Younger Dryas. Dominance of thermophilous, summer-drought tolerant Valdivian rainforest trees and high fire activity ensued between similar to 10.3-7.8 ka, suggesting peak warmth and overall decline in annual precipitation associated with weakening of the SWW during the early Holocene. A multi-millennial cooling and wetting trend started at similar to 7.8 ka, brought by stronger SWW influence, followed by recurrent, centennial-scale variations in temperature and precipitation starting at similar to 6.4 ka. Deforestation, fire, and spread of non-native herbs by Chilean/European settlers began during the late 18th century. Abrupt vegetation changes in the Lago Proschle record were driven by rapid climate changes over the last 17,400 years amplified, in some instances, by fire disturbance. (C) 2020 Elsevier Ltd. All rights reserved.</t>
  </si>
  <si>
    <t>[Moreno, Patricio, I] Univ Chile, Ctr Climate Res &amp; Resilience, Inst Ecol &amp; Biodivers, Millennium Nucleus Paleoclimate,Dept Ecol Sci, Santiago, Chile</t>
  </si>
  <si>
    <t>Universidad de Chile</t>
  </si>
  <si>
    <t>Moreno, PI (corresponding author), Univ Chile, Ctr Climate Res &amp; Resilience, Inst Ecol &amp; Biodivers, Millennium Nucleus Paleoclimate,Dept Ecol Sci, Santiago, Chile.</t>
  </si>
  <si>
    <t>pimoreno@uchile.cl</t>
  </si>
  <si>
    <t>Moreno, Patricio/D-2317-2012</t>
  </si>
  <si>
    <t>Moreno, Patricio/0000-0002-1333-6238</t>
  </si>
  <si>
    <t>Fondecyt [1191435]; ANID Millennium Science Initiative/Millennium Nucleus Paleoclimate [NCN17_079]</t>
  </si>
  <si>
    <t>Fondecyt(Comision Nacional de Investigacion Cientifica y Tecnologica (CONICYT)CONICYT FONDECYT); ANID Millennium Science Initiative/Millennium Nucleus Paleoclimate</t>
  </si>
  <si>
    <t>I thank M.-S. Fletcher, R. Flores, R. Villa, and A. Westermeyer for help during field work, L. Hernandez and M. Valenzuela for laboratory assistance, E. Fercovic for drafting Fig. 1, and T. Guilderson, S. Collado and R. De Pol for analyzing the radiocarbon samples. I acknowledge funding from Fondecyt 1191435 and the ANID Millennium Science Initiative/Millennium Nucleus Paleoclimate NCN17_079.</t>
  </si>
  <si>
    <t>10.1016/j.quascirev.2020.106328</t>
  </si>
  <si>
    <t>LU1ZH</t>
  </si>
  <si>
    <t>WOS:000537559500007</t>
  </si>
  <si>
    <t>Petrini, M; Colleoni, F; Kirchner, N; Hughes, ALC; Camerlenghi, A; Rebesco, M; Lucchi, RG; Forte, E; Colucci, RR; Noormets, R; Mangerud, J</t>
  </si>
  <si>
    <t>Petrini, Michele; Colleoni, Florence; Kirchner, Nina; Hughes, Anna L. C.; Camerlenghi, Angelo; Rebesco, Michele; Lucchi, Renata G.; Forte, Emanuele; Colucci, Renato R.; Noormets, Riko; Mangerud, Jan</t>
  </si>
  <si>
    <t>Simulated last deglaciation of the Barents Sea Ice Sheet primarily driven by oceanic conditions</t>
  </si>
  <si>
    <t>Quaternary; Glaciology; Barents sea; Ice sheet modelling; Ocean melting</t>
  </si>
  <si>
    <t>TROUGH-MOUTH FANS; NORTHERN-HEMISPHERE; GLACIAL MAXIMUM; SUBMARINE LANDFORMS; GROUNDING LINES; PINE ISLAND; HEAT-FLUX; RETREAT; MODEL; SHELF</t>
  </si>
  <si>
    <t>The Barents Sea Ice Sheet was part of an interconnected complex of ice sheets, collectively referred to as the Eurasian Ice Sheet, which covered north-westernmost Europe, Russia and the Barents Sea during the Last Glacial Maximum (around 21 ky BP). Due to common geological features, the Barents Sea component of this ice complex is seen as a paleo-analogue for the present-day West Antarctic Ice Sheet. Investigating key processes driving the last deglaciation of the Barents Sea Ice Sheet represents an important tool to interpret recent observations in Antarctica over the multi-millennial temporal scale of glaciological changes. We present results from a perturbed physics ensemble of ice sheet model simulations of the last deglaciation of the Barents Sea Ice Sheet, forced with transient atmospheric and oceanic conditions derived from AOGCM simulations. The ensemble of transient simulations is evaluated against the databased DATED-1 reconstruction to construct minimum, maximum and average deglaciation scenarios. Despite a large model/data mismatch at the western and eastern ice sheet margins, the simulated and DATED-1 deglaciation scenarios agree well on the timing of the deglaciation of the central and northern Barents Sea. We find that the simulated deglaciation of the Barents Sea Ice Sheet is primarily driven by the oceanic forcing, with prescribed eustatic sea level rise amplifying the ice sheet sensitivity to sub-shelf melting over relatively short intervals. Our results highlight that the sub-shelf melting has a very strong control on the simulated grounding-line flux, showing that a slow, gradual ocean warming trend is capable of triggering sustained grounded ice discharge over multi-millennial timescales, even without taking into account marine ice sheet or ice cliff instability. (C) 2020 Elsevier Ltd. All rights reserved.</t>
  </si>
  <si>
    <t>[Petrini, Michele; Colleoni, Florence; Camerlenghi, Angelo; Rebesco, Michele; Lucchi, Renata G.] OGS Ist Nazl Oceanog &amp; Geofis Sperimentale, Borgo Grotta Gigante 42-c, I-34010 Sgonico, TS, Italy; [Kirchner, Nina] Stockholm Univ, Bolin Ctr Climate Res, SE-10691 Stockholm, Sweden; [Kirchner, Nina] Stockholm Univ, Dept Phys Geog, SE-10691 Stockholm, Sweden; [Hughes, Anna L. C.; Mangerud, Jan] Univ Bergen, Dept Earth Sci, N-5007 Bergen, Norway; [Hughes, Anna L. C.; Mangerud, Jan] Bjerknes Ctr Climate Res, N-5007 Bergen, Norway; [Hughes, Anna L. C.] Univ Manchester, Dept Geog, Oxford Rd, Manchester M13 9PL, Lancs, England; [Lucchi, Renata G.] Arctic Univ Norway, Ctr Arctic Gas Hydrate Cage, Environm &amp; Climate UiT, Tromso, Norway; [Forte, Emanuele] Univ Trieste, Dipartimento Matemat &amp; Geosci, Via Weiss 1, I-34128 Trieste, TS, Italy; [Colucci, Renato R.] ISMAR Ist Sci Marine, Trieste, Italy; [Noormets, Riko] Univ Ctr Svalbard UNIS, POB 156 Northern, N-9171 Longyearbyen, Norway; [Petrini, Michele] Delft Univ Technol TUDelft, Dept Geosci &amp; Remote Sensing, Delft, Netherlands</t>
  </si>
  <si>
    <t>Istituto Nazionale di Oceanografia e di Geofisica Sperimentale; Stockholm University; Stockholm University; University of Bergen; Bjerknes Centre for Climate Research; University of Manchester; UiT The Arctic University of Tromso; University of Trieste; Consiglio Nazionale delle Ricerche (CNR); Istituto di Scienze Marine (ISMAR-CNR); University Centre Svalbard (UNIS); Delft University of Technology</t>
  </si>
  <si>
    <t>Petrini, M (corresponding author), OGS Ist Nazl Oceanog &amp; Geofis Sperimentale, Borgo Grotta Gigante 42-c, I-34010 Sgonico, TS, Italy.</t>
  </si>
  <si>
    <t>M.Petrini@tudelft.nl</t>
  </si>
  <si>
    <t>Colleoni, Florence/JMQ-7847-2023; Rebesco, Michele/B-7462-2014; Camerlenghi, Angelo/AAG-3852-2019; Hughes, Anna L. C./J-5628-2015</t>
  </si>
  <si>
    <t>Colleoni, Florence/0000-0003-4582-812X; Rebesco, Michele/0000-0002-9492-4081; Camerlenghi, Angelo/0000-0002-8128-9533; Hughes, Anna L. C./0000-0001-8584-5202; Petrini, Michele/0000-0003-3324-8152; Kirchner, Nina/0000-0002-6371-5527; Noormets, Riko/0000-0002-2832-386X; Lucchi, Renata Giulia/0000-0001-5111-6968</t>
  </si>
  <si>
    <t>Oceanography and Applied Geophysics (OGS); CINECA [2016-03]; FORMAS [214-2013-1600]; CINECA award under the ISCRA initiative; Bjerknes Centre for Climate Research; Bjerknes Centre for Climate Research, Norway</t>
  </si>
  <si>
    <t>Oceanography and Applied Geophysics (OGS); CINECA(CINECA, Italy); FORMAS(Swedish Research Council Formas); CINECA award under the ISCRA initiative(CINECA, Italy); Bjerknes Centre for Climate Research; Bjerknes Centre for Climate Research, Norway</t>
  </si>
  <si>
    <t>The research reported in this work was supported by Oceanography and Applied Geophysics (OGS) and CINECA under HPCTRES program award number 2016-03 and by the FORMAS grant 214-2013-1600 to NK. We acknowledge the CINECA award under the ISCRA initiative, for the availability of high performance computing resources and support. Parts of the computations were performed on resources provided by the Swedish National Infrastructure for Computing (SNIC) at PDC Centre for High Performance Computing at KTH. MP was supported by a Bjerknes Visiting Fellowship from the Bjerknes Centre for Climate Research in July 2018. JM and ALCH acknowledge the strategic project RISES funded by the Bjerknes Centre for Climate Research, Norway. The authors would like to thank the anonymous reviewers for their valuable comments and suggestions to improve the quality of the paper.</t>
  </si>
  <si>
    <t>10.1016/j.quascirev.2020.106314</t>
  </si>
  <si>
    <t>Green Accepted, Green Published, Green Submitted</t>
  </si>
  <si>
    <t>WOS:000537559500004</t>
  </si>
  <si>
    <t>Ouyang, ZX; Qi, D; Chen, LQ; Takahashi, T; Zhong, WL; DeGrandpre, MD; Chen, BS; Gao, ZY; Nishino, S; Murata, A; Sun, H; Robbins, LL; Jin, MB; Cai, WJ</t>
  </si>
  <si>
    <t>Ouyang, Zhangxian; Qi, Di; Chen, Liqi; Takahashi, Taro; Zhong, Wenli; DeGrandpre, Michael D.; Chen, Baoshan; Gao, Zhongyong; Nishino, Shigeto; Murata, Akihiko; Sun, Heng; Robbins, Lisa L.; Jin, Meibing; Cai, Wei-Jun</t>
  </si>
  <si>
    <t>Sea-ice loss amplifies summertime decadal CO2increase in the western Arctic Ocean</t>
  </si>
  <si>
    <t>CO2 UPTAKE CAPACITY; SURFACE OCEAN; INORGANIC CARBON; CANADA BASIN; WATER; PCO(2); ALKALINITY; MECHANISMS; INCREASES; CHEMISTRY</t>
  </si>
  <si>
    <t>Rapid climate warming and sea-ice loss have induced major changes in the sea surface partial pressure of CO2((pCO2)). However, the long-term trends in the western Arctic Ocean are unknown. Here we show that in 1994-2017, summer (pCO2) in the Canada Basin increased at twice the rate of atmospheric increase. Warming and ice loss in the basin have strengthened the pCO(2) seasonal amplitude, resulting in the rapid decadal increase. Consequently, the summer air-sea CO2 gradient has reduced rapidly, and may become near zero within two decades. In contrast, there was no significant pCO(2) increase on the Chukchi Shelf, where strong and increasing biological uptake has held pCO(2) low, and thus the CO2 sink has increased and may increase further due to the atmospheric CO2 increase. Our findings elucidate the contrasting physical and biological drivers controlling sea surface pCO(2) variations and trends in response to climate change in the Arctic Ocean.</t>
  </si>
  <si>
    <t>[Ouyang, Zhangxian; Chen, Baoshan; Cai, Wei-Jun] Univ Delaware, Sch Marine Sci &amp; Policy, Newark, DE 19716 USA; [Qi, Di; Chen, Liqi; Gao, Zhongyong; Sun, Heng] Minist Nat Resources MNR, Inst Oceanog 3, MNR, Key Lab Global Change &amp; Marine Atmospher Chem, Xiamen, Peoples R China; [Takahashi, Taro] Columbia Univ, Lamont Doherty Earth Observ, Palisades, NY USA; [Zhong, Wenli] Ocean Univ China, Key Lab Phys Oceanog, Qingdao, Peoples R China; [DeGrandpre, Michael D.] Univ Montana, Dept Chem &amp; Biochem, Missoula, MT 59812 USA; [Nishino, Shigeto; Murata, Akihiko] Japan Agcy Marine Earth Sci &amp; Technol, Inst Arct Climate &amp; Environm Res, Yokosuka, Kanagawa, Japan; [Murata, Akihiko] Japan Agcy Marine Earth Sci &amp; Technol, Res Inst Global Change, Yokosuka, Kanagawa, Japan; [Robbins, Lisa L.] Univ S Florida, Coll Marine Sci, St Petersburg, FL USA; [Jin, Meibing] Int Arctic Res Ctr, Fairbanks, AK USA</t>
  </si>
  <si>
    <t>University of Delaware; Third Institute of Oceanography, Ministry of Natural Resources; Ministry of Natural Resources of the People's Republic of China; Columbia University; Ocean University of China; University of Montana System; University of Montana; Japan Agency for Marine-Earth Science &amp; Technology (JAMSTEC); Japan Agency for Marine-Earth Science &amp; Technology (JAMSTEC); State University System of Florida; University of South Florida</t>
  </si>
  <si>
    <t>Cai, WJ (corresponding author), Univ Delaware, Sch Marine Sci &amp; Policy, Newark, DE 19716 USA.</t>
  </si>
  <si>
    <t>wcai@udel.edu</t>
  </si>
  <si>
    <t>; Chen, Baoshan/C-7284-2018</t>
  </si>
  <si>
    <t>Zhong, Wenli/0000-0002-1571-9902; Chen, Baoshan/0000-0002-7001-215X; Cai, Wei-Jun/0000-0003-3606-8325; NISHINO, Shigeto/0000-0002-0560-241X</t>
  </si>
  <si>
    <t>US NSF [ARC-0909330, PLR-1304337, OPP-1926158, PLR-1220032, PLR-1504410, OPP-1735862, PLR-1723308]; NOAA [NA09OAR4310078, NA150OAR4320064, NA10NOS4000073]; Interdisciplinary Research for Arctic Coastal Environments - US Deparment of Energy (DOE InteRFACE project); National Natural Science Foundation of China [41806222, 41630969, 41230529, 41476172, 41706211]; National Key Research and Development Program of China [2019YFA0607003]; Scientific Research Foundation of Third Institute of Oceanography, SOA [2018005, 2017029]; Bilateral Cooperation of Maritime Affairs [2200207]; Fujian science and technology innovation leader project 2016; Arctic Challenge for Sustainability (ArCS) Project - Ministry of Education, Culture, Sports, Science and Technology of Japan (MEXT); Chinese Projects for Investigations and Assessments of the Arctic and Antarctic [CHINARE2017-2020]</t>
  </si>
  <si>
    <t>US NSF(National Science Foundation (NSF)); NOAA(National Oceanic Atmospheric Admin (NOAA) - USA); Interdisciplinary Research for Arctic Coastal Environments - US Deparment of Energy (DOE InteRFACE project); National Natural Science Foundation of China(National Natural Science Foundation of China (NSFC)); National Key Research and Development Program of China; Scientific Research Foundation of Third Institute of Oceanography, SOA; Bilateral Cooperation of Maritime Affairs; Fujian science and technology innovation leader project 2016; Arctic Challenge for Sustainability (ArCS) Project - Ministry of Education, Culture, Sports, Science and Technology of Japan (MEXT); Chinese Projects for Investigations and Assessments of the Arctic and Antarctic</t>
  </si>
  <si>
    <t>We thank the contributors to the SOCAT v.5, LDEO, CHINARE, JAMSTEC, USGS, NSF Arctic Data Center and CDIAC datasets, as well as the research vessels and crews for collecting the data used in this study. We thank H. Wang for helpful discussion. This work was supported by the US NSF (grant nos ARC-0909330, PLR-1304337, OPP-1926158, PLR-1220032, PLR-1504410, OPP-1735862 and PLR-1723308), NOAA (grant nos NA09OAR4310078, NA150OAR4320064 and NA10NOS4000073), Interdisciplinary Research for Arctic Coastal Environments funded by US Deparment of Energy (DOE InteRFACE project), the National Natural Science Foundation of China (grant nos 41806222, 41630969, 41230529, 41476172 and 41706211), the Chinese Projects for Investigations and Assessments of the Arctic and Antarctic (grant no. CHINARE2017-2020), the National Key Research and Development Program of China (grant no. 2019YFA0607003), the Scientific Research Foundation of Third Institute of Oceanography, SOA (grant nos 2018005 and 2017029), the Bilateral Cooperation of Maritime Affairs (grant no. 2200207), Fujian science and technology innovation leader project 2016, and the Arctic Challenge for Sustainability (ArCS) Project funded by the Ministry of Education, Culture, Sports, Science and Technology of Japan (MEXT).</t>
  </si>
  <si>
    <t>10.1038/s41558-020-0784-2</t>
  </si>
  <si>
    <t>ME5NJ</t>
  </si>
  <si>
    <t>WOS:000540398100001</t>
  </si>
  <si>
    <t>Anderson, KC; Alix, M; Charitonidou, K; Thorsen, A; Thorsheim, G; Ganias, K; Schmidt, TCD; Kjesbu, OS</t>
  </si>
  <si>
    <t>Anderson, Kelli C.; Alix, Maud; Charitonidou, Katerina; Thorsen, Anders; Thorsheim, Grethe; Ganias, Kostas; Schmidt, Thassya C. dos Santos; Kjesbu, Olav Sigurd</t>
  </si>
  <si>
    <t>Development of a new 'ultrametric' method for assessing spawning progression in female teleost serial spawners</t>
  </si>
  <si>
    <t>COD GADUS-MORHUA; ATLANTIC COD; POTENTIAL FECUNDITY; OOCYTE RECRUITMENT; REPRODUCTION; MATURATION; DYNAMICS; ATRESIA; FISHES; SEA</t>
  </si>
  <si>
    <t>The collection and presentation of accurate reproductive data from wild fish has historically been somewhat problematic, especially for serially spawning species. Therefore, the aim of the current study was to develop a novel method of assessing female spawning status that is robust to variation in oocyte dynamics between specimens. Atlantic cod (Barents Sea stock) were used to develop the new 'ultrametric' method, that is based on the progressive depletion of the vitellogenic oocyte pool relative to the rather constant previtellogenic oocyte (PVO) pool. Fish were subsequently partitioned into one of four categories that accurately reflected changes in their oocyte size frequency distribution characteristics and gonadosomatic index throughout spawning. The ultrametric method overcomes difficulties associated with presence of bimodal oocyte distributions, oocyte tails, lack of clear hiatus region, and presence of free ova, and can be implemented at a single sampling point. Much of the workflow is fully automated, and the technique may circumvent the need for histological analysis depending on the desired outcome. The ultrametric method differs from the traditional autodiametric method in that PVOs can be separated by ultrasonication and then enumerated, and ovarian homogeneity is not a mandatory requirement per se. The method is designed for determinate spawners but might be extended to include indeterminate spawners.</t>
  </si>
  <si>
    <t>[Anderson, Kelli C.; Alix, Maud; Thorsen, Anders; Thorsheim, Grethe; Schmidt, Thassya C. dos Santos; Kjesbu, Olav Sigurd] Inst Marine Res, POB 1870 Nordnes, NO-5817 Bergen, Norway; [Anderson, Kelli C.] Univ Tasmania, Inst Marine &amp; Antarctic Studies, Newnham Campus,Private Bag 1370, Newnham, Tas 7248, Australia; [Charitonidou, Katerina; Ganias, Kostas] Aristotle Univ Thessaloniki, Dept Biol, Thessaloniki 54636, Greece</t>
  </si>
  <si>
    <t>Institute of Marine Research - Norway; University of Tasmania; Aristotle University of Thessaloniki</t>
  </si>
  <si>
    <t>Anderson, KC; Kjesbu, OS (corresponding author), Inst Marine Res, POB 1870 Nordnes, NO-5817 Bergen, Norway.;Anderson, KC (corresponding author), Univ Tasmania, Inst Marine &amp; Antarctic Studies, Newnham Campus,Private Bag 1370, Newnham, Tas 7248, Australia.</t>
  </si>
  <si>
    <t>kelli.anderson@utas.edu.au; olav.kjesbu@hi.no</t>
  </si>
  <si>
    <t>Alix, Maud/W-2377-2019; Thorsen, Anders/AAA-5911-2022; Ganias, Konstantinos/D-6830-2012; dos Santos Schmidt, Thassya/AAE-4974-2019</t>
  </si>
  <si>
    <t>Alix, Maud/0000-0002-2365-9188; Ganias, Konstantinos/0000-0002-4035-9216; dos Santos Schmidt, Thassya/0000-0002-6803-7681; Charitonidou, Katerina/0000-0003-4222-5606; Anderson, Kelli/0000-0001-7749-4641</t>
  </si>
  <si>
    <t>Norwegian Research Council (NFR)' project Scaling Climate Effects from Individual Physiology to Population Responses [268336]</t>
  </si>
  <si>
    <t>Norwegian Research Council (NFR)' project Scaling Climate Effects from Individual Physiology to Population Responses</t>
  </si>
  <si>
    <t>This work was funded by the Norwegian Research Council (NFR)' project Scaling Climate Effects from Individual Physiology to Population Responses (no. 268336). Thanks are extended to Stian Kleven and Geir Kristian Bjorneset (Research Group Fisheries Dynamics, IMR) for their sampling efforts in Rost, and Hildegunn Mjanger (Research Group Demersal Fish, IMR) for performing the otolith analysis.</t>
  </si>
  <si>
    <t>10.1038/s41598-020-66601-w</t>
  </si>
  <si>
    <t>ME8XK</t>
  </si>
  <si>
    <t>WOS:000544937400020</t>
  </si>
  <si>
    <t>Marina-Montes, C; Perez-Arribas, LV; Escudero, M; Anzano, J; Cáceres, JO</t>
  </si>
  <si>
    <t>Marina-Montes, C.; Perez-Arribas, L., V; Escudero, M.; Anzano, J.; Caceres, J. O.</t>
  </si>
  <si>
    <t>Heavy metal transport and evolution of atmospheric aerosols in the Antarctic region</t>
  </si>
  <si>
    <t>Antarctic region; Deception Island; Atmospheric aerosols; Particulate matter; Enrichment factors; Backward trajectories</t>
  </si>
  <si>
    <t>TERRA-NOVA BAY; CLUSTER-ANALYSIS; STATION; PARTICULATE; POLLUTION; COASTAL; AREA; PB; CD; CU</t>
  </si>
  <si>
    <t>Suspended particulate matter (SPM) measurements and backward air mass trajectory analysis using the HYSPLIT model were performed to better understand the main sources and transport pathways of heavy metals in atmospheric aerosols reaching the Antarctic region. Field campaigns were carried out during the austral summer 2016-2017 at the Gabriel de Castilla Spanish Antarctic Research Station, located on Deception Island. Aerosols were deposited in an air filter through a low-volume sampler and chemically analysed using Inductively Coupled Plasma-Mass Spectrometry (ICP-MS). The study of air masses and high enrichment factor values of several elements (Hf, Zr, As, Cu, Sn, Zn, Pb) together with their correlations (Hf/Zr, V/As, Ti/Mn and Cu/Sn) suggests a potentially significant role of three main sources in this area: remote maritime traffic, local petrol combustion (generators and/or tourist cruises), and remote/local crust. Additionally, the investigation of atmospheric flow patterns through backward trajectory analysis revealed that Hf/Zr correlation was related to a remote crustal origin, V/As to anthropogenic local pollution, Ti/Mn to terrestrial inputs on the island and Cu/Sn to remote anthropogenic sources. Overall, the present study demonstrates the existence of anthropogenic pollution at this remote site from distant as well as local sources following the Antarctic circumpolar wind pattern. (C) 2020 Elsevier B.V. All rights reserved.</t>
  </si>
  <si>
    <t>[Perez-Arribas, L., V; Caceres, J. O.] Univ Complutense Madrid, Fac Chem, Dept Analyt Chem, Laser Chem Res Grp, Plaza Ciencias 1, Madrid 28040, Spain; [Marina-Montes, C.; Anzano, J.] Univ Zaragoza, Fac Sci, Dept Analyt Chem, Laser Lab,Chem &amp; Environm Grp, Pedro Cerbuna 12, Zaragoza 50009, Spain; [Escudero, M.] Acad Gen Mil, Ctr Univ Def, Chem &amp; Environm Grp, Ctra Huesca S-N, Zaragoza 50091, Spain</t>
  </si>
  <si>
    <t>Complutense University of Madrid; University of Zaragoza</t>
  </si>
  <si>
    <t>Cáceres, JO (corresponding author), Univ Complutense Madrid, Fac Chem, Dept Analyt Chem, Laser Chem Res Grp, Plaza Ciencias 1, Madrid 28040, Spain.</t>
  </si>
  <si>
    <t>jcaceres@ucm.es</t>
  </si>
  <si>
    <t>Perez-Arribas, Luis V./K-5675-2018; Marina-Montes, Cesar/AEU-5508-2022; joy, shone/AAR-3728-2020</t>
  </si>
  <si>
    <t>Perez-Arribas, Luis V./0000-0002-3727-8132; Marina-Montes, Cesar/0000-0001-5652-3677; Caceres, Jorge/0000-0003-4801-4172</t>
  </si>
  <si>
    <t>European Social Fund; University of Zaragoza</t>
  </si>
  <si>
    <t>European Social Fund(European Social Fund (ESF)); University of Zaragoza</t>
  </si>
  <si>
    <t>The authors gratefully acknowledge the Complutense University of Madrid for facilities and material resources and the Air Resources Laboratory (ARL) for provision of the HYSPLIT trajectory model on the READY website. This project forms part of theMinistry of Science, Innovation and Universities proposal #CTM2017-82929R in collaboration with the Government of Aragon proposal E23_17D. Financial support from European Social Fund &amp; University of Zaragoza is acknowledged. The authors thank themilitary staff at the Gabriel de Castilla Spanish research base for help with the installation of equipment and sample collection. The ICP-MS data were obtained from the Institute of Environmental Assessment and Water Research, IDAEA. Trajectory figures have been taken from Google Earth Pro.</t>
  </si>
  <si>
    <t>10.1016/j.scitotenv.2020.137702</t>
  </si>
  <si>
    <t>LR5FH</t>
  </si>
  <si>
    <t>WOS:000535720100010</t>
  </si>
  <si>
    <t>Xiang, H; Yang, XH; Ke, L; Hu, Y</t>
  </si>
  <si>
    <t>Xiang, Hong; Yang, Xiaohu; Ke, Lei; Hu, Yong</t>
  </si>
  <si>
    <t>The properties, biotechnologies, and applications of antifreeze proteins</t>
  </si>
  <si>
    <t>INTERNATIONAL JOURNAL OF BIOLOGICAL MACROMOLECULES</t>
  </si>
  <si>
    <t>Antifreeze proteins; Biotechnologies; Applications</t>
  </si>
  <si>
    <t>ICE-BINDING PROTEINS; ANTARCTIC SEA-ICE; DIFFERENTIAL SCANNING CALORIMETRY; CUCUJUS-CLAVIPES-PUNICEUS; THERMAL HYSTERESIS; RECRYSTALLIZATION INHIBITION; FREEZING RESISTANCE; I ANTIFREEZE; DENDROIDES-CANADENSIS; SNOW MOLD</t>
  </si>
  <si>
    <t>By natural selection, organisms evolve different solutions to cope with extremely cold weather. The emergence of an antifreeze protein gene is one of the most momentous solutions. Antifreeze proteins possess an importantly functional ability for organisms to survive in cold environments and are widely found in various cold-tolerant species. In this review, we summarize the origin of antifreeze proteins, describe the diversity of their species-specific properties and functions, and highlight the related biotechnology on the basis of both laboratory tests and bioinformatics analysis. The most recent advances in the applications of antifreeze proteins are also discussed. We expect that this systematic review will contribute to the comprehensive knowledge of antifreeze proteins to readers. (C) 2020 Elsevier B.V. All rights reserved.</t>
  </si>
  <si>
    <t>[Xiang, Hong; Yang, Xiaohu; Ke, Lei; Hu, Yong] Chinese Acad Sci, Shenzhen Inst Synthet Biol, Shenzhen Inst Adv Technol Chinese, Shenzhen, Peoples R China; [Xiang, Hong; Yang, Xiaohu; Ke, Lei; Hu, Yong] Shenzhen Inst Adv Technol, CAS Key Lab Quantitat Engn Biol, Shenzhen, Peoples R China</t>
  </si>
  <si>
    <t>Chinese Academy of Sciences; Shenzhen Institute of Advanced Technology, CAS; Chinese Academy of Sciences; Shenzhen Institute of Advanced Technology, CAS</t>
  </si>
  <si>
    <t>Hu, Y (corresponding author), Chinese Acad Sci, Shenzhen Inst Synthet Biol, Shenzhen Inst Adv Technol Chinese, Shenzhen, Peoples R China.</t>
  </si>
  <si>
    <t>yong.hu@siat.ac.cn</t>
  </si>
  <si>
    <t>Science, Technology and Innovation Commission of Shenzhen Municipality [JCYJ20180507182250795]; China Postdoctoral Science Foundation [2019M663173]; Shenzhen Peacock Plan [KQTD20170331160605510]</t>
  </si>
  <si>
    <t>Science, Technology and Innovation Commission of Shenzhen Municipality; China Postdoctoral Science Foundation(China Postdoctoral Science Foundation); Shenzhen Peacock Plan</t>
  </si>
  <si>
    <t>This work was supported by the Science, Technology and Innovation Commission of Shenzhen Municipality Grant (JCYJ20180507182250795), China Postdoctoral Science Foundation Grand (No. 2019M663173) and Shenzhen Peacock Plan (KQTD20170331160605510).</t>
  </si>
  <si>
    <t>0141-8130</t>
  </si>
  <si>
    <t>1879-0003</t>
  </si>
  <si>
    <t>INT J BIOL MACROMOL</t>
  </si>
  <si>
    <t>Int. J. Biol. Macromol.</t>
  </si>
  <si>
    <t>10.1016/j.ijbiomac.2020.03.040</t>
  </si>
  <si>
    <t>Biochemistry &amp; Molecular Biology; Chemistry, Applied; Polymer Science</t>
  </si>
  <si>
    <t>Biochemistry &amp; Molecular Biology; Chemistry; Polymer Science</t>
  </si>
  <si>
    <t>LK7ZT</t>
  </si>
  <si>
    <t>WOS:000531080800068</t>
  </si>
  <si>
    <t>Jacobs, J; Mikhalsky, E; Henjes-Kunst, F; Läufer, A; Thomas, RJ; Elburg, MA; Wang, CC; Estrada, S; Skublov, S</t>
  </si>
  <si>
    <t>Jacobs, J.; Mikhalsky, E.; Henjes-Kunst, F.; Laeufer, A.; Thomas, R. J.; Elburg, M. A.; Wang, C-C; Estrada, S.; Skublov, S.</t>
  </si>
  <si>
    <t>Neoproterozoic geodynamic evolution of easternmost Kalahari: Constraints from U-Pb-Hf-O zircon, Sm-Nd isotope and geochemical data from the Schirmacher Oasis, East Antarctica</t>
  </si>
  <si>
    <t>PRECAMBRIAN RESEARCH</t>
  </si>
  <si>
    <t>Dronning Maud Land; Continental arc; Tonian; Rodinia; Extroversion; Zircon; Schirmacher; Oasis</t>
  </si>
  <si>
    <t>DRONNING-MAUD-LAND; SOR RONDANE MOUNTAINS; GRENVILLE-AGE METAMORPHISM; AFRICAN OROGEN; TECTONIC EVOLUTION; MOZAMBIQUE BELT; CENTRAL MADAGASCAR; MAGMATIC HISTORY; SOUTHERN AFRICA; SRI-LANKA</t>
  </si>
  <si>
    <t>Late Tonian (ca. 785-760 Ma) granodioritic to granitic orthogneisses of the Schirmacher Oasis region in Dronning Maud Land (DML), East Antarctica, are interpreted as recording an active continental margin setting at the periphery of Kalahari and Rodinia. The rocks probably represent exposures of a significant tectonic province hidden beneath the ice, the erosional remnants of which are recorded as detrital zircons in late TonianCryogenian metasedimentary rocks throughout central and eastern DML, as well as in ice-rafted debris from recent sediments offshore Dronning Maud Land. The orthogneisses have single-stage Sm-Nd model ages of ca. 1.3-1.5 Ga and zircon Hf-signatures (epsilon Hf-t=+2 - +5), indistinguishable from the adjacent Grenville-age basement rocks of easternmost Kalahari. Their geochemistry suggests that they evolved in the late stages of a continental margin magmatic arc and possibly within a roll-back tectonic framework, suggestive of subduction of relatively old oceanic lithosphere. The eastern Kalahari continental arc is one of a number of continental arcs that characterize the western part of the fragmenting Rodinia and document the supercontinent turning inside out after its formation at ca. 1000 Ma and a period of relative tectonic quiescence between ca. 900 and 800 Ma. The rocks show an ultra-high temperature metamorphic overprint that was accompanied by syn-tectonic magmatism from ca. 650 to 600 Ma. The high temperature metamorphism is interpreted to relate to back-arc extension that also led to major anorthosite magmatism elsewhere, prior to continental collision in the region. The rocks lack the subsequent widespread high-grade metamorphic overprint at ca. 590-500 Ma which occurs in the adjacent regions due to Himalayan-style continental collision along the East African-Antarctic Orogen during Gondwana assembly.</t>
  </si>
  <si>
    <t>[Jacobs, J.; Wang, C-C] Univ Bergen, Dept Earth Sci, PB 7803, N-5020 Bergen, Norway; [Mikhalsky, E.] VNIIOkecmgeologia, Angliiskii Pr 1, St Petersburg 190121, Russia; [Henjes-Kunst, F.; Laeufer, A.; Estrada, S.] Fed Inst Geosci &amp; Nat Resources BGR, Stilleweg 2, D-30655 Hannover, Germany; [Thomas, R. J.] Council Geosci, 3 Oos St, ZA-7535 Cape Town, South Africa; [Elburg, M. A.] Univ Johannesburg, Dept Geol, ZA-2006 Johannesburg, South Africa; [Skublov, S.] Russian Acad Sci, Inst Precambrian Geol &amp; Geochronol, Makarova Emb 2, St Petersburg 199034, Russia; [Skublov, S.] St Petersburg Min Univ, 21 St Liniya 2, St Petersburg 199106, Russia; [Henjes-Kunst, F.] Schubertstr 10, D-30900 Wedemark, Germany</t>
  </si>
  <si>
    <t>University of Bergen; University of Johannesburg; Russian Academy of Sciences; Institute of Precambrian Geology &amp; Geochronology of the Russian Academy of Sciences; Saint Petersburg Mining University</t>
  </si>
  <si>
    <t>Jacobs, J (corresponding author), Univ Bergen, Dept Earth Sci, PB 7803, N-5020 Bergen, Norway.</t>
  </si>
  <si>
    <t>joachim.jacobs@uib.no</t>
  </si>
  <si>
    <t>Läufer, Andreas/ABC-1465-2020; Wang, Cheng-Cheng/ABB-9942-2020; Скублов, Сергей/HDO-4446-2022; Skublov, Sergey/B-1775-2010</t>
  </si>
  <si>
    <t>Läufer, Andreas/0000-0003-2219-0450; Elburg, Marlina/0000-0001-7154-1910</t>
  </si>
  <si>
    <t>Novolazarevskaya Station; Norwegian Research Council (NFR-NARE); Russian Foundation for Basic Research [15-05-02761]; Institute of Precambrian Geology and Geochronology of Russian Academy of Sciences [0153-2019-0002]; Deutsche Forschungsgemeinschaft (DFG) within the Priority Program SPP 1158 Antarctic Research with Comparable Investigations in Arctic Sea Ice Areas [LA 1080-9]; NRF-NEP grant [93208]; DSI-NRF CIMERA; NRF IFRR grant [119297]; Supercontinent Cycles and Global Geodynamics [IGCP 648]; Gondwana Map Project [IGCP 628]</t>
  </si>
  <si>
    <t>Novolazarevskaya Station; Norwegian Research Council (NFR-NARE)(Research Council of Norway); Russian Foundation for Basic Research(Russian Foundation for Basic Research (RFBR)Spanish Government); Institute of Precambrian Geology and Geochronology of Russian Academy of Sciences; Deutsche Forschungsgemeinschaft (DFG) within the Priority Program SPP 1158 Antarctic Research with Comparable Investigations in Arctic Sea Ice Areas(German Research Foundation (DFG)National Health &amp; Medical Research Council (NHMRC) of Australia); NRF-NEP grant; DSI-NRF CIMERA; NRF IFRR grant; Supercontinent Cycles and Global Geodynamics; Gondwana Map Project</t>
  </si>
  <si>
    <t>J. Jacobs fieldwork in the Schirmacher region was made possible by the Federal Institute for Geoscience and Natural Resources (BGR) in the austral summers 2010/11 and 2011/12, which has been greatly appreciated. The Alfred-Wegener-Institute for Polar and Marine Research (AWI) provided further logistic support and polar clothing. The hospitality and support at Novolazarevskaya Station is highly acknowledged. J. Jacobs acknowledges funding by the Norwegian Research Council (NFR-NARE).; P. Montero and F. Bea are thanked for help with SHRIMP analyses at the IBERSIMS facility, Granada. N. V. Rodionov is thanked for help at the St. Petersburg SHRIMP laboratory. M. Whitehouse and his team are acknowledged for help at the Nordsim facility, Stockholm. M. Wingate is thanked for support and help at the SHRIMP facility at Curtin. M. Hofmann and A. Gartner are thanked for zircon LA-ICPMS analyses at the Senckenberg Naturhistorische Sammlung, Dresden. At the BGR, M. Bockrath and S. Gerlach are thanked for analytical assistance and N. Koglin for logistic support. E. Mikhalsky acknowledges funding through the Russian Foundation for Basic Research (grant no. 15-05-02761). Trace elements of zircons were conducted under a state contract No. 0153-2019-0002 (Institute of Precambrian Geology and Geochronology of Russian Academy of Sciences). A. Laufer acknowledges funding through Deutsche Forschungsgemeinschaft (DFG) within the Priority Program SPP 1158 Antarctic Research with Comparable Investigations in Arctic Sea Ice Areas (grant LA 1080-9). The LA-MC-ICPMS at UJ was funded by NRF-NEP grant #93208 and is supported by DSI-NRF CIMERA. M.A. Elburg acknowledges funding from NRF IFRR grant 119297. We acknowledge the reviews of two anonymous reviewers. This is Nordsim publication #627. This is a contribution to IGCP 648, Supercontinent Cycles and Global Geodynamics and IGCP 628, The Gondwana Map Project.</t>
  </si>
  <si>
    <t>0301-9268</t>
  </si>
  <si>
    <t>1872-7433</t>
  </si>
  <si>
    <t>PRECAMBRIAN RES</t>
  </si>
  <si>
    <t>Precambrian Res.</t>
  </si>
  <si>
    <t>10.1016/j.precamres.2019.105553</t>
  </si>
  <si>
    <t>LG6KT</t>
  </si>
  <si>
    <t>WOS:000528208200002</t>
  </si>
  <si>
    <t>Ogaki, MB; Vieira, R; Muniz, MC; Zani, CL; Alves, TMA; Junior, PAS; Murta, SMF; Barbosa, EC; Oliveira, JG; Ceravolo, IP; Pereira, PO; Rosa, CA; Rosa, LH</t>
  </si>
  <si>
    <t>Ogaki, Mayara B.; Vieira, Rosemary; Muniz, Marcelo C.; Zani, Carlos L.; Alves, Tania M. A.; Junior, Policarpo A. S.; Murta, Silvane M. F.; Barbosa, Emerson C.; Oliveira, Jaquelline G.; Ceravolo, Isabela P.; Pereira, Patricia O.; Rosa, Carlos A.; Rosa, Luiz H.</t>
  </si>
  <si>
    <t>Diversity, ecology, and bioprospecting of culturable fungi in lakes impacted by anthropogenic activities in Maritime Antarctica</t>
  </si>
  <si>
    <t>Antarctica; Fungi; Pounds; Anthropogenic pollutants</t>
  </si>
  <si>
    <t>POLYCYCLIC AROMATIC-HYDROCARBONS; HEAVY-METAL CONTAMINATION; ASCOMYCETE FUNGUS; SOILS; COMMUNITIES; GEOMYCES; ANTIBACTERIAL; DESTRUCTANS; MACROALGAE; TAXONOMY</t>
  </si>
  <si>
    <t>In this study, we accessed culturable fungal assemblages present in the sediments of three lakes potentially impacted anthropogenically in the Fildes Peninsula, King George Island, Antarctica and identified 63 taxa.Cladosporiumsp. 2,Pseudeurotium hygrophilum, andPseudogymnoascus verrucosuswere recovered from the sampled sediments of all lakes. High concentrations of metals and the lowest fungal diversity indices were detected in the sediments of the Central Lake, which can be influenced by human activities due to their proximity to research stations to those of the other two lakes, which were far from the Antarctic stations. At least one type of biological activity was demonstrated by 40 fungal extracts. Among these,P. hygrophilum,P. verrucosus,Penicillium glabrum, andPenicillium solitumdemonstrated strong trypanocidal, herbicidal, and antifungal activities. Our results suggest that an increase of the anthropogenic activities in the region might have affected the microbial diversity and composition. In addition, the fungal diversity in these lakes may be a useful model to study the effect of anthropogenic activities in Antarctica. We isolated a diverse group of fungal taxa from Antarctic lake sediments, which have the potential to produce novel compounds for the both the medical and agriculture sectors.</t>
  </si>
  <si>
    <t>[Ogaki, Mayara B.; Rosa, Carlos A.; Rosa, Luiz H.] Univ Fed Minas Gerais, Dept Microbiol, Belo Horizonte, MG, Brazil; [Vieira, Rosemary; Muniz, Marcelo C.] Univ Fed Fluminense, Inst Geociencias, Niteroi, RJ, Brazil; [Zani, Carlos L.; Alves, Tania M. A.; Junior, Policarpo A. S.; Murta, Silvane M. F.; Barbosa, Emerson C.; Oliveira, Jaquelline G.; Ceravolo, Isabela P.; Pereira, Patricia O.] FIOCRUZ Minas, Inst Rene Rachou, Belo Horizonte, MG, Brazil</t>
  </si>
  <si>
    <t>Universidade Federal de Minas Gerais; Universidade Federal Fluminense; Fundacao Oswaldo Cruz</t>
  </si>
  <si>
    <t>Rosa, LH (corresponding author), Univ Fed Minas Gerais, Dept Microbiol, Belo Horizonte, MG, Brazil.</t>
  </si>
  <si>
    <t>lhrosa@icb.ufmg.br</t>
  </si>
  <si>
    <t>Zani, Carlos Leomar/ABE-3936-2021; Murta, Silvane Fonseca Murta/ABE-9410-2021; Ogaki, Mayara/AAE-3088-2021; Alves, Tania Maria A/B-4814-2009</t>
  </si>
  <si>
    <t>Murta, Silvane Fonseca Murta/0000-0002-8523-2155; GERMANO de OLIVEIRA, JAQUELLINE/0000-0002-0487-8748; Muniz, Marcelo/0000-0003-0633-6755; Almeida Alves, Tania Maria/0000-0002-0582-3968</t>
  </si>
  <si>
    <t>CNPq PROANTAR [442258/2018-6]; INCT Criosfera II; CAPES [88887.136384/2017-00, 88887.314457/2019-00]; CNPq; FAPEMIG; FNDCT; Coordenacao de Aperfeicoamento de Pessoal de Nivel Superior (CAPES), Brasil [001]; Programa de Pos-graduacao em Ciencias da Saude, FIOCRUZ Minas (CAPES/PNPD)</t>
  </si>
  <si>
    <t>CNPq PROANTAR(Conselho Nacional de Desenvolvimento Cientifico e Tecnologico (CNPQ)); INCT Criosfera II; CAPES(Coordenacao de Aperfeicoamento de Pessoal de Nivel Superior (CAPES)); CNPq(Conselho Nacional de Desenvolvimento Cientifico e Tecnologico (CNPQ)); FAPEMIG(Fundacao de Amparo a Pesquisa do Estado de Minas Gerais (FAPEMIG)); FNDCT; Coordenacao de Aperfeicoamento de Pessoal de Nivel Superior (CAPES), Brasil(Coordenacao de Aperfeicoamento de Pessoal de Nivel Superior (CAPES)); Programa de Pos-graduacao em Ciencias da Saude, FIOCRUZ Minas (CAPES/PNPD)</t>
  </si>
  <si>
    <t>We acknowledge the financial support from CNPq PROANTAR 442258/2018-6, INCT Criosfera II, CAPES (88887.136384/2017-00 and 88887.314457/2019-00), CNPq, FAPEMIG, and FNDCT. This study was financed in part by the Coordenacao de Aperfeicoamento de Pessoal de Nivel Superior (CAPES), Brasil (Finance Code 001). The authors thank the Program for Technological Development of Tools for Health-PDTIS-FIOCRUZ for use of its facilities (Bioprospection and Chagas disease-PlaBio Tc platforms). PASJ is research fellow supported by Programa de Pos-graduacao em Ciencias da Saude, FIOCRUZ Minas (CAPES/PNPD). The map indicating the Fildes Peninsula and research stations was kindly prepared by Katia Kellem da Rosa (Polar and Climate Center, UFRGS).</t>
  </si>
  <si>
    <t>10.1007/s00792-020-01183-z</t>
  </si>
  <si>
    <t>MB7DJ</t>
  </si>
  <si>
    <t>WOS:000539922300001</t>
  </si>
  <si>
    <t>Dantas, GPD; Gonzaga, LG; da Silveira, AS; Werle, GB; Piuco, RD; Petry, MV</t>
  </si>
  <si>
    <t>de Mendonca Dantas, Gisele Pires; Gonzaga, Luana Gisele; da Silveira, Alana Silva; Werle, Gabriela Bandasz; da Cruz Piuco, Roberta; Petry, Maria Virginia</t>
  </si>
  <si>
    <t>Extra-pair paternity and intraspecific brood parasitism in the Gentoo Penguin (Pygoscelis papua) on Elephant Island, Antarctica</t>
  </si>
  <si>
    <t>Pygoscelis papua; Microsatellites; Behavior; Genetic diversity</t>
  </si>
  <si>
    <t>NEST PARASITISM; DIOMEDEA-EXULANS; PARENTAL CARE; NO EVIDENCE; BENEFITS; BIRDS; MATE; SEX; INFERENCE; CHOICE</t>
  </si>
  <si>
    <t>Recent studies have shown that many species of apparently monogamous birds engage in extra-pair copulation (EPC). Penguins have intense shared parental care for their young, and thus have been considered monogamous. The present study aimed to assess the reproductive system of the gentoo penguin (Pygoscelis papua) on Elephant Island, Antarctica, by evaluating extra-pair paternity (EPP) and intraspecific brood parasitism (IBP). Our data revealed high rates of EPC, with approximately 48.75% of chicks originating from EPP, corresponding to 72.5% of nests. IBP was found for similar to 17% of the gentoo penguin nests, a behavior previously recorded only for Magellanic penguins (similar to 6%). The reasons for these behaviors are not clear, as increased genetic diversity or sex bias of offspring was not found. Thus, social and ecological aspects could be more important for determining the costs and benefits of EPP. Other genetic and ecological aspects must be investigated in future studies, such as genetic compatibility of the immune system or fluctuations of the EPP rate due to environmental conditions.</t>
  </si>
  <si>
    <t>[de Mendonca Dantas, Gisele Pires; Gonzaga, Luana Gisele; da Silveira, Alana Silva] Pontificia Univ Catolica Minas Gerais, Programa Posgrad Biol Vertebrados, Ave Dom Jose Gaspar 500,Predio 41, BR-30535901 Belo Horizonte, MG, Brazil; [Werle, Gabriela Bandasz; da Cruz Piuco, Roberta; Petry, Maria Virginia] Univ Vale Rio dos Sinos, Programa Posgrad Biol, Lab Ornitol &amp; Anim Marinhos, Ave Unisinos 950, Sao Leopoldo, RS, Brazil; [Petry, Maria Virginia] INCT APA Natl Inst Sci &amp; Technol Antarctic Enviro, Rio De Janeiro, Brazil</t>
  </si>
  <si>
    <t>Pontificia Universidade Catolica de Minas Gerais; Universidade do Vale do Rio dos Sinos (Unisinos)</t>
  </si>
  <si>
    <t>Dantas, GPD (corresponding author), Pontificia Univ Catolica Minas Gerais, Programa Posgrad Biol Vertebrados, Ave Dom Jose Gaspar 500,Predio 41, BR-30535901 Belo Horizonte, MG, Brazil.</t>
  </si>
  <si>
    <t>giseledantas@pucminas.br; vpetry@unisinos.br</t>
  </si>
  <si>
    <t>Piuco, Roberta/IAP-0651-2023; Dantas, Gisele PM/T-6782-2019; Petry, Maria Virginia/AAG-5333-2021</t>
  </si>
  <si>
    <t>Dantas, Gisele PM/0000-0001-5282-7577;</t>
  </si>
  <si>
    <t>National Council for Research and Development (CNPq) [482501/2013-8, 306904/2019-5]; FIP-PUC Minas [2016-S2-11080]; National Institute of Science and Technology of Antarctic Environmental Research (INCT-APA) (CNPq) [574018/2008-5]; Carlos Chagas Research Support Foundation of the State of Rio de Janeiro (FAPERJ) [E-16/170023/2008]</t>
  </si>
  <si>
    <t>National Council for Research and Development (CNPq)(Conselho Nacional de Desenvolvimento Cientifico e Tecnologico (CNPQ)); FIP-PUC Minas; National Institute of Science and Technology of Antarctic Environmental Research (INCT-APA) (CNPq)(Conselho Nacional de Desenvolvimento Cientifico e Tecnologico (CNPQ)Fundacao de Apoio a Pesquisa do Distrito Federal (FAPDF)); Carlos Chagas Research Support Foundation of the State of Rio de Janeiro (FAPERJ)(Fundacao Carlos Chagas Filho de Amparo a Pesquisa do Estado do Rio De Janeiro (FAPERJ))</t>
  </si>
  <si>
    <t>We thank the team from the Laboratorio de Ornitologia e Animais Marinhos at the Universidade do Vale do Rio dos Sinos for assistance with field work. Financial support for the analysis in this study was provided by the National Council for Research and Development (CNPq; Process no. 482501/2013-8, 306904/20195) and FIP-PUC Minas (2016-S2-11080). Financial support for field work was provided by the National Institute of Science and Technology of Antarctic Environmental Research (INCT-APA) (CNPq Process no. 574018/2008-5), and the Carlos Chagas Research Support Foundation of the State of Rio de Janeiro (FAPERJ; process no. E-16/170023/2008). Logistical support was provided by the Brazilian Secretary of the Inter-Ministry on Marine Resources (SECIRM). We thank Erik Wild for his checking and correcting of the English in this paper, as well as Peter Dann, Grant Ballard and anonymous reviewers who all helped improve the manuscript.</t>
  </si>
  <si>
    <t>10.1007/s00300-020-02692-5</t>
  </si>
  <si>
    <t>WOS:000539927900002</t>
  </si>
  <si>
    <t>Smith, B; Fricker, HA; Gardner, AS; Medley, B; Nilsson, J; Paolo, FS; Holschuh, N; Adusumilli, S; Brunt, K; Csatho, B; Harbeck, K; Markus, T; Neumann, T; Siegfried, MR; Zwally, HJ</t>
  </si>
  <si>
    <t>Smith, Ben; Fricker, Helen A.; Gardner, Alex S.; Medley, Brooke; Nilsson, Johan; Paolo, Fernando S.; Holschuh, Nicholas; Adusumilli, Susheel; Brunt, Kelly; Csatho, Bea; Harbeck, Kaitlin; Markus, Thorsten; Neumann, Thomas; Siegfried, Matthew R.; Zwally, H. Jay</t>
  </si>
  <si>
    <t>Pervasive ice sheet mass loss reflects competing ocean and atmosphere processes</t>
  </si>
  <si>
    <t>ISOSTATIC-ADJUSTMENT MODEL; RELATIVE SEA-LEVEL; FIRN-DENSIFICATION; MELT RATES; GPS DATA; GREENLAND; BALANCE; SHELF; ANTARCTICA; CLIMATE</t>
  </si>
  <si>
    <t>Quantifying changes in Earth's ice sheets and identifying the climate drivers are central to improving sea level projections. We provide unified estimates of grounded and floating ice mass change from 2003 to 2019 using NASA's Ice, Cloud and land Elevation Satellite (ICESat) and ICESat-2 satellite laser altimetry. Our data reveal patterns likely linked to competing climate processes: Ice loss from coastal Greenland (increased surface melt), Antarctic ice shelves (increased ocean melting), and Greenland and Antarctic outlet glaciers (dynamic response to ocean melting) was partially compensated by mass gains over ice sheet interiors (increased snow accumulation). Losses outpaced gains, with grounded-ice loss from Greenland (200 billion tonnes per year) and Antarctica (118 billion tonnes per year) contributing 14 millimeters to sea level. Mass lost from West Antarctica's ice shelves accounted for more than 30% of that region's total.</t>
  </si>
  <si>
    <t>[Smith, Ben] Univ Washington, Appl Phys Lab, Polar Sci Ctr, Seattle, WA 98105 USA; [Fricker, Helen A.; Adusumilli, Susheel] Univ Calif San Diego, Scripps Inst Oceanog, La Jolla, CA 92093 USA; [Gardner, Alex S.; Nilsson, Johan; Paolo, Fernando S.] CALTECH, Jet Prop Lab, Pasadena, CA USA; [Medley, Brooke; Markus, Thorsten; Neumann, Thomas; Zwally, H. Jay] NASA, Goddard Space Flight Ctr, Cryospher Sci Lab, Greenbelt, MD USA; [Holschuh, Nicholas] Univ Washington, Dept Earth &amp; Space Sci, Seattle, WA 98195 USA; [Holschuh, Nicholas] Amherst Coll, Dept Geol, Amherst, MA 01002 USA; [Brunt, Kelly; Zwally, H. Jay] Univ Maryland, Earth Syst Sci Interdisciplinary Ctr, College Pk, MD 20742 USA; [Csatho, Bea] SUNY Buffalo, Dept Geol Sci, Buffalo, NY USA; [Harbeck, Kaitlin] KBR, Greenbelt, MD USA; [Siegfried, Matthew R.] Colorado Sch Mines, Dept Geophys, Golden, CO 80401 USA</t>
  </si>
  <si>
    <t>University of Washington; University of Washington Seattle; University of California System; University of California San Diego; Scripps Institution of Oceanography; California Institute of Technology; National Aeronautics &amp; Space Administration (NASA); NASA Jet Propulsion Laboratory (JPL); National Aeronautics &amp; Space Administration (NASA); NASA Goddard Space Flight Center; University of Washington; University of Washington Seattle; Amherst College; University System of Maryland; University of Maryland College Park; State University of New York (SUNY) System; State University of New York (SUNY) Buffalo; Colorado School of Mines</t>
  </si>
  <si>
    <t>Smith, B (corresponding author), Univ Washington, Appl Phys Lab, Polar Sci Ctr, Seattle, WA 98105 USA.</t>
  </si>
  <si>
    <t>besmith@uw.edu</t>
  </si>
  <si>
    <t>Nilsson, Johan/F-1888-2019; Neumann, Thomas/JLL-4672-2023; Paolo, Fernando/AGQ-9348-2022; Csatho, Beata/KGK-9301-2024</t>
  </si>
  <si>
    <t>Paolo, Fernando/0000-0002-6439-2918; brunt, kelly/0000-0002-6462-6112; Holschuh, Nicholas/0000-0003-1703-5085; Nilsson, Johan/0000-0002-1496-122X; Csatho, Beata/0000-0001-7768-4998; Fricker, Helen Amanda/0000-0002-0921-1432</t>
  </si>
  <si>
    <t>NASA [NNX15AE15G, NNX15AC80G, NNX16AM01G, NNX17AI03G]; NASA Cryospheric Sciences program; NASA MEaSUREs program; NASA [NNX16AM01G, 900845, NNX15AE15G, 805295, NNX15AC80G, 809420] Funding Source: Federal RePORTER</t>
  </si>
  <si>
    <t>NASA(National Aeronautics &amp; Space Administration (NASA)); NASA Cryospheric Sciences program(National Aeronautics &amp; Space Administration (NASA)); NASA MEaSUREs program; NASA(National Aeronautics &amp; Space Administration (NASA))</t>
  </si>
  <si>
    <t>This work was funded by the NASA Cryospheric Sciences Program in support of the ICESat-2 mission under the following awards: NNX15AE15G (to B.S.); NNX15AC80G (to H.A.F.); NNX16AM01G (to N.H.); NNX17AI03G (to H.A.F.). A. S. G., J.N., and F.S.P. were funded by the NASA Cryospheric Sciences and NASA MEaSUREs programs through direct award to A.S.G.</t>
  </si>
  <si>
    <t>JUN 12</t>
  </si>
  <si>
    <t>10.1126/science.aaz5845</t>
  </si>
  <si>
    <t>MD5SF</t>
  </si>
  <si>
    <t>WOS:000544031400031</t>
  </si>
  <si>
    <t>Hunter, J</t>
  </si>
  <si>
    <t>Hunter, John</t>
  </si>
  <si>
    <t>Are tidal predictions a good guide to future extremes? - a critique of the Witness King Tides project</t>
  </si>
  <si>
    <t>OCEAN SCIENCE</t>
  </si>
  <si>
    <t>An analysis of the viability of the Witness King Tides project (hereafter called WKT) using data from the GESLA-2 database of quasi-global tide-gauge records is described. The results indicate regions of the world where a key criterion for a WKT project (that it be executed on a day of unusually high sea level) would likely be met (e.g. the west coast of the USA) and others where it would not (e.g. the east coast of North America). Recommendations are made both for assessments that should be made prior to a WKT project and also for an alternative to WKT projects.</t>
  </si>
  <si>
    <t>[Hunter, John] Univ Tasmania, Inst Marine &amp; Antarctic Studies, Hobart, Tas, Australia</t>
  </si>
  <si>
    <t>Hunter, J (corresponding author), Univ Tasmania, Inst Marine &amp; Antarctic Studies, Hobart, Tas, Australia.</t>
  </si>
  <si>
    <t>jrh@johnroberthunter.org</t>
  </si>
  <si>
    <t>1812-0784</t>
  </si>
  <si>
    <t>OCEAN SCI</t>
  </si>
  <si>
    <t>Ocean Sci.</t>
  </si>
  <si>
    <t>10.5194/os-16-703-2020</t>
  </si>
  <si>
    <t>Meteorology &amp; Atmospheric Sciences; Oceanography</t>
  </si>
  <si>
    <t>MA2DH</t>
  </si>
  <si>
    <t>WOS:000541726300001</t>
  </si>
  <si>
    <t>Marshall, GJ; Jylhä, K; Kivinen, S; Laapas, M; Dyrrdal, AV</t>
  </si>
  <si>
    <t>Marshall, Gareth J.; Jylha, Kirsti; Kivinen, Sonja; Laapas, Mikko; Dyrrdal, Anita Verpe</t>
  </si>
  <si>
    <t>The role of atmospheric circulation patterns in driving recent changes in indices of extreme seasonal precipitation across Arctic Fennoscandia</t>
  </si>
  <si>
    <t>Fennoscandia; Arctic; Precipitation; Extremes; Climate change; Atmospheric circulation pattern</t>
  </si>
  <si>
    <t>CLIMATE EXTREMES; SEA-ICE; TRENDS; VARIABILITY; EUROPE; TEMPERATURE; RAINFALL; FINLAND; EVENTS; CMIP5</t>
  </si>
  <si>
    <t>Extreme precipitation events (EPEs) have a major impact across Arctic Fennoscandia (AF). Here we examine the spatial variability of seasonal 50-year trends in three EPEs across AF for 1968-2017, using daily precipitation data from 46 meteorological stations, and analyse how these are related to contemporaneous changes in the principal atmospheric circulation patterns that impact AF climate. Positive trends in seasonal wet-day precipitation (PRCPTOT) are widespread across AF in all seasons except autumn. Spring (autumn) has the most widespread negative (positive) trends in consecutive dry days (CDD). There is less seasonal dependence for trends in consecutive wet days (CWDs), but the majority of the stations show an increase. Clear seasonal differences in the circulation pattern that exerted most influence on these AF EPE trends exist. In spring, PRCPTOT and CDD are most affected by the Scandinavian pattern at more than half the stations while it also has a marked influence on CWD. The East Atlantic/Western Russia pattern generally has the greatest influence on the most station EPE trends in summer and autumn, yet has no effect during either spring or winter. In winter, the dominant circulation pattern across AF varies more between the different EPEs, with the North Atlantic Oscillation, Polar/Eurasia and East Atlantic patterns all exerting a major influence. There are distinct geographical distributions to the dominant pattern affecting particular EPEs in some seasons, especially winter, while in others there is no discernible spatial relationship.</t>
  </si>
  <si>
    <t>[Marshall, Gareth J.] British Antarctic Survey, Nat Environm Res Council, Cambridge, England; [Jylha, Kirsti; Laapas, Mikko] Finnish Meteorol Inst, Weather &amp; Climate Change Impact Res, Helsinki, Finland; [Kivinen, Sonja] Univ Eastern Finland, Dept Geog &amp; Hist Studies, Joensuu, Finland; [Dyrrdal, Anita Verpe] Norwegian Meteorol Inst, Dept Model &amp; Climate Anal, Oslo, Norway</t>
  </si>
  <si>
    <t>UK Research &amp; Innovation (UKRI); Natural Environment Research Council (NERC); NERC British Antarctic Survey; Finnish Meteorological Institute; University of Eastern Finland; Norwegian Meteorological Institute</t>
  </si>
  <si>
    <t>Marshall, GJ (corresponding author), British Antarctic Survey, Nat Environm Res Council, Cambridge, England.</t>
  </si>
  <si>
    <t>gjma@bas.ac.uk</t>
  </si>
  <si>
    <t>Marshall, Gareth/0000-0001-8887-7314; Kivinen, Sonja/0000-0002-8637-2328</t>
  </si>
  <si>
    <t>Russian-British project 'Multiplatform remote sensing of the impact of climate change on northern forests of Russia' - British Council [352397111]; Ministry of Science and Higher Education of the Russian Federation [RFMEFI61618X0099]; Academy of Finland Strategic Research Council project IBC-Carbon [312559]; NERC [bas0100032] Funding Source: UKRI</t>
  </si>
  <si>
    <t>Russian-British project 'Multiplatform remote sensing of the impact of climate change on northern forests of Russia' - British Council; Ministry of Science and Higher Education of the Russian Federation; Academy of Finland Strategic Research Council project IBC-Carbon; NERC(UK Research &amp; Innovation (UKRI)Natural Environment Research Council (NERC))</t>
  </si>
  <si>
    <t>G.J.M was supported by the Russian-British project 'Multiplatform remote sensing of the impact of climate change on northern forests of Russia' funded by the British Council (grant no. 352397111) and the Ministry of Science and Higher Education of the Russian Federation (project RFMEFI61618X0099). S.K. was funded by the Academy of Finland Strategic Research Council project IBC-Carbon (312559). Dr. Heikki Tuomenvirta is acknowledged for discussions.</t>
  </si>
  <si>
    <t>10.1007/s10584-020-02747-w</t>
  </si>
  <si>
    <t>WOS:000539906100001</t>
  </si>
  <si>
    <t>Corsi, I; Bergami, E; Grassi, G</t>
  </si>
  <si>
    <t>Corsi, Ilaria; Bergami, Elisa; Grassi, Giacomo</t>
  </si>
  <si>
    <t>Behavior and Bio-Interactions of Anthropogenic Particles in Marine Environment for a More Realistic Ecological Risk Assessment</t>
  </si>
  <si>
    <t>FRONTIERS IN ENVIRONMENTAL SCIENCE</t>
  </si>
  <si>
    <t>anthropogenic particles; marine environment; ecological risk assessment; polystyrene; titanium dioxide; behavior; eco-corona; biomolecular corona</t>
  </si>
  <si>
    <t>TITANIUM-DIOXIDE NANOPARTICLES; NATURAL ORGANIC-MATTER; METAL-OXIDE NANOPARTICLES; CATIONIC POLYSTYRENE NANOPARTICLES; EXTRACELLULAR POLYMERIC SUBSTANCES; MUSSEL MYTILUS-EDULIS; TIO2 NANOPARTICLES; PROTEIN CORONA; ENGINEERED NANOMATERIALS; BLUE MUSSEL</t>
  </si>
  <si>
    <t>Owing to production, usage, and disposal of nano-enabled products as well as fragmentation of bulk materials, anthropogenic nanoscale particles (NPs) can enter the natural environment and through different compartments (air, soil, and water) end up into the sea. With the continuous increase in production and associated emissions and discharges, they can reach concentrations able to exceed toxicity thresholds for living species inhabiting marine coastal areas. Behavior and fate of NPs in marine waters are driven by transformation processes occurring as a function of NP intrinsic and extrinsic properties in the receiving seawaters. All those aspects have been overlooked in ecological risk assessment. This review critically reports ecotoxicity studies in which size distribution, surface charges and bio-nano interactions have been considered for a more realistic risk assessment of NPs in marine environment. Two emerging and relevant NPs, the metal-based titanium dioxide (TiO2), and polystyrene (PS), a proxy for nanoplastics, are reviewed, and their impact on marine biota (from planktonic species to invertebrates and fish) is discussed as a function of particle size and surface charges (negative vs. positive), which affect their behavior and interaction with the biological material. Uptake of NPs is related to their nanoscale size; however,in vivostudies clearly demonstrated that transformation (agglomerates/aggregates) occurring in both artificial and natural seawater drive to different exposure routes and biological responses at cellular and organism level. Adsorption of single particles or agglomerates onto the body surface or their internalization in feces can impair motility and affect sinking or floating behavior with consequences on populations and ecological function. Particle complex dynamics in natural seawater is almost unknown, although it determines the effective exposure scenarios. Based on the latest predicted environmental concentrations for TiO(2)and PS NPs in the marine environment, current knowledge gaps and future research challenges encompass the comprehensive study of bio-nano interactions. As such, the analysis of NP biomolecular coronas can enable a better assessment of particle uptake and related cellular pathways leading to toxic effects. Moreover, the formation of an environmentally derived corona (i.e., eco-corona) in seawater accounts for NP physical-chemical alterations, rebounding on interaction with living organisms and toxicity.</t>
  </si>
  <si>
    <t>[Corsi, Ilaria; Bergami, Elisa; Grassi, Giacomo] Univ Siena, Dept Phys Earth &amp; Environm Sci, Siena, Italy</t>
  </si>
  <si>
    <t>University of Siena</t>
  </si>
  <si>
    <t>Corsi, I (corresponding author), Univ Siena, Dept Phys Earth &amp; Environm Sci, Siena, Italy.</t>
  </si>
  <si>
    <t>ilaria.corsi@unisi.it</t>
  </si>
  <si>
    <t>Corsi, Ilaria/D-3795-2012; Bergami, Elisa/JFJ-1703-2023</t>
  </si>
  <si>
    <t>Corsi, Ilaria/0000-0002-1811-3041; Bergami, Elisa/0000-0001-8149-9584; Grassi, Giacomo/0000-0002-9907-0636</t>
  </si>
  <si>
    <t>Plastics in Antarctic Environment (PLANET) - Italian National Antarctic Program [PNRA: 14_00090, 16_00075]; Polymeric nanoparticles in the marine environment and in Antarctic organisms (NANOPANTA) - Italian National Antarctic Program [PNRA: 14_00090, 16_00075]</t>
  </si>
  <si>
    <t>Plastics in Antarctic Environment (PLANET) - Italian National Antarctic Program; Polymeric nanoparticles in the marine environment and in Antarctic organisms (NANOPANTA) - Italian National Antarctic Program</t>
  </si>
  <si>
    <t>This work was partly supported by the following funded projects: Plastics in Antarctic Environment (PLANET) and Polymeric nanoparticles in the marine environment and in Antarctic organisms (NANOPANTA), both funded by the Italian National Antarctic Program (PNRA: 14_00090; 16_00075).</t>
  </si>
  <si>
    <t>2296-665X</t>
  </si>
  <si>
    <t>FRONT ENV SCI-SWITZ</t>
  </si>
  <si>
    <t>Front. Environ. Sci.</t>
  </si>
  <si>
    <t>JUN 11</t>
  </si>
  <si>
    <t>10.3389/fenvs.2020.00060</t>
  </si>
  <si>
    <t>MD3UW</t>
  </si>
  <si>
    <t>WOS:000543897100001</t>
  </si>
  <si>
    <t>Rott, H; Wuite, J; De Rydt, J; Gudmundsson, GH; Floricioiu, D; Rack, W</t>
  </si>
  <si>
    <t>Rott, Helmut; Wuite, Jan; De Rydt, Jan; Gudmundsson, G. Hilmar; Floricioiu, Dana; Rack, Wolfgang</t>
  </si>
  <si>
    <t>Impact of marine processes on flow dynamics of northern Antarctic Peninsula outlet glaciers</t>
  </si>
  <si>
    <t>Letter</t>
  </si>
  <si>
    <t>[Rott, Helmut; Wuite, Jan] ENVEO IT GmbH, A-6020 Innsbruck, Austria; [Rott, Helmut] Univ Innsbruck, Inst Atmospher &amp; Cryospher Sci, A-6020 Innsbruck, Austria; [De Rydt, Jan; Gudmundsson, G. Hilmar] Northumbria Univ, Dept Geog &amp; Environm Sci, Newcastle Upon Tyne NE1 8ST, Tyne &amp; Wear, England; [Floricioiu, Dana] German Aerosp Ctr, Inst Remote Sensing Technol, D-82234 Wessling, Germany; [Rack, Wolfgang] Univ Canterbury, Gateway Antarctica, Christchurch 8140, New Zealand</t>
  </si>
  <si>
    <t>University of Innsbruck; Northumbria University; Helmholtz Association; German Aerospace Centre (DLR); University of Canterbury</t>
  </si>
  <si>
    <t>Rott, H (corresponding author), ENVEO IT GmbH, A-6020 Innsbruck, Austria.;Rott, H (corresponding author), Univ Innsbruck, Inst Atmospher &amp; Cryospher Sci, A-6020 Innsbruck, Austria.</t>
  </si>
  <si>
    <t>Helmut.Rott@enveo.at</t>
  </si>
  <si>
    <t>Gudmundsson, Gudmundur Hilmar/AAU-5987-2020; Rack, Wolfgang/U-8898-2017; De Rydt, Jan/H-5692-2018</t>
  </si>
  <si>
    <t>Gudmundsson, Gudmundur Hilmar/0000-0003-4236-5369; Rack, Wolfgang/0000-0003-2447-377X; Rott, Helmut/0000-0003-4719-7376; Floricioiu, Dana/0000-0002-1647-7191; De Rydt, Jan/0000-0002-2978-8706; Wuite, Jan/0000-0001-9333-1586</t>
  </si>
  <si>
    <t>10.1038/s41467-020-16658-y</t>
  </si>
  <si>
    <t>MB7FL</t>
  </si>
  <si>
    <t>WOS:000542765300010</t>
  </si>
  <si>
    <t>Tuckett, PA; Ely, JC; Sole, AJ; Livingstone, SJ; Davison, BJ; van Wessem, JM</t>
  </si>
  <si>
    <t>Tuckett, Peter A.; Ely, Jeremy C.; Sole, Andrew J.; Livingstone, Stephen J.; Davison, Benjamin J.; van Wessem, J. Melchior</t>
  </si>
  <si>
    <t>Reply to: Impact of marine processes on flow dynamics of northern Antarctic Peninsula outlet glaciers by Rott et al.</t>
  </si>
  <si>
    <t>ICE; DRIVEN</t>
  </si>
  <si>
    <t>[Tuckett, Peter A.; Ely, Jeremy C.; Sole, Andrew J.; Livingstone, Stephen J.] Univ Sheffield, Dept Geog, Sheffield, S Yorkshire, England; [Davison, Benjamin J.] Univ St Andrews, Sch Geog &amp; Sustainable Dev, St Andrews, Fife, Scotland; [van Wessem, J. Melchior] Univ Utrecht, Inst Marine &amp; Atmospher Res Utrecht, Utrecht, Netherlands</t>
  </si>
  <si>
    <t>University of Sheffield; University of St Andrews; Utrecht University</t>
  </si>
  <si>
    <t>Ely, JC (corresponding author), Univ Sheffield, Dept Geog, Sheffield, S Yorkshire, England.</t>
  </si>
  <si>
    <t>j.ely@sheffield.ac.uk</t>
  </si>
  <si>
    <t>Davison, Ben/0000-0001-9483-2956; Ely, Jeremy/0000-0003-4007-1500; Sole, Andrew/0000-0001-5290-8967; Tuckett, Peter/0000-0001-9953-2602; Livingstone, Stephen/0000-0002-7240-5037</t>
  </si>
  <si>
    <t>NERC [NE/R014574/1] Funding Source: UKRI</t>
  </si>
  <si>
    <t>10.1038/s41467-020-16685-9</t>
  </si>
  <si>
    <t>WOS:000542765300011</t>
  </si>
  <si>
    <t>Glavin, DP; Burton, AS; Elsila, JE; Aponte, JC; Dworkin, JP</t>
  </si>
  <si>
    <t>Glavin, Daniel P.; Burton, Aaron S.; Elsila, Jamie E.; Aponte, Jose C.; Dworkin, Jason P.</t>
  </si>
  <si>
    <t>The Search for Chiral Asymmetry as a Potential Biosignature in our Solar System</t>
  </si>
  <si>
    <t>CHEMICAL REVIEWS</t>
  </si>
  <si>
    <t>EXTRATERRESTRIAL AMINO-ACIDS; LARGE ENANTIOMERIC EXCESSES; CARBON-ISOTOPE COMPOSITION; COMPOUND-SPECIFIC CARBON; MURCHISON METEORITE; ORGANIC-COMPOUNDS; SYMMETRY-BREAKING; PARENT BODY; ULTRAVIOLET-IRRADIATION; RACEMIZATION REACTIONS</t>
  </si>
  <si>
    <t>The search for evidence of extraterrestrial life in our Solar System is currently guided by our understanding of terrestrial biology and its associated biosignatures. The observed homochirality in all life on Earth, that is, the predominance of left-handed or L-amino acids and right-handed or D-sugars, is a unique property of life that is crucial for molecular recognition, enzymatic function, information storage and structure and is thought to be a prerequisite for the origin or early evolution of life. Therefore, the detection of L- or D-enantiomeric excesses (ee) of chiral amino acids and sugars could be a powerful indicator for extant or extinct life on another world. However, studies of primitive meteorites have revealed they contain extraterrestrial amino acids and sugar acids (aldonic acids) with large enantiomeric excesses of the same chirality as terrestrial biology resulting from nonbiological processes, complicating the use of chiral asymmetry by itself as a definitive biosignature. Here we review our current knowledge of the distributions and enantiomeric and isotopic compositions of amino acids and polyols found in meteorites compared to terrestrial biology and propose a set of criteria for future life detection missions that can be used to help establish the origin of chiral asymmetry.</t>
  </si>
  <si>
    <t>[Glavin, Daniel P.; Elsila, Jamie E.; Aponte, Jose C.; Dworkin, Jason P.] NASA, Goddard Space Flight Ctr, Code 916, Greenbelt, MD 20771 USA; [Burton, Aaron S.] NASA, Johnson Space Ctr, Houston, TX 77058 USA; [Aponte, Jose C.] Catholic Univ Amer, Washington, DC 20064 USA</t>
  </si>
  <si>
    <t>National Aeronautics &amp; Space Administration (NASA); NASA Goddard Space Flight Center; National Aeronautics &amp; Space Administration (NASA); Catholic University of America</t>
  </si>
  <si>
    <t>Glavin, DP (corresponding author), NASA, Goddard Space Flight Ctr, Code 916, Greenbelt, MD 20771 USA.</t>
  </si>
  <si>
    <t>daniel.p.glavin@nasa.gov</t>
  </si>
  <si>
    <t>Glavin, Daniel P/D-6194-2012; Aponte, Jose C./B-9091-2013; Dworkin, Jason P./C-9417-2012</t>
  </si>
  <si>
    <t>Glavin, Daniel P/0000-0001-7779-7765; Dworkin, Jason P./0000-0002-3961-8997; Burton, Aaron/0000-0002-1194-4336</t>
  </si>
  <si>
    <t>NASA Astrobiology Institute [13-13NAI7-0032]; NASA's Planetary Science Division Research Program; Simons Foundation (SCOL award) [302497]</t>
  </si>
  <si>
    <t>NASA Astrobiology Institute; NASA's Planetary Science Division Research Program; Simons Foundation (SCOL award)</t>
  </si>
  <si>
    <t>D.P.G, J.E.E, J.C.A., and J.P.D. acknowledge support from the NASA Astrobiology Institute through award 13-13NAI7-0032 to the Goddard Center for Astrobiology, NASA's Planetary Science Division Research Program, and a grant from the Simons Foundation (SCOL award 302497 to J.P.D.). A.S.B. also acknowledges support from NASA's Planetary Science Division Research Program. We are also grateful to the Smithsonian National Museum of Natural History, the Antarctic Search for Meteorites (ANSMET) Program, and the NASA Johnson Space Center Astromaterials Acquisition and Curation Office for providing the meteorite samples discussed in this review. We appreciate J. Friedlander for graphics support and the helpful comments from three anonymous reviewers.</t>
  </si>
  <si>
    <t>0009-2665</t>
  </si>
  <si>
    <t>1520-6890</t>
  </si>
  <si>
    <t>CHEM REV</t>
  </si>
  <si>
    <t>Chem. Rev.</t>
  </si>
  <si>
    <t>10.1021/acs.chemrev.9b00474</t>
  </si>
  <si>
    <t>MA1MA</t>
  </si>
  <si>
    <t>WOS:000541680900003</t>
  </si>
  <si>
    <t>Chero, G; Pradel, R; Derville, S; Bonneville, C; Gimenez, O; Garrigue, C</t>
  </si>
  <si>
    <t>Chero, Guillaume; Pradel, Roger; Derville, Solene; Bonneville, Claire; Gimenez, Olivier; Garrigue, Claire</t>
  </si>
  <si>
    <t>Reproductive capacity of an endangered and recovering population of humpback whales in the Southern Hemisphere</t>
  </si>
  <si>
    <t>Calving interval; Calving rate; Humpback whales; New Caledonia; Pacific population; Recovery; Sexual maturity</t>
  </si>
  <si>
    <t>MEGAPTERA-NOVAEANGLIAE; GENETIC-STRUCTURE; LIFE-HISTORY; MODELS; MIGRATION; ABUNDANCE; INTERVAL; GROUNDS; HABITAT; TESTS</t>
  </si>
  <si>
    <t>Estimating demographic parameters is essential to assessing the recovery potential of severely depleted populations of marine mammal species such as the baleen whales, which were decimated by commercial whaling of the past century. The Oceania humpback whale Megaptera novaeangliae population is classified as endangered by the IUCN because of low numbers and a slow recovery rate. Nevertheless, an anomalously strong increase has recently been detected in the New Caledonia breeding population. To determine the drivers of population growth, reproductive parameters were estimated for the first time for a humpback whale population of Oceania. Based on an extensive monitoring program (1995-2018), recapture histories were reconstructed for 607 females and incorporated in multi-event capture-recapture models. As the females' ages were generally unknown (87%), 2 models with contrasting age scenarios were investigated. For females of unknown age, the mature scenario assumed maturity at the first encounter, while the immature scenario assumed immaturity within 7 yr after the first encounter, unless the female was encountered breeding. These models respectively resulted in a calving interval of 1.49 yr (95% CI: 1.21-2.08) or 2.83 yr (95% CI: 2.28-3.56) and a calving rate of 0.67 or 0.35. The relatively high calving rate modelled by the mature model is consistent with high pregnancy rates recently observed in the migratory corridors of the Kermadec Islands and on the feeding grounds of the Antarctic Peninsula. Therefore, our results suggest that the recovery of the New Caledonia humpback whale population from past exploitation may be partially driven by an increased reproductive capacity.</t>
  </si>
  <si>
    <t>[Chero, Guillaume; Derville, Solene; Bonneville, Claire; Garrigue, Claire] Univ La Reunion, CNRS, IRD, UMR Entropie, BP A5, Noumea 98848, New Caledonia; [Chero, Guillaume; Pradel, Roger; Gimenez, Olivier] Univ Paul Valery Montpellier 3, EPHE, CNRS, CEFE,Univ Montpellier,IRD, F-34293 Montpellier 5, France; [Chero, Guillaume; Derville, Solene; Bonneville, Claire; Garrigue, Claire] Operat Cetaces, BP 12827, Noumea 98802, New Caledonia; [Chero, Guillaume] Leibniz Inst Zoo &amp; Wildlife Res IZW, Dept Ecol Dynam, Alfred Kowalke St 17, D-10315 Berlin, Germany</t>
  </si>
  <si>
    <t>Institut de Recherche pour le Developpement (IRD); Universite PSL; Ecole Pratique des Hautes Etudes (EPHE); Institut Agro; Montpellier SupAgro; CIRAD; Centre National de la Recherche Scientifique (CNRS); Institut de Recherche pour le Developpement (IRD); Universite Paul-Valery; Universite de Montpellier; Leibniz Institut fur Zoo und Wildtierforschung</t>
  </si>
  <si>
    <t>Chero, G (corresponding author), Univ La Reunion, CNRS, IRD, UMR Entropie, BP A5, Noumea 98848, New Caledonia.;Chero, G (corresponding author), Univ Paul Valery Montpellier 3, EPHE, CNRS, CEFE,Univ Montpellier,IRD, F-34293 Montpellier 5, France.;Chero, G (corresponding author), Operat Cetaces, BP 12827, Noumea 98802, New Caledonia.;Chero, G (corresponding author), Leibniz Inst Zoo &amp; Wildlife Res IZW, Dept Ecol Dynam, Alfred Kowalke St 17, D-10315 Berlin, Germany.</t>
  </si>
  <si>
    <t>chero@izw-beriin.de</t>
  </si>
  <si>
    <t>Gimenez, Olivier/G-4281-2010; garrigue, claire/I-4704-2016</t>
  </si>
  <si>
    <t>garrigue, claire/0000-0002-8117-3370; Gimenez, Olivier/0000-0001-7001-5142</t>
  </si>
  <si>
    <t>Fondation d'Entreprises Total; International Fund for Animal Welfare; Provinces Sud, Nord and Iles of New Caledonia; Total Pacifique; Vale S.A.</t>
  </si>
  <si>
    <t>Fondation d'Entreprises Total; International Fund for Animal Welfare; Provinces Sud, Nord and Iles of New Caledonia; Total Pacifique(Total SA); Vale S.A.</t>
  </si>
  <si>
    <t>We thank the volunteers who participated in the fieldwork. Our acknowledgments go to D. Boillon, H. Bourgogne, J. Burgess, M. Chambellant, R. Dodemont, M. Oremus, V. Perard, M. Poupon and A. Schaffar. We thank Dr. J. Robbins and Dr. J. Jackson for their input in the early stages of the analysis. The manuscript was improved with constructive comments and editing from Dr. E. Garland and L. Pallin. Financial support was partly provided by the Fondation d'Entreprises Total; International Fund for Animal Welfare; Provinces Sud, Nord and Iles of New Caledonia; Total Pacifique; and Vale S.A. This study was carried out following the marine mammal treatment guidelines of the Society for Marine Mammalogy. Fieldwork was undertaken under permits issued by the Environment Department of the Provinces Sud and North of New Caledonia.</t>
  </si>
  <si>
    <t>10.3354/meps13329</t>
  </si>
  <si>
    <t>MG3JU</t>
  </si>
  <si>
    <t>WOS:000545931200016</t>
  </si>
  <si>
    <t>Potocka, M; Krzeminska, E; Gromadka, R; Gawor, J; Kocot-Zalewska, J</t>
  </si>
  <si>
    <t>Potocka, Marta; Krzeminska, Ewa; Gromadka, Robert; Gawor, Jan; Kocot-Zalewska, Joanna</t>
  </si>
  <si>
    <t>Molecular identification of Trichocera maculipennis, an invasive fly species in the Maritime Antarctic</t>
  </si>
  <si>
    <t>MOLECULAR BIOLOGY REPORTS</t>
  </si>
  <si>
    <t>Invasive species; Antarctica; Trichocera; Non-native species; Molecular identification; Insects; Alien species</t>
  </si>
  <si>
    <t>MITOCHONDRIAL; COMPILATION; METHODOLOGY; EVOLUTION; DIPTERA; PRIMERS; DNA</t>
  </si>
  <si>
    <t>Trichocera maculipennis, an invasive Diptera, was described for the first time in Antarctica in 2006 in a sewage system of one of the scientific stations on King George Island, South Shetland Islands, and started to increase its distribution within the island. To date, only taxonomical description of this species, based on morphological data has been available, as there were no molecular data recorded. In the present study, we present two methods of molecular identification of this species-based on partial cytochrome c oxidase subunit I (COI) and 16S ribosomal RNA (16S) genes. An appropriate and easy-to-use assay for proper and fast identification of invasive species is a key requirement for further management decisions, especially in such a fragile environment as found in terrestrial Antarctica.</t>
  </si>
  <si>
    <t>[Potocka, Marta] Polish Acad Sci, Inst Biochem &amp; Biophys, Dept Antarctic Biol, Pawinskiego 5a, PL-02106 Warsaw, Poland; [Krzeminska, Ewa] Polish Acad Sci, Inst Systemat &amp; Evolut Anim, Slawkowska 17, PL-31016 Krakow, Poland; [Gromadka, Robert; Gawor, Jan] Polish Acad Sci, Inst Biochem &amp; Biophys, Lab DNA Sequencing &amp; Oligonucleotide Synth, Pawinskiego 5a, PL-02106 Warsaw, Poland; [Kocot-Zalewska, Joanna] Univ Opole, Inst Biol, Oleska 22, PL-45052 Opole, Poland</t>
  </si>
  <si>
    <t>Polish Academy of Sciences; Institute of Biochemistry &amp; Biophysics - Polish Academy of Sciences; Polish Academy of Sciences; Institute of Systematics &amp; Evolution of Animals of the Polish Academy of Sciences; Polish Academy of Sciences; Institute of Biochemistry &amp; Biophysics - Polish Academy of Sciences; University of Opole</t>
  </si>
  <si>
    <t>Potocka, M (corresponding author), Polish Acad Sci, Inst Biochem &amp; Biophys, Dept Antarctic Biol, Pawinskiego 5a, PL-02106 Warsaw, Poland.</t>
  </si>
  <si>
    <t>mpotocka@ibb.waw.pl</t>
  </si>
  <si>
    <t>Krzemińska, Ewa/AAD-6661-2021</t>
  </si>
  <si>
    <t>Krzemińska, Ewa/0000-0002-3431-9963; Gromadka, Robert/0000-0002-9941-6692; Kocot-Zalewska, Joanna/0000-0002-9869-5837; Potocka, Marta/0000-0003-0505-6436; Gawor, Jan/0000-0003-3800-2557</t>
  </si>
  <si>
    <t>0301-4851</t>
  </si>
  <si>
    <t>1573-4978</t>
  </si>
  <si>
    <t>MOL BIOL REP</t>
  </si>
  <si>
    <t>Mol. Biol. Rep.</t>
  </si>
  <si>
    <t>10.1007/s11033-020-05566-5</t>
  </si>
  <si>
    <t>Biochemistry &amp; Molecular Biology</t>
  </si>
  <si>
    <t>NF8LM</t>
  </si>
  <si>
    <t>WOS:000539521100004</t>
  </si>
  <si>
    <t>Ramadass, GA; Ramesh, S; Vedachalam, N; Subramanian, AN; Sathianarayanan, D; Ramesh, R; Harikrishnan, G; Chowdhury, T; Jyothi, VBN; Pranesh, SB; Prakash, VD; Atmanand, MA</t>
  </si>
  <si>
    <t>Ramadass, G. A.; Ramesh, S.; Vedachalam, N.; Subramanian, A. N.; Sathianarayanan, D.; Ramesh, R.; Harikrishnan, G.; Chowdhury, T.; Jyothi, V. B. N.; Pranesh, S. B.; Prakash, V. Doss; Atmanand, M. A.</t>
  </si>
  <si>
    <t>Unmanned underwater vehicles: Design considerations and outcome of scientific expeditions</t>
  </si>
  <si>
    <t>Biodiversity; ocean resources; remotely operated vehicle</t>
  </si>
  <si>
    <t>REMOTELY OPERATED VEHICLE; METHANE; EXPLORATION; SEDIMENT; OCEAN; BASIN; RIDGE</t>
  </si>
  <si>
    <t>In India, scientific investigations of ocean basins have been in progress for more than five decades using indirect and direct measurement devices. These studies were aimed at resource identification, ecological, palaeo-oceanographic and palaeo-climatic research. To cater to the need of the ocean community, Remotely Operated Vehicles (ROV) rated for 6000 m (ROSUB 6000) and 500 m (PROVe-500) operational depths have been developed at the National Institute of Ocean Technology, MoES, Chennai. This article reports the design considerations for unmanned remotely operated underwater vehicles and the outcome of scientific expeditions conducted for deep sea mineral exploration, ocean biodiversity and polar science.</t>
  </si>
  <si>
    <t>[Ramadass, G. A.; Ramesh, S.; Vedachalam, N.; Subramanian, A. N.; Sathianarayanan, D.; Ramesh, R.; Harikrishnan, G.; Chowdhury, T.; Jyothi, V. B. N.; Pranesh, S. B.; Prakash, V. Doss; Atmanand, M. A.] Minist Earth Sci, Natl Inst Ocean Technol, Chennai 600100, Tamil Nadu, India</t>
  </si>
  <si>
    <t>Ministry of Earth Sciences (MoES) - India; National Institute of Ocean Technology (NIOT)</t>
  </si>
  <si>
    <t>Ramadass, GA (corresponding author), Minist Earth Sci, Natl Inst Ocean Technol, Chennai 600100, Tamil Nadu, India.</t>
  </si>
  <si>
    <t>ramadass.niot@gov.in</t>
  </si>
  <si>
    <t>M A, Atmanand/A-1610-2016</t>
  </si>
  <si>
    <t>Narayanan, Sathia/0000-0002-5227-4025</t>
  </si>
  <si>
    <t>Ministry of Earth Sciences, Government of India</t>
  </si>
  <si>
    <t>Ministry of Earth Sciences, Government of India(Ministry of Earth Science (MoES), Government of India)</t>
  </si>
  <si>
    <t>We thank the Ministry of Earth Sciences, Government of India, for funding this research and developmental activities. We also thank Deep Sea Technology group members involved in the development and sea trials participation during realization of ROSUB 6000 and PROVe. We also acknowledge Vessel Management Cell for valuable contribution and support during sea trial in ORV Sagar Nidhi, National Centre for Polar and Ocean Research for support during Antarctic Expedition, Central Marine Living REsources (CMLRE), Kochi for the PROVe deployment for seaweed observation off Mangalore and Ocean Science and Technology group of NIOT for coral reef observation at the Andaman Islands.</t>
  </si>
  <si>
    <t>JUN 10</t>
  </si>
  <si>
    <t>10.18520/cs/v118/i11/1681-1686</t>
  </si>
  <si>
    <t>LV0YV</t>
  </si>
  <si>
    <t>WOS:000538170500011</t>
  </si>
  <si>
    <t>Botero-Delgadillo, E; Quirici, V; Poblete, Y; Acevedo, M; Cuevas, É; Bravo, C; Cragnolini, M; Rozzi, R; Poulin, E; Mueller, JC; Kempenaers, B; Vásquez, RA</t>
  </si>
  <si>
    <t>Botero-Delgadillo, Esteban; Quirici, Veronica; Poblete, Yanina; Acevedo, Matias; Cuevas, Elfego; Bravo, Camila; Cragnolini, Margherita; Rozzi, Ricardo; Poulin, Elie; Mueller, Jakob C.; Kempenaers, Bart; Vasquez, Rodrigo A.</t>
  </si>
  <si>
    <t>Range-wide genetic structure in the thorn-tailed rayadito suggests limited gene flow towards peripheral populations</t>
  </si>
  <si>
    <t>APHRASTURA-SPINICAUDA; HABITAT FRAGMENTATION; FOREST BIRD; DISTANCE; DIFFERENTIATION; DIVERSITY; DISPERSAL; PASSERINE; SOFTWARE; PATTERNS</t>
  </si>
  <si>
    <t>Understanding the population genetic consequences of habitat heterogeneity requires assessing whether patterns of gene flow correspond to landscape configuration. Studies of the genetic structure of populations are still scarce for Neotropical forest birds. We assessed range-wide genetic structure and contemporary gene flow in the thorn-tailed rayadito (Aphrastura spinicauda), a passerine bird inhabiting the temperate forests of South America. We used 12 microsatellite loci to genotype 582 individuals from eight localities across a large latitudinal range (30 degrees S-56 degrees S). Using population structure metrics, multivariate analyses, clustering algorithms, and Bayesian methods, we found evidence for moderately low regional genetic structure and reduced gene flow towards the range margins. Genetic differentiation increased with geographic distance, particularly in the southern part of the species' distribution where forests are continuously distributed. Populations in the north seem to experience limited gene flow likely due to forest discontinuity, and may comprise a demographically independent unit. The southernmost population, on the other hand, is genetically depauperate and different from all other populations. Different analytical approaches support the presence of three to five genetic clusters. We hypothesize that the genetic structure of the species follows a hierarchical clustered pattern.</t>
  </si>
  <si>
    <t>[Botero-Delgadillo, Esteban; Poblete, Yanina; Bravo, Camila; Poulin, Elie; Vasquez, Rodrigo A.] Univ Chile, Fac Ciencias, Inst Ecol &amp; Biodiversidad, Dept Ciencias Ecol, Santiago, Chile; [Botero-Delgadillo, Esteban; Cragnolini, Margherita; Mueller, Jakob C.; Kempenaers, Bart] Max Plank Inst Ornithol, Dept Behav Ecol &amp; Evolutionary Genet, Seewiesen, Germany; [Botero-Delgadillo, Esteban] SELVA Res Conservat Neotrop, Bogota, Colombia; [Quirici, Veronica] Univ Andres Bello, Fac Ecol &amp; Recursos Nat, Dept Ecol &amp; Biodiversidad, Santiago, Chile; [Quirici, Veronica] Univ Andres Bello, Ctr Invest Sustentabilidad, Santiago, Chile; [Poblete, Yanina] Univ Amer, Inst Ciencias Nat, Santiago, Chile; [Acevedo, Matias] Univ Chile, Fac Ciencias Forestales &amp; Conservac Nat, Programa Magister Areas Silvestres &amp; Conservac Na, Santiago, Chile; [Cuevas, Elfego] Univ Andres Bello, Fac Ecol &amp; Recursos Nat, Med Conservac, Santiago, Chile; [Rozzi, Ricardo] Univ Magallanes, Programa Conservac Biocultural Subantartica, Parque Etnobot Omora, Santiago, Chile; [Rozzi, Ricardo] Inst Ecol &amp; Biodiversidad, Santiago, Chile; [Rozzi, Ricardo] Univ North Texas, Subantarctic Biocultural Conservat Program, Dept Philosophy &amp; Relig, Denton, TX 76203 USA; [Rozzi, Ricardo] Univ North Texas, Dept Biol Sci, Denton, TX 76203 USA</t>
  </si>
  <si>
    <t>Universidad de Chile; Max Planck Society; Universidad Andres Bello; Universidad Andres Bello; Universidad de Las Americas - Chile; Universidad de Chile; Universidad Andres Bello; Universidad de Magallanes; University of North Texas System; University of North Texas Denton; University of North Texas System; University of North Texas Denton</t>
  </si>
  <si>
    <t>Botero-Delgadillo, E (corresponding author), Univ Chile, Fac Ciencias, Inst Ecol &amp; Biodiversidad, Dept Ciencias Ecol, Santiago, Chile.;Botero-Delgadillo, E (corresponding author), Max Plank Inst Ornithol, Dept Behav Ecol &amp; Evolutionary Genet, Seewiesen, Germany.;Botero-Delgadillo, E (corresponding author), SELVA Res Conservat Neotrop, Bogota, Colombia.</t>
  </si>
  <si>
    <t>eboterod@gmail.com</t>
  </si>
  <si>
    <t>Poulin, Elie/C-2654-2012; Botero-Delgadillo, Esteban/AAC-7069-2020; Poblete, Yanina/GXA-0464-2022; Rozzi, Ricardo/G-1047-2012; Quirici, Veronica/B-1520-2017</t>
  </si>
  <si>
    <t>Poulin, Elie/0000-0001-7736-0969; Botero-Delgadillo, Esteban/0000-0003-4653-7551; Poblete, Yanina/0000-0002-1378-9341; Rozzi, Ricardo/0000-0001-5265-8726; Vasquez, Rodrigo A/0000-0003-4309-6789</t>
  </si>
  <si>
    <t>Max Planck Society; FONDECYT [3110059, 11130245, 1100359, 1140548]; CONICYT-Chile [ICM-P05-002, PFB-23, AFB-170008, 63130100]; PAIFAC 2019 (Sciences Faculty, Universidad de Chile); Sub-Antarctic Biocultural Conservation Program of the University of North Texas; COLFUTURO' scholarship-loan PCB-2012</t>
  </si>
  <si>
    <t>Max Planck Society(Max Planck Society); FONDECYT(Comision Nacional de Investigacion Cientifica y Tecnologica (CONICYT)CONICYT FONDECYT); CONICYT-Chile(Comision Nacional de Investigacion Cientifica y Tecnologica (CONICYT)); PAIFAC 2019 (Sciences Faculty, Universidad de Chile); Sub-Antarctic Biocultural Conservation Program of the University of North Texas; COLFUTURO' scholarship-loan PCB-2012</t>
  </si>
  <si>
    <t>We thank Pamela Espindola, Cristobal Venegas, Sandra Escudero, Isidora Nunez, Javier Bustos, Omar Barroso, Silvia Lazzarino, and Ana Pineiro for their collaboration during fieldwork, and especially Juan Monardez for his assistance at Fray Jorge National Park. Fieldwork in protected areas was possible thanks to people from Parque Nacional Bosque Fray Jorge, Minera Los Pelambres, Estacion Biologica Senda Darwin, Parque Nacional Nahuel Huapi, and Parque Natural Karukinka. Sylvia Kuhn and Alexander Girg provided valuable help with genotyping. Special thanks to Priscila Escobar Gimpel for her illustrations of thorn-tailed rayadito. Funding was provided by the Max Planck Society to BK; grants from FONDECYT Nos. 1100359 and 1140548, grant ICM-P05-002, PFB-23-CONICYT-Chile, PAIFAC 2019 (Sciences Faculty, Universidad de Chile) and AFB-170008-CONICYT-Chile to RAV; grants from the Sub-Antarctic Biocultural Conservation Program of the University of North Texas to RR; grants from FONDECYT Nos. 3110059 and 11130245 to VQ; graduate fellowships CONICYT-Chile 63130100 and ICM-P05-002, and a COLFUTURO' scholarship-loan PCB-2012 to EB-D.</t>
  </si>
  <si>
    <t>10.1038/s41598-020-66450-7</t>
  </si>
  <si>
    <t>NB4IW</t>
  </si>
  <si>
    <t>WOS:000560478900025</t>
  </si>
  <si>
    <t>Zhao, JP; Wang, P; Wang, C; Fu, M; Li, YM; Yang, RQ; Fu, JJ; Hao, YF; Matsiko, J; Zhang, QH; Jiang, GB</t>
  </si>
  <si>
    <t>Zhao, Junpeng; Wang, Pu; Wang, Chu; Fu, Min; Li, Yingming; Yang, Ruiqiang; Fu, Jianjie; Hao, Yanfen; Matsiko, Julius; Zhang, Qinghua; Jiang, Guibin</t>
  </si>
  <si>
    <t>Novel brominated flame retardants in West Antarctic atmosphere (2011-2018): Temporal trends, sources and chiral signature</t>
  </si>
  <si>
    <t>NBFRs; Antarctica; Long-range atmospheric transport; Gas/particle partitioning</t>
  </si>
  <si>
    <t>POLYBROMINATED DIPHENYL ETHERS; PERSISTENT ORGANIC POLLUTANTS; KING GEORGE ISLAND; DECHLORANE PLUS; INDOOR ENVIRONMENTS; ORGANOCHLORINE PESTICIDES; ORGANOPHOSPHATE ESTERS; SOURCE APPORTIONMENT; HUMAN EXPOSURE; AIR</t>
  </si>
  <si>
    <t>Novel brominated flame retardants (NBFRs) were comprehensively investigated in both gaseous and particle phase samples collected using a high-volume active air sampler (HV-AAS) at the Chinese Great Wall Station in King George Island, West Antarctica from 2011 to 2018. The concentrations of Sigma(12)NBFRs ranged from 0.27 to 3.0 pg m(-3), with a mean value of 1.1 +/- 0.50 pg m(-3) and the levels showed a slightly increasing trend over the eight years. Decabromodiphenyl ethane (DBDPE) was the predominant NBFR with a relative contribution of 50% on average. Most of the studied NBFRs tended to distribute in gaseous phase with an average ratio of 72 +/- 16% while NBFRs with higher log K-OA values had higher proportions in particle phase. The gas/particle partitioning models were employed to evaluate the environmental behavior of NBFRs. Compared to the equilibrium-state-based model, the steady-state-based model performed much better to predict the gas/particle partitioning of NBFRs in the West Antarctic atmosphere. Additionally, no temperature dependence was found for NBFRs except rac-(1R,2R,5R,6R)-1,2,5,6-tetrabromocyclooctane (beta-TBCO). The annual mean concentrations of Sigma(12)NBFRs showed a significantly negative correlation with the frequency of east-southeast (ESE, 112.5 degrees) wind and calm wind (similar to 0 m s(-1)) (p &lt; 0.05), and a significantly positive correlation with the frequency of wind from northwest interval (west to north-northwest, 270 degrees to 337.5 degrees) (p &lt; 0.05), suggesting a significant effect of air mass from the ocean area. Furthermore, the chiral signature of NBFRs showed commonly non-racemic residue in the atmosphere. The enantiomer fractions (EF) of rac-(1R,2R)-1,2-dibromo-(4S)-4-((1R)-1,2-dibromoethly) cyclohexane (alpha-TBECH) and beta-TBCO were 0.115-0.962 and 0.281-0.795, revealing secondary sources of NBFRs, e.g., seawater-air exchange and/or non-racemic residue in the source regions. As far as we know, this is one of very few studies on NBFRs in the Antarctic atmosphere. (C) 2020 Elsevier B.V. All rights reserved.</t>
  </si>
  <si>
    <t>[Zhao, Junpeng; Wang, Pu; Wang, Chu; Li, Yingming; Yang, Ruiqiang; Fu, Jianjie; Hao, Yanfen; Zhang, Qinghua; Jiang, Guibin] Chinese Acad Sci, Res Ctr Ecoenvironm Sci, State Key Lab Environm Chem &amp; Ecotoxicol, Beijing 100085, Peoples R China; [Zhao, Junpeng; Wang, Chu; Hao, Yanfen; Zhang, Qinghua; Jiang, Guibin] Univ Chinese Acad Sci, Beijing 100049, Peoples R China; [Wang, Pu; Zhang, Qinghua] Jianghan Univ, Inst Environm &amp; Hlth, Wuhan 430056, Peoples R China; [Fu, Min] Natl Marine Environm Forecasting Ctr, Key Lab Res Marine Hazards Forecasting, Beijing 100081, Peoples R China; [Matsiko, Julius] Kampala Int Univ, Directorate Res Innovat Consultancy &amp; Extens, POB 20000, Kampala, Uganda; [Matsiko, Julius] Busitema Univ, Dept Chem, POB 236, Tororo, Uganda</t>
  </si>
  <si>
    <t>Chinese Academy of Sciences; Research Center for Eco-Environmental Sciences (RCEES); Chinese Academy of Sciences; University of Chinese Academy of Sciences, CAS; Jianghan University; National Marine Environmental Forecasting Center</t>
  </si>
  <si>
    <t>Zhang, QH (corresponding author), Chinese Acad Sci, Res Ctr Ecoenvironm Sci, State Key Lab Environm Chem &amp; Ecotoxicol, Beijing 100085, Peoples R China.</t>
  </si>
  <si>
    <t>qhzhang@rcees.ac.cn</t>
  </si>
  <si>
    <t>MATSIKO, JULIUS/AAD-7317-2019; Zhang, Qinghua/L-7652-2019; Fu, Jianjie/ABI-2640-2020; Wang, Pu/HGE-1628-2022</t>
  </si>
  <si>
    <t>Zhang, Qinghua/0000-0001-9086-7000; Fu, Jianjie/0000-0002-6373-0719</t>
  </si>
  <si>
    <t>National Natural Science Foundation of China [41676183, 21777184, 21777186, 91743206]; National Key Research and Development Program of China [2017YFC1600301, 2018YFC0830802]; Eco-environmental Excellent Innovation Projects of Research Center for Eco-Environmental Sciences [RCEES-EEI-2019-01]</t>
  </si>
  <si>
    <t>National Natural Science Foundation of China(National Natural Science Foundation of China (NSFC)); National Key Research and Development Program of China; Eco-environmental Excellent Innovation Projects of Research Center for Eco-Environmental Sciences</t>
  </si>
  <si>
    <t>This study was supported by National Natural Science Foundation of China (41676183, 21777184, 21777186 and 91743206), National Key Research and Development Program of China (2017YFC1600301 and 2018YFC0830802) and Eco-environmental Excellent Innovation Projects of Research Center for Eco-Environmental Sciences (RCEES-EEI-2019-01). We appreciate the support of Chinese Arctic and Antarctic Administration and Polar Research Institute of China for the arrangement during Chinese Antarctic Expedition. Special thanks to Lin Zhang from National Marine Environmental Forecasting Center and Guangshui Na from National Marine Environmental Monitoring Center for their sampling assistance.</t>
  </si>
  <si>
    <t>10.1016/j.scitotenv.2020.137557</t>
  </si>
  <si>
    <t>LD0PY</t>
  </si>
  <si>
    <t>WOS:000525736600102</t>
  </si>
  <si>
    <t>Nash, M; Nielsen, H</t>
  </si>
  <si>
    <t>Nash, Meredith; Nielsen, Hanne</t>
  </si>
  <si>
    <t>Gendered Power Relations and Sexual Harassment in Antarctic Science in the Age of #MeToo</t>
  </si>
  <si>
    <t>AUSTRALIAN FEMINIST STUDIES</t>
  </si>
  <si>
    <t>Antarctica; gender; feminism; fieldwork; sexual harassment; STEMM</t>
  </si>
  <si>
    <t>WOMEN</t>
  </si>
  <si>
    <t>Antarctica is a remote, historically masculine place. It is also a workplace, and the human interactions there are connected to power structures and gendered expectations. Today, more than half early career polar researchers are women. However, women in Science, Technology, Engineering, Mathematics, and Medicine (STEMM) are also more likely than men to experience sexual harassment during fieldwork making questions of safety, power, and harassment pertinent. Gender equity initiatives coupled with #MeToo have provided new platforms for reporting sexual harassment and challenging problematic research cultures which position science as meritocratic and gender-neutral. Yet, the impact of #MeToo in Antarctic science is uneven. Following revelations of his harassment of female graduate students in the international media, the termination of Professor David Marchant is widely cited as evidence that #MeToo is positively affecting Antarctic science. We argue it is problematic to focus on individual cases at the expense of the wider culture. We examine the complex historical (e.g. gendered interactions with the Antarctic landscape), cultural (e.g. identity politics), and relational (e.g. gendered power dynamics) tensions underpinning recent #MeToo revelations in Antarctic science with a view to providing more nuanced approaches to structural change.</t>
  </si>
  <si>
    <t>[Nash, Meredith] Univ Tasmania, Sch Social Sci, Hobart, Tas, Australia; [Nielsen, Hanne] Univ Tasmania, Sch Humanities, Hobart, Tas, Australia; [Nielsen, Hanne] Univ Tasmania, Inst Marine &amp; Antarctic Studies, Hobart, Tas, Australia</t>
  </si>
  <si>
    <t>University of Tasmania; University of Tasmania; University of Tasmania</t>
  </si>
  <si>
    <t>Nash, M (corresponding author), Univ Tasmania, Sch Social Sci, Hobart, Tas, Australia.</t>
  </si>
  <si>
    <t>Meredith.Nash@utas.edu.au</t>
  </si>
  <si>
    <t>Nash, Meredith/O-6178-2019; Nielsen, Hanne E F/I-4472-2014</t>
  </si>
  <si>
    <t>Nash, Meredith/0000-0002-7429-4924; Nielsen, Hanne E F/0000-0002-2761-7727</t>
  </si>
  <si>
    <t>0816-4649</t>
  </si>
  <si>
    <t>1465-3303</t>
  </si>
  <si>
    <t>AUST FEMINIST STUD</t>
  </si>
  <si>
    <t>Aust. Fem. Stud.</t>
  </si>
  <si>
    <t>10.1080/08164649.2020.1774864</t>
  </si>
  <si>
    <t>Women's Studies</t>
  </si>
  <si>
    <t>PE7QU</t>
  </si>
  <si>
    <t>WOS:000543649600001</t>
  </si>
  <si>
    <t>King, DH; Wasley, J; Ashcroft, MB; Ryan-Colton, E; Lucieer, A; Chisholm, LA; Robinson, SA</t>
  </si>
  <si>
    <t>King, Diana H.; Wasley, Jane; Ashcroft, Michael B.; Ryan-Colton, Ellen; Lucieer, Arko; Chisholm, Laurie A.; Robinson, Sharon A.</t>
  </si>
  <si>
    <t>Semi-Automated Analysis of Digital Photographs for Monitoring East Antarctic Vegetation</t>
  </si>
  <si>
    <t>FRONTIERS IN PLANT SCIENCE</t>
  </si>
  <si>
    <t>Antarctica; moss; vegetation cover; vegetation health; climate change; monitoring; OBIA; RGB</t>
  </si>
  <si>
    <t>OBJECT-BASED CLASSIFICATION; LAND-COVER CHANGE; IMAGE-ANALYSIS; UNMANNED AIRCRAFT; MOSS; SEGMENTATION; UAV; DELINEATION; CALIBRATION; TEXTURE</t>
  </si>
  <si>
    <t>Climate change is affecting Antarctica and minimally destructive long-term monitoring of its unique ecosystems is vital to detect biodiversity trends, and to understand how change is affecting these communities. The use of automated or semi-automated methods is especially valuable in harsh polar environments, as access is limited and conditions extreme. We assessed moss health and cover at six time points between 2003 and 2014 at two East Antarctic sites. Semi-automatic object-based image analysis (OBIA) was used to classify digital photographs using a set of rules based on digital red, green, blue (RGB) and hue-saturation-intensity (HSI) value thresholds, assigning vegetation to categories of healthy, stressed or moribund moss and lichens. Comparison with traditional visual estimates showed that estimates of percent cover using semi-automated OBIA classification fell within the range of variation determined by visual methods. Overall moss health, as assessed using the mean percentages of healthy, stressed and moribund mosses within quadrats, changed over the 11 years at both sites. A marked increase in stress and decline in health was observed across both sites in 2008, followed by recovery to baseline levels of health by 2014 at one site, but with significantly more stressed or moribund moss remaining within the two communities at the other site. Our results confirm that vegetation cover can be reliably estimated using semi-automated OBIA, providing similar accuracy to visual estimation by experts. The resulting vegetation cover estimates provide a sensitive measure to assess change in vegetation health over time and have informed a conceptual framework for the changing condition of Antarctic mosses. In demonstrating that this method can be used to monitor ground cover vegetation at small scales, we suggest it may also be suitable for other extreme environments where repeat monitoring via images is required.</t>
  </si>
  <si>
    <t>[King, Diana H.; Wasley, Jane; Ashcroft, Michael B.; Ryan-Colton, Ellen; Chisholm, Laurie A.; Robinson, Sharon A.] Univ Wollongong, Ctr Sustainable Ecosyst Solut, Sch Earth Atmospher &amp; Life Sci, Wollongong, NSW, Australia; [King, Diana H.; Robinson, Sharon A.] Univ Wollongong, Global Challenges Program, Wollongong, NSW, Australia; [Wasley, Jane] Australian Antarctic Div, Antarctic Conservat &amp; Management, Kingston, Tas, Australia; [Ryan-Colton, Ellen] Charles Darwin Univ, Res Inst Environm &amp; Livelihoods, Alice Springs, NT, Australia; [Lucieer, Arko] Univ Tasmania, Coll Sci &amp; Engn, Sch Technol Environm &amp; Design, Hobart, Tas, Australia</t>
  </si>
  <si>
    <t>University of Wollongong; University of Wollongong; Australian Antarctic Division; Charles Darwin University; University of Tasmania</t>
  </si>
  <si>
    <t>King, DH (corresponding author), Univ Wollongong, Ctr Sustainable Ecosyst Solut, Sch Earth Atmospher &amp; Life Sci, Wollongong, NSW, Australia.;King, DH (corresponding author), Univ Wollongong, Global Challenges Program, Wollongong, NSW, Australia.</t>
  </si>
  <si>
    <t>dhk442@uowmail.edu.au</t>
  </si>
  <si>
    <t>King, Diana/K-1061-2019; Ryan-Colton, Ellen/HKV-0815-2023; Wasley, Jane/KHX-4880-2024; Lucieer, Arko/F-1247-2013; Robinson, Sharon/B-2683-2008</t>
  </si>
  <si>
    <t>King, Diana/0000-0001-6313-4450; Lucieer, Arko/0000-0002-9468-4516; Robinson, Sharon/0000-0002-7130-9617; Wasley, Jane/0000-0001-9379-664X</t>
  </si>
  <si>
    <t>Australian Research Council [DP110101714, DP180100113]; University of Wollongong's Global Challenges Program as part of the Sustaining Coastal and Marine Zones challenge; Australian Postgraduate Award/Research Training Program Scholarship; Antarctic Science Grants [2780, 1313, 3042, 3130, 4046]</t>
  </si>
  <si>
    <t>Australian Research Council(Australian Research Council); University of Wollongong's Global Challenges Program as part of the Sustaining Coastal and Marine Zones challenge; Australian Postgraduate Award/Research Training Program Scholarship; Antarctic Science Grants</t>
  </si>
  <si>
    <t>Funding was provided by the Australian Research Council DP110101714 and DP180100113, Antarctic Science Grants 2780, 1313, 3042, 3129, 3130, and 4046. We acknowledge financial support from the University of Wollongong's Global Challenges Program as part of the Sustaining Coastal and Marine Zones challenge. DK was supported by an Australian Postgraduate Award/Research Training Program Scholarship.</t>
  </si>
  <si>
    <t>1664-462X</t>
  </si>
  <si>
    <t>FRONT PLANT SCI</t>
  </si>
  <si>
    <t>Front. Plant Sci.</t>
  </si>
  <si>
    <t>JUN 9</t>
  </si>
  <si>
    <t>10.3389/fpls.2020.00766</t>
  </si>
  <si>
    <t>MD2NI</t>
  </si>
  <si>
    <t>WOS:000543809900001</t>
  </si>
  <si>
    <t>Manna, V; Malfatti, F; Banchi, E; Cerino, F; De Pascale, F; Franzo, A; Schiavon, R; Vezzi, A; Del Negro, P; Celussi, M</t>
  </si>
  <si>
    <t>Manna, Vincenzo; Malfatti, Francesca; Banchi, Elisa; Cerino, Fedetica; De Pascale, Fabio; Franzo, Annalisa; Schiavon, Riccardo; Vezzi, Alessandro; Del Negro, Paola; Celussi, Mauro</t>
  </si>
  <si>
    <t>Prokaryotic Response to Phytodetritus-Derived Organic Material in Epi- and Mesopelagic Antarctic Waters</t>
  </si>
  <si>
    <t>particulate organic matter; particle-attached; free-living; 16S rRNA; microbial community; extracellular enzymes; carbon cycle; Southern Ocean</t>
  </si>
  <si>
    <t>ROSS SEA; SOUTHERN-OCEAN; MARINE SNOW; BACTERIAL COMMUNITIES; MICROBIAL COMMUNITIES; CARBON; PHYTOPLANKTON; DYNAMICS; COLONIZATION; PHAEOCYSTIS</t>
  </si>
  <si>
    <t>Particulate organic matter (POM) export represents the underlying principle of the biological carbon pump, driving the carbon flux from the sunlit to the dark ocean. The efficiency of this process is tightly linked to the prokaryotic community, as &gt;70% of POM respiration is carried out by particle-associated prokaryotes. In the Ross Sea, one of the most productive areas of the Southern Ocean, up to 50% of the surface primary production is exported to the mesopelagic ocean as POM. Recent evidence suggests that a significant fraction of the POM in this area is composed of intact phytoplankton cells. During austral summer 2017, we set up bottle enrichment experiments in which we amended free-living surface and deep prokaryotic communities with organic matter pools generated from native microplankton, mimicking the particle export that may derive from mild (1 mu g of ChlorophyllaL(-1)) and intense (10 mu g of ChlorophyllaL(-1)) phytoplankton bloom. Over a course of 4 days, we followed free-living and particle-attached prokaryotes' abundance, the degradation rates of polysaccharides, proteins and lipids, heterotrophic production as well as inorganic carbon utilization and prokaryotic community structure dynamics. Our results showed that several rare or undetected taxa in the initial community became dominant during the time course of the incubations and that different phytodetritus-derived organic matter sources induced specific changes in microbial communities, selecting for peculiar degradation and utilization processes spectra. Moreover, the features of the supplied detritus (in terms of microplankton taxa composition) determined different colonization dynamics and organic matter processing modes. Our study provides insights into the mechanisms underlying the prokaryotic utilization of phytodetritus, a significant pool of organic matter in the dark ocean.</t>
  </si>
  <si>
    <t>[Manna, Vincenzo; Malfatti, Francesca; Banchi, Elisa; Cerino, Fedetica; Franzo, Annalisa; Del Negro, Paola; Celussi, Mauro] Ist Nazl Oceanog &amp; Geofis Sperimentale OGS, Oceanog Div, Trieste, Italy; [Manna, Vincenzo; Malfatti, Francesca] Univ Trieste, Dept Life Sci, Trieste, Italy; [Malfatti, Francesca] Univ Calif San Diego, Scripps Inst Oceanog, San Diego, CA 92103 USA; [De Pascale, Fabio; Schiavon, Riccardo; Vezzi, Alessandro] Univ Padua, Dept Biol, Padua, Italy; [Schiavon, Riccardo] BMR Genom, Padua, Italy</t>
  </si>
  <si>
    <t>Istituto Nazionale di Oceanografia e di Geofisica Sperimentale; University of Trieste; University of California System; University of California San Diego; Scripps Institution of Oceanography; University of Padua</t>
  </si>
  <si>
    <t>Celussi, M (corresponding author), Ist Nazl Oceanog &amp; Geofis Sperimentale OGS, Oceanog Div, Trieste, Italy.</t>
  </si>
  <si>
    <t>mcelussi@inogs.it</t>
  </si>
  <si>
    <t>VEZZI, ALESSANDRO/AAB-7686-2022</t>
  </si>
  <si>
    <t>VEZZI, ALESSANDRO/0000-0002-8629-6644; Banchi, Elisa/0000-0002-6598-0447; Cerino, Federica/0000-0002-9191-9957; Celussi, Mauro/0000-0002-5660-6832; Franzo, Annalisa/0000-0002-4127-1558; Manna, Vincenzo/0000-0002-9532-1485; De Pascale, Fabio/0000-0002-8390-1300</t>
  </si>
  <si>
    <t>Italian Ministry for Education, University and Research; project PRIAMO (PRokaryotes Interactions with Antarctic phytodetritus: A Micro- to macroscale voyage from the surface to the deep Ocean) [PNRA16_00103]</t>
  </si>
  <si>
    <t>Italian Ministry for Education, University and Research(Ministry of Education, Universities and Research (MIUR)); project PRIAMO (PRokaryotes Interactions with Antarctic phytodetritus: A Micro- to macroscale voyage from the surface to the deep Ocean)</t>
  </si>
  <si>
    <t>This study was supported by the project PRIAMO (PRokaryotes Interactions with Antarctic phytodetritus: A Micro- to macroscale voyage from the surface to the deep Ocean) in the framework of the Italian Program for Research in Antarctica (Project No. PNRA16_00103), with funds from the Italian Ministry for Education, University and Research.</t>
  </si>
  <si>
    <t>10.3389/fmicb.2020.01242</t>
  </si>
  <si>
    <t>MC8EQ</t>
  </si>
  <si>
    <t>WOS:000543513400001</t>
  </si>
  <si>
    <t>Chartier, AT; Vierinen, J; Jee, G</t>
  </si>
  <si>
    <t>Chartier, Alex T.; Vierinen, Juha; Jee, Geonhwa</t>
  </si>
  <si>
    <t>First observations of the McMurdo-South Pole oblique ionospheric HF channel</t>
  </si>
  <si>
    <t>PATCHES</t>
  </si>
  <si>
    <t>We present the first observations from a new low-cost oblique ionosonde located in Antarctica. The transmitter is located at McMurdo Station, Ross Island, and the receiver at Amundsen-Scott Station, South Pole. The system was demonstrated successfully in March 2019, with the experiment yielding over 30 000 ionospheric echoes over a 2-week period. These data indicate the presence of a stable E layer and a sporadic and variable F layer with dramatic spread F of sometimes more than 500 km (in units of virtual height). The most important ionospheric parameter, NmF2, validates well against the Jang Bogo Vertical Incidence Pulsed Iono-spheric (VIPIR) ionosonde (observing more than 1000 km away). GPS-derived TEC data from the Multi-Instrument Data Analysis Software (MIDAS) algorithm can be considered necessary but insufficient to predict 7.2MHz propagation between McMurdo and the South Pole, yielding a true positive in 40% of cases and a true negative in 73% of cases. The success of this pilot experiment at a total grant cost of USD 116 000 and an equipment cost of similar to USD 15 000 indicates that a large multi-static network could be built to provide unprecedented observational coverage of the Antarctic ionosphere.</t>
  </si>
  <si>
    <t>[Chartier, Alex T.] Johns Hopkins Univ, Appl Phys Lab, Space Explorat Sect, Laurel, MD 20723 USA; [Vierinen, Juha] Arctic Univ Norway, Univ Tromso, Dept Phys &amp; Technol, Tromso, Norway; [Jee, Geonhwa] Korea Polar Res Inst, Incheon 21990, South Korea</t>
  </si>
  <si>
    <t>Johns Hopkins University; Johns Hopkins University Applied Physics Laboratory; UiT The Arctic University of Tromso; Korea Polar Research Institute (KOPRI)</t>
  </si>
  <si>
    <t>Chartier, AT (corresponding author), Johns Hopkins Univ, Appl Phys Lab, Space Explorat Sect, Laurel, MD 20723 USA.</t>
  </si>
  <si>
    <t>alex.chartier@jhuapl.edu</t>
  </si>
  <si>
    <t>Chartier, Alex T./GPC-8325-2022</t>
  </si>
  <si>
    <t>Chartier, Alex T./0000-0002-4215-031X</t>
  </si>
  <si>
    <t>National Science Foundation, Office of Polar Programs [OPP-1643773]; National Science Foundation, Division of Atmospheric and Geospace Sciences [AGS-1934973, AGS-1341885]; Korea Polar Research Institute [PE20100]</t>
  </si>
  <si>
    <t>National Science Foundation, Office of Polar Programs(National Science Foundation (NSF)NSF - Directorate for Geosciences (GEO)); National Science Foundation, Division of Atmospheric and Geospace Sciences(National Science Foundation (NSF)); Korea Polar Research Institute(Korea Polar Research Institute of Marine Research Placement (KOPRI))</t>
  </si>
  <si>
    <t>This research has been supported by the National Science Foundation, Office of Polar Programs (grant no. OPP-1643773), the National Science Foundation, Division of Atmospheric and Geospace Sciences (grant no. AGS-1341885), the National Science Foundation, Division of Atmospheric and Geospace Sciences (grant no. AGS-1934973), and the Korea Polar Research Institute (grant no. PE20100).</t>
  </si>
  <si>
    <t>10.5194/amt-13-3023-2020</t>
  </si>
  <si>
    <t>LZ8FV</t>
  </si>
  <si>
    <t>WOS:000541457400002</t>
  </si>
  <si>
    <t>Ladant, JB; Poulsen, CJ; Fluteau, F; Tabor, CR; MacLeod, KG; Martin, EE; Haynes, SJ; Rostami, MA</t>
  </si>
  <si>
    <t>Ladant, Jean-Baptiste; Poulsen, Christopher J.; Fluteau, Frederic; Tabor, Clay R.; MacLeod, Kenneth G.; Martin, Ellen E.; Haynes, Shannon J.; Rostami, Masoud A.</t>
  </si>
  <si>
    <t>Paleogeographic controls on the evolution of Late Cretaceous ocean circulation</t>
  </si>
  <si>
    <t>NEODYMIUM ISOTOPIC COMPOSITION; EOCENE THERMAL MAXIMUM; EQUATORIAL ATLANTIC; SOUTH-AMERICA; DRAKE PASSAGE; CLIMATE SENSITIVITY; ANTARCTIC PENINSULA; LABRADOR MARGIN; HEAT-TRANSPORT; DEEP-WATER</t>
  </si>
  <si>
    <t>Understanding of the role of ocean circulation on climate during the Late Cretaceous is contingent on the ability to reconstruct its modes and evolution. Geochemical proxies used to infer modes of past circulation provide conflicting interpretations for the reorganization of the ocean circulation through the Late Cretaceous. Here, we present climate model simulations of the Cenomanian (100.5-93.9 Ma) and Maastrichtian (72.1-66.1 Ma) stages of the Cretaceous with the CCSM4 earth system model. We focus on intermediate (500-1500 m) and deep (&gt; 1500 m) ocean circulation and show that while there is continuous deep-water production in the southwestern Pacific, major circulation changes occur between the Cenomanian and Maastrichtian. Opening of the Atlantic and Southern Ocean, in particular, drives a transition from a mostly zonal circulation to enhanced meridional exchange. Using additional experiments to test the effect of deepening of major ocean gateways in the Maastrichtian, we demonstrate that the geometry of these gateways likely had a considerable impact on ocean circulation. We further compare simulated circulation results with compilations of epsilon(Nd) records and show that simulated changes in Late Cretaceous ocean circulation are reasonably consistent with proxy-based inferences. In our simulations, consistency with the geologic history of major ocean gateways and absence of shift in areas of deep-water formation suggest that Late Cretaceous trends in epsilon(Nd) values in the Atlantic and southern Indian oceans were caused by the subsidence of volcanic provinces and opening of the Atlantic and Southern oceans rather than changes in deep-water formation areas and/or reversal of deep-water fluxes. However, the complexity in interpreting Late Cretaceous epsilon(Nd) values underscores the need for new records as well as specific epsilon(Nd) modeling to better discriminate between the various plausible theories of ocean circulation change during this period.</t>
  </si>
  <si>
    <t>[Ladant, Jean-Baptiste; Poulsen, Christopher J.] Univ Michigan, Dept Earth &amp; Environm Sci, Ann Arbor, MI 48109 USA; [Fluteau, Frederic] Univ Paris, CNRS, Inst Phys Globe Paris, F-75005 Paris, France; [Tabor, Clay R.] Univ Connecticut, Dept Geosci, Storrs, CT USA; [MacLeod, Kenneth G.] Univ Missouri, Dept Geol Sci, Columbia, MO USA; [Martin, Ellen E.] Univ Florida, Dept Geosci, Williamson Hall 362, Gainesville, FL USA; [Haynes, Shannon J.] Princeton Univ, Dept Geosci, Guyot Hall, Princeton, NJ 08544 USA; [Rostami, Masoud A.] Univ Nevada, Ecol Evolut &amp; Conservat Biol Dept, Reno, NV 89557 USA</t>
  </si>
  <si>
    <t>University of Michigan System; University of Michigan; Centre National de la Recherche Scientifique (CNRS); Universite Paris Cite; University of Connecticut; University of Missouri System; University of Missouri Columbia; State University System of Florida; University of Florida; Princeton University; Nevada System of Higher Education (NSHE); University of Nevada Reno</t>
  </si>
  <si>
    <t>Ladant, JB (corresponding author), Univ Michigan, Dept Earth &amp; Environm Sci, Ann Arbor, MI 48109 USA.</t>
  </si>
  <si>
    <t>jbladant@umich.edu</t>
  </si>
  <si>
    <t>MacLeod, Kenneth Gillies/C-4042-2017; MacLeod, Kenneth/GWU-8940-2022; Poulsen, Chris/C-6213-2009; fluteau, frederic/A-7523-2011</t>
  </si>
  <si>
    <t>MacLeod, Kenneth Gillies/0000-0002-6016-0837; Tabor, Clay/0000-0002-9915-6157; Poulsen, Chris/0000-0001-5104-4271; Haynes, Shannon/0000-0002-0777-3693; fluteau, frederic/0000-0002-9952-7325; Martin, Ellen/0000-0003-1709-2493</t>
  </si>
  <si>
    <t>Heising-Simons Foundation [2016-05]; U.S. National Science Foundation [OCE-1261562]</t>
  </si>
  <si>
    <t>Heising-Simons Foundation; U.S. National Science Foundation(National Science Foundation (NSF))</t>
  </si>
  <si>
    <t>This research has been supported by the Heising-Simons Foundation (grant no. 2016-05) and the U.S. National Science Foundation (grant no. OCE-1261562).</t>
  </si>
  <si>
    <t>10.5194/cp-16-973-2020</t>
  </si>
  <si>
    <t>LZ8GJ</t>
  </si>
  <si>
    <t>WOS:000541458800001</t>
  </si>
  <si>
    <t>Faucher, G; Riebesell, U; Bach, LT</t>
  </si>
  <si>
    <t>Faucher, Giulia; Riebesell, Ulf; Bach, Lennart Thomas</t>
  </si>
  <si>
    <t>Can morphological features of coccolithophores serve as a reliable proxy to reconstruct environmental conditions of the past?</t>
  </si>
  <si>
    <t>EOCENE THERMAL MAXIMUM; CALCAREOUS NANNOPLANKTON RESPONSE; EMILIANIA-HUXLEYI; SIZE VARIATIONS; GEPHYROCAPSA OCEANICA; CALCIFICATION; NANNOFOSSILS; ACIDIFICATION; CARBONATE; EVOLUTION</t>
  </si>
  <si>
    <t>Morphological changes in coccoliths, tiny calcite platelets covering the outer surface of coccolithophores, can be induced by physiological responses to environmental changes. Coccoliths recovered from sedimentary successions may therefore provide information on paleo-environmental conditions prevailing at the time when the coccolithophores were alive. To calibrate the biomineralization responses of ancient coccolithophore to environmental changes, studies often compared the biological responses of living coccolithophore species with paleo-data from calcareous nannofossils. However, there is uncertainty whether the morphological responses of living coccolithophores are representative of those of the fossilized ancestors. To investigate this, we exposed four living coccolithophore species (Emiliania huxleyi, Gephyrocapsa oceanica, Coccolithus pelagicus subsp. braarudii, and Pleurochrysis carterae) that have been evolutionarily distinct for hundreds of thousands to millions of years, to a range of environmental conditions (i.e., changing light intensity, Mg/Ca ratio, nutrient availability, temperature, and carbonate chemistry) and evaluated their responses in coccolith morphology (i.e., size, length, width, malformation). The motivation for this study was to test if there is a consistent morphological response of the four species to changes in any of the tested abiotic environmental factors. If this was the case, then this could suggest that coccolith morphology can serve as a paleo-proxy for that specific factor because this response is conserved across species that have been evolutionary distinct over geological timescales. However, we found that the four species responded differently to changing light intensity, Mg/Ca ratio, nutrient availability, and temperature in terms of coccolith morphology. The lack of a common response reveals the difficulties in using coccolith morphology as a paleo-proxy for these environmental drivers. However, a common response was observed under changing seawater carbonate chemistry (i.e., rising CO2), which consistently induced malformations. This commonality provides some confidence that malformations found in the sedimentary record could be indicative of adverse carbonate chemistry conditions.</t>
  </si>
  <si>
    <t>[Faucher, Giulia] Univ Milan, Dipartimento Sci Terra Ardito Desio, I-20133 Milan, Italy; [Riebesell, Ulf] GEOMAR Helmholtz Ctr Ocean Res Kiel, Biol Oceanog, D-24105 Kiel, Germany; [Bach, Lennart Thomas] Univ Tasmania, Inst Marine &amp; Antarctic Studies, Hobart, Tas, Australia</t>
  </si>
  <si>
    <t>University of Milan; Helmholtz Association; GEOMAR Helmholtz Center for Ocean Research Kiel; University of Tasmania</t>
  </si>
  <si>
    <t>Faucher, G (corresponding author), Univ Milan, Dipartimento Sci Terra Ardito Desio, I-20133 Milan, Italy.</t>
  </si>
  <si>
    <t>giulia.faucher@unimi.it</t>
  </si>
  <si>
    <t>FAUCHER, GIULIA/0000-0001-8930-477X; Bach, Lennart/0000-0003-0202-3671</t>
  </si>
  <si>
    <t>MIUR-PRIN 2011 (Ministero dell'Istruzione, dell'Universita e della Ricerca-Progetti di Ricerca di Interesse Nazionale) [PRIN 2017RX9XXXY]; SIR-2014 (Ministero dell'Istruzione, dell'Universita e della Ricerca-Scientific Independence of young researchers) [SIR-2014 RBSI14UU81]</t>
  </si>
  <si>
    <t>MIUR-PRIN 2011 (Ministero dell'Istruzione, dell'Universita e della Ricerca-Progetti di Ricerca di Interesse Nazionale); SIR-2014 (Ministero dell'Istruzione, dell'Universita e della Ricerca-Scientific Independence of young researchers)</t>
  </si>
  <si>
    <t>This research was funded through MIUR-PRIN 2011 (Ministero dell'Istruzione, dell'Universita e della Ricerca-Progetti di Ricerca di Interesse Nazionale) for Elisabetta Erba (grant no. PRIN 2017RX9XXXY) and through SIR-2014 (Ministero dell'Istruzione, dell'Universita e della Ricerca-Scientific Independence of young researchers) for Cinzia Bottini (grant no. SIR-2014 RBSI14UU81).</t>
  </si>
  <si>
    <t>10.5194/cp-16-1007-2020</t>
  </si>
  <si>
    <t>WOS:000541458800002</t>
  </si>
  <si>
    <t>Puigcorbé, V; Masqué, P; Le Moigne, FAC</t>
  </si>
  <si>
    <t>Puigcorbe, Viena; Masque, Pere; Le Moigne, Frederic A. C.</t>
  </si>
  <si>
    <t>Global database of ratios of particulate organic carbon to thorium-234 in the ocean: improving estimates of the biological carbon pump</t>
  </si>
  <si>
    <t>PARTICLE-SIZE DISTRIBUTIONS; CENTRAL EQUATORIAL PACIFIC; DRIFTING SEDIMENT TRAP; ANTARCTIC POLAR FRONT; ATLANTIC TIME-SERIES; NORTHERN BARENTS SEA; POC EXPORT FLUXES; SOUTHERN-OCEAN; COMMUNITY COMPOSITION; SURFACE WATERS</t>
  </si>
  <si>
    <t>The ocean's biological carbon pump (BCP) plays a major role in the global carbon cycle. A fraction of the photosynthetically fixed organic carbon produced in surface waters is exported below the sunlit layer as settling particles (e.g., marine snow). Since the seminal works on the BCP, global estimates of the global strength of the BCP have improved but large uncertainties remain (from 5 to 20 GtCyr(-1) exported below the euphotic zone or mixed-layer depth). The Th-234 technique is widely used to measure the downward export of particulate organic carbon (POC). This technique has the advantage of allowing a downward flux to be determined by integrating the deficit of Th-234 in the upper water column and coupling it to the POC/Th-234 ratio in sinking particles. However, the factors controlling the regional, temporal, and depth variations of POC/Th-234 ratios are poorly understood. We present a database of 9318 measurements of the POC/Th-234 ratio in the ocean, from the surface down to &gt; 5500 m, sampled on three size fractions (similar to&gt; 0.7 mu m, similar to 1-50 mu m, similar to&gt; 50 mu m), collected with in situ pumps and bottles, and also from bulk particles collected with sediment traps. The dataset is archived in the data repository PANGAEA (R) under https://doi.org/10.1594/PANGAEA.911424 (Puigcorbe, 2019). The samples presented in this dataset were collected between 1989 and 2018, and the data have been obtained from published papers and open datasets available online. Unpublished data have also been included. Multiple measurements can be found in most of the open ocean provinces. However, there is an uneven distribution of the data, with some areas highly sampled (e.g., China Sea, Bermuda Atlantic Time Series station) compared to some others that are not well represented, such as the southeastern Atlantic, the south Pacific, and the south Indian oceans. Some coastal areas, although in a much smaller number, are also included in this global compilation. Globally, based on different depth horizons and climate zones, the median POC/Th-234 ratios have a wide range, from 0.6 to 18 mu mol dpm(-1).</t>
  </si>
  <si>
    <t>[Puigcorbe, Viena; Masque, Pere] Edith Cowan Univ, Sch Sci, Ctr Marine Ecosyst Res, Joondalup, WA 6027, Australia; [Masque, Pere] Univ Autonoma Barcelona, Inst Ciencia &amp; Tecnol Ambientals, Cerdanyola Del Valles 08193, Spain; [Masque, Pere] Univ Autonoma Barcelona, Dept Fis, Cerdanyola Del Valles 08193, Spain; [Le Moigne, Frederic A. C.] Aix Marseille Univ, CNRS, UM110, Mediterranean Inst Oceanog,IRD, F-13288 Marseille, France; [Masque, Pere] IAEA, 4a Quai Antoine 1Er, Principality Of Monaco 98000, Monaco</t>
  </si>
  <si>
    <t>Edith Cowan University; Autonomous University of Barcelona; Autonomous University of Barcelona; Centre National de la Recherche Scientifique (CNRS); Aix-Marseille Universite; Institut de Recherche pour le Developpement (IRD)</t>
  </si>
  <si>
    <t>Puigcorbé, V (corresponding author), Edith Cowan Univ, Sch Sci, Ctr Marine Ecosyst Res, Joondalup, WA 6027, Australia.</t>
  </si>
  <si>
    <t>viena.puigcorbe@outlook.com</t>
  </si>
  <si>
    <t>Masque, Pere/AAC-9349-2022; Masque, Pere/B-7379-2008; Puigcorbé, Viena/I-9349-2016</t>
  </si>
  <si>
    <t>Masque, Pere/0000-0002-1789-320X; Masque, Pere/0000-0002-1789-320X; Puigcorbé, Viena/0000-0001-5892-2305</t>
  </si>
  <si>
    <t>Edith Cowan University [G1003879]</t>
  </si>
  <si>
    <t>Edith Cowan University</t>
  </si>
  <si>
    <t>This research has been supported by the Edith Cowan University (grant no. G1003879).</t>
  </si>
  <si>
    <t>10.5194/essd-12-1267-2020</t>
  </si>
  <si>
    <t>LZ8GV</t>
  </si>
  <si>
    <t>WOS:000541460000001</t>
  </si>
  <si>
    <t>Jang, J; Park, J; Ahn, S; Park, KT; Ha, SY; Park, J; Cho, KH</t>
  </si>
  <si>
    <t>Jang, Jiyi; Park, Jiyeon; Ahn, Seohee; Park, Ki-Tae; Ha, Sun-Yong; Park, Jongkwan; Cho, Kyung Hwa</t>
  </si>
  <si>
    <t>Molecular-Level Chemical Characterization of Dissolved Organic Matter in the Ice Shelf Systems of King George Island, Antarctica</t>
  </si>
  <si>
    <t>dissolved organic matter; terrestrial DOM; glacier runoff; ice shelf systems; King George Island; Orbitrap</t>
  </si>
  <si>
    <t>MASS-SPECTROMETRY; MARIAN COVE; FLUORESCENCE SPECTROSCOPY; WATERS; SEA; ELECTROSPRAY; CARBON; GLACIER; SPECTRA; ACCUMULATION</t>
  </si>
  <si>
    <t>Antarctic shelf systems play an important role in organic matter circulation on Earth; hence, identifying the characteristics of dissolved organic matter (DOM) can be a good indicator for understanding its origin, as well as climate change. In this study, to identify the characteristics of DOM in the ice shelf systems, surface water was collected from the open sea (OS) and Marian cove (fjord, FJ). Although there were no differences in DOM characteristics between sampling sites in the quantitative analyses, the DOM in the surface water of each region seemed to be more affected by terrestrial than marine biological sources in optical and molecular properties. This finding indicates that the terrestrial DOM related to mosses based on the results of molecular properties: high levels of lipid-like (35-39%) and unsaturated hydrocarbon-like (UH; 27-34%) in both the OS and the FJ regions and significantly higher tannin-like substance and condensed aromatic structures in the FJ than in the OS region. When comparing the FJ transect samples, those nearest to a glacier (FJ1; 0.93 km from the glacier) showed relatively low salinity, high dissolved organic carbon, and high chromophoric DOM, indicating that terrestrial DOM (possibly produced by moss) inflow occurred with the runoff from the freshly melting land ice and glacier. However, no significant differences in molecular composition were detected, suggesting that terrestrial DOM is introduced into the ice shelf systems by melting land ice, and glacier runoff could be a major source of DOM-rich seawater during austral fall when low marine biological activity occurs. This study has a great significance as background data for DOM characteristics in the ice shelf systems due to the enhanced biological activity during the austral summer.</t>
  </si>
  <si>
    <t>[Jang, Jiyi; Cho, Kyung Hwa] Ulsan Natl Inst Sci &amp; Technol, Sch Urban &amp; Environm Engn, Ulsan, South Korea; [Park, Jiyeon; Ahn, Seohee; Park, Ki-Tae] Korea Polar Res Inst, Div Polar Climate Sci, Incheon, South Korea; [Ahn, Seohee] Univ Sci &amp; Technol, Major Polar Sci, Daejeon, South Korea; [Ha, Sun-Yong] Korea Polar Res Inst, Div Polar Ocean Sci, Incheon, South Korea; [Park, Jongkwan] Changwon Natl Univ, Sch Civil Environm &amp; Chem Engn, Chang Won, South Korea</t>
  </si>
  <si>
    <t>Ulsan National Institute of Science &amp; Technology (UNIST); Korea Polar Research Institute (KOPRI); University of Science &amp; Technology (UST); Korea Polar Research Institute (KOPRI); Changwon National University</t>
  </si>
  <si>
    <t>Cho, KH (corresponding author), Ulsan Natl Inst Sci &amp; Technol, Sch Urban &amp; Environm Engn, Ulsan, South Korea.;Park, J (corresponding author), Korea Polar Res Inst, Div Polar Climate Sci, Incheon, South Korea.</t>
  </si>
  <si>
    <t>jypark@kopri.re.kr; khcho@unist.ac.kr</t>
  </si>
  <si>
    <t>Park, Ki-Tae/CAF-2480-2022; Cho, Kyunghwa/AAO-7769-2021; Jang, Jiyi/KHW-1549-2024</t>
  </si>
  <si>
    <t>KOPRI projects through the National Research Foundation of Korea - Ministry of Education [PE20060, PE20120]; Basic Science Research Program through the National Research Foundation of Korea - Ministry of Education [2017R1D1A1B04033074]; Global Ph.D. Fellowship Program through the National Research Foundation of Korea - Ministry of Education [2019H1A2A1074315]</t>
  </si>
  <si>
    <t>KOPRI projects through the National Research Foundation of Korea - Ministry of Education; Basic Science Research Program through the National Research Foundation of Korea - Ministry of Education; Global Ph.D. Fellowship Program through the National Research Foundation of Korea - Ministry of Education</t>
  </si>
  <si>
    <t>This research was supported by the KOPRI projects (PE20060 and PE20120), the Basic Science Research Program (No. 2017R1D1A1B04033074), and the Global Ph.D. Fellowship Program (No. 2019H1A2A1074315) through the National Research Foundation of Korea, funded by the Ministry of Education.</t>
  </si>
  <si>
    <t>10.3389/fmars.2020.00339</t>
  </si>
  <si>
    <t>LW2SP</t>
  </si>
  <si>
    <t>WOS:000538994400001</t>
  </si>
  <si>
    <t>Sergi, S; Baudena, A; Cotté, C; Ardyna, M; Blain, S; d'Ovidio, F</t>
  </si>
  <si>
    <t>Sergi, Sara; Baudena, Alberto; Cotte, Cedric; Ardyna, Mathieu; Blain, Stephane; d'Ovidio, Francesco</t>
  </si>
  <si>
    <t>Interaction of the Antarctic Circumpolar Current With Seamounts Fuels Moderate Blooms but Vast Foraging Grounds for Multiple Marine Predators</t>
  </si>
  <si>
    <t>open ocean seamounts; phytoplankton blooms; Antarctic Circumpolar Current; Lagrangian approach; pelagic hotspots</t>
  </si>
  <si>
    <t>SOUTH SANDWICH ISLANDS; PHYTOPLANKTON BIOMASS; ATLANTIC SECTOR; EUDYPTES-CHRYSOLOPHUS; SPATIAL-DISTRIBUTION; IRON FERTILIZATION; ELEPHANT SEALS; PRIMARY PRODUCTIVITY; CHLOROPHYLL-A; POLAR FRONT</t>
  </si>
  <si>
    <t>In the Antarctic Circumpolar Current region of the Southern Ocean, the massive phytoplankton blooms stemming from islands support large trophic chains. Contrary to islands, open ocean seamounts appear to sustain blooms of lesser intensity and, consequently, are expected to play a negligible role in the productivity of this area. Here we revisit this assumption by focusing on a region of the Antarctic Circumpolar Current zone which is massively targeted by marine predators, even if no island fertilizes this area. By combining high resolution bathymetric data, Lagrangian analyses of altimetry-derived velocities and chlorophyll a observations derived from BGC-Argo floats and ocean color images, we reveal that the oligotrophic nature of the study region considered in low chlorophyll a climatological maps hides in reality a much more complex environment. Significant (chlorophyll a in excess of 0.6 mg/m(3)) phytoplankton blooms spread over thousands of kilometers and have bio-optical signatures similar to the ones stemming from island systems. By adopting a Lagrangian approach, we demonstrate that these moderate blooms (i) originate at specific sites where the Antarctic Circumpolar Current interacts with seamounts, and (ii) coincide with foraging areas of five megafauna species. These findings underline the ecological importance of the open ocean subantarctic waters and advocate for a connected vision of future conservation actions along the Antarctic Circumpolar Current.</t>
  </si>
  <si>
    <t>[Sergi, Sara; Baudena, Alberto; Cotte, Cedric; d'Ovidio, Francesco] Sorbonne Univ, CNRS, IRD, MNHN,Lab Oceanog &amp; Climat Expt &amp; Approches Numer, Paris, France; [Baudena, Alberto; Ardyna, Mathieu] Sorbonne Univ, CNRS, Lab Oceanog Villefranche LOV, Villefranche Sur Mer, France; [Ardyna, Mathieu] Stanford Univ, Dept Earth Syst Sci, Stanford, CA 94305 USA; [Blain, Stephane] Sorbonne Univ, CNRS, Lab Oceanog Microbienne LOMIC, Banyuls Sur Mer, France</t>
  </si>
  <si>
    <t>Sorbonne Universite; Museum National d'Histoire Naturelle (MNHN); Centre National de la Recherche Scientifique (CNRS); Institut de Recherche pour le Developpement (IRD); Centre National de la Recherche Scientifique (CNRS); Sorbonne Universite; Stanford University; Sorbonne Universite; Centre National de la Recherche Scientifique (CNRS)</t>
  </si>
  <si>
    <t>Sergi, S (corresponding author), Sorbonne Univ, CNRS, IRD, MNHN,Lab Oceanog &amp; Climat Expt &amp; Approches Numer, Paris, France.</t>
  </si>
  <si>
    <t>sara.sergi@locean-ipsl.upmc.fr</t>
  </si>
  <si>
    <t>Ardyna, Mathieu/N-2027-2018; Cotté, Cédric/Z-3243-2019; d'Ovidio, Francesco/ABA-8461-2021; Cotté, Cédric/AAX-6120-2021; Cotte, Cedric/C-3296-2013; blain, stephane/F-6917-2010</t>
  </si>
  <si>
    <t>Ardyna, Mathieu/0000-0002-4703-6655; Cotté, Cédric/0000-0002-8307-6435; Cotté, Cédric/0000-0002-8307-6435; d'Ovidio, Francesco/0000-0002-9664-7778; blain, stephane/0000-0002-5234-2446; Baudena, Alberto/0000-0002-8890-4324</t>
  </si>
  <si>
    <t>Sorbonne University [ED129]; CNES</t>
  </si>
  <si>
    <t>Sorbonne University; CNES(Centre National D'etudes Spatiales)</t>
  </si>
  <si>
    <t>SS was supported by a Sorbonne University doctoral contract (ED129 Doctoral School of Environmental Sciences). Part of this study was supported by CNES.</t>
  </si>
  <si>
    <t>10.3389/fmars.2020.00416</t>
  </si>
  <si>
    <t>LW2TC</t>
  </si>
  <si>
    <t>WOS:000538995700001</t>
  </si>
  <si>
    <t>Traczyk, R; Meyer-Rochow, VB; Hughes, RM</t>
  </si>
  <si>
    <t>Traczyk, Ryszard; Meyer-Rochow, Victor Benno; Hughes, Robert M.</t>
  </si>
  <si>
    <t>Icefish Adaptations to Climate Change on the South Georgia Island Shelf (Sub-Antarctic)</t>
  </si>
  <si>
    <t>OCEAN SCIENCE JOURNAL</t>
  </si>
  <si>
    <t>Antarctica; global warming; cold and warm year oscillations; fish population; stock assessment</t>
  </si>
  <si>
    <t>OCEAN; KRILL; HISTORY; FISH</t>
  </si>
  <si>
    <t>Icefish populations continue to decline. Historical as well as current over-exploitations of stocks aggravated by climate change are frequently seen as responsible for the decline. However, natural oscillations in Antarctic fish and krill populations associated with natural climatic fluctuations, co-occurring with fisheries exploitation hinder determining the reasons for the population changes and the extent that long-term climate change may play in it. Based on data collected from South Shetland and South Orkney Islands (2956 fish stations) and South Georgia Island (2460 fish stations) covering a period from 1976 to 2017 we sought to relate decreases in krill and icefish populations to predator-prey interactions coupled with global warming influences. Our results show that the situation is complex and that many factors, e.g., competition between different icefish species, food choice and availability, and growth parameters, need to be considered.Pseudochaenichthys georgianusandChaenocephalus aceratusbiomasses, for example, oscillate in opposite directions and the two species differ with regard to the ranges they occupy in cold and warm water years. This reduces their competition for food, so that their combined biomasses oscillate little with thermal changes.</t>
  </si>
  <si>
    <t>[Traczyk, Ryszard] Univ Gdansk, Dept Oceanog &amp; Geog, PL-80309 Gdansk, Poland; [Meyer-Rochow, Victor Benno] Oulu Univ, Dept Ecol &amp; Genet, SF-90140 Oulu, Finland; [Meyer-Rochow, Victor Benno] Andong Natl Univ, Agr Sci &amp; Technol Res Inst, Andong 36729, South Korea; [Hughes, Robert M.] Oregon State Univ, Amnis Opes Inst, Corvallis, OR 97331 USA; [Hughes, Robert M.] Oregon State Univ, Dept Fisheries &amp; Wildlife, Corvallis, OR 97331 USA</t>
  </si>
  <si>
    <t>Fahrenheit Universities; University of Gdansk; University of Oulu; Andong National University; Oregon State University; Oregon State University</t>
  </si>
  <si>
    <t>Meyer-Rochow, VB (corresponding author), Oulu Univ, Dept Ecol &amp; Genet, SF-90140 Oulu, Finland.;Meyer-Rochow, VB (corresponding author), Andong Natl Univ, Agr Sci &amp; Technol Res Inst, Andong 36729, South Korea.</t>
  </si>
  <si>
    <t>meyrow@gmail.com</t>
  </si>
  <si>
    <t>Sea Fisheries Institute, Imperial College, University of London; British Antarctic Survey; University of Gdansk; Basic Science Research Program of the National Research Foundation of Korea (NRF) - Ministry of Education [NRF-2018R1A6A1A03024862]</t>
  </si>
  <si>
    <t>Sea Fisheries Institute, Imperial College, University of London; British Antarctic Survey; University of Gdansk; Basic Science Research Program of the National Research Foundation of Korea (NRF) - Ministry of Education(Ministry of Education (MOE), Republic of KoreaNational Research Foundation of Korea)</t>
  </si>
  <si>
    <t>We thank all those that were involved with the collection of the material, and all who offered help and advice throughout this study. RT further gratefully acknowledges the support received from the Sea Fisheries Institute, Imperial College, University of London, the British Antarctic Survey and the University of Gdansk. For their hospitality during a brief visit in the Austral summer of the year 2000, VBM-R thanks the staff of Poland's Antarctic Arctowski Base and acknowledges the support received from Profesor Chuleui Jung via the Basic Science Research Program of the National Research Foundation of Korea (NRF) funded by the Ministry of Education (NRF-2018R1A6A1A03024862) to complete this study.</t>
  </si>
  <si>
    <t>KOREA INST OCEAN SCIENCE &amp; TECHNOLOGY-KIOST</t>
  </si>
  <si>
    <t>BUSAN</t>
  </si>
  <si>
    <t>HAEYANG-RO 385, YEONGDO-GU, BUSAN, SOUTH KOREA</t>
  </si>
  <si>
    <t>1738-5261</t>
  </si>
  <si>
    <t>2005-7172</t>
  </si>
  <si>
    <t>OCEAN SCI J</t>
  </si>
  <si>
    <t>Ocean Sci. J.</t>
  </si>
  <si>
    <t>JUN</t>
  </si>
  <si>
    <t>10.1007/s12601-020-0016-8</t>
  </si>
  <si>
    <t>MH8EG</t>
  </si>
  <si>
    <t>WOS:000539187800001</t>
  </si>
  <si>
    <t>Bae, SH; Yoon, HI; Park, BK; Kim, Y</t>
  </si>
  <si>
    <t>Bae, Sung Ho; Yoon, Ho Il; Park, Byong-Kwon; Kim, Yeadong</t>
  </si>
  <si>
    <t>RETRACTION: Late Quaternary stable isotope record and meltwater discharge anomaly events to the south of the Antarctic Polar Front, Drake Passage (Retraction of Vol 23, Pg 110, 2003)</t>
  </si>
  <si>
    <t>GEO-MARINE LETTERS</t>
  </si>
  <si>
    <t>Retraction</t>
  </si>
  <si>
    <t>This article [1] has been retracted at the request of the Editors-in-Chief because it has been previously published by Bae, S.H., Yoon, H.I., Park, B. et al [2]. This article is therefore redundant.</t>
  </si>
  <si>
    <t>[Bae, Sung Ho; Yoon, Ho Il; Park, Byong-Kwon; Kim, Yeadong] Korea Ocean Res &amp; Dev Inst, Polar Sci Lab, POB 29, Seoul 425600, South Korea</t>
  </si>
  <si>
    <t>Korea Institute of Ocean Science &amp; Technology (KIOST)</t>
  </si>
  <si>
    <t>Bae, SH (corresponding author), Korea Ocean Res &amp; Dev Inst, Polar Sci Lab, POB 29, Seoul 425600, South Korea.</t>
  </si>
  <si>
    <t>shbae@kordi.re.kr</t>
  </si>
  <si>
    <t>0276-0460</t>
  </si>
  <si>
    <t>1432-1157</t>
  </si>
  <si>
    <t>GEO-MAR LETT</t>
  </si>
  <si>
    <t>Geo-Mar. Lett.</t>
  </si>
  <si>
    <t>10.1007/s00367-020-00662-8</t>
  </si>
  <si>
    <t>NP5GV</t>
  </si>
  <si>
    <t>WOS:000538970600001</t>
  </si>
  <si>
    <t>Caputo, V; Pacilli, MG; Arisi, I; Mazza, T; Brandi, R; Traversa, A; Casasanta, G; Pisa, E; Sonnessa, M; Healey, B; Moggio, L; D'Onofrio, M; Alleva, E; Macrì, S</t>
  </si>
  <si>
    <t>Caputo, Viviana; Pacilli, Maria Giuseppina; Arisi, Ivan; Mazza, Tommaso; Brandi, Rossella; Traversa, Alice; Casasanta, Giampietro; Pisa, Edoardo; Sonnessa, Michele; Healey, Beth; Moggio, Lorenzo; D'Onofrio, Mara; Alleva, Enrico; Macri, Simone</t>
  </si>
  <si>
    <t>Genomic and physiological resilience in extreme environments are associated with a secure attachment style</t>
  </si>
  <si>
    <t>TRANSLATIONAL PSYCHIATRY</t>
  </si>
  <si>
    <t>GENE-EXPRESSION; ADULT ATTACHMENT; DOME C; STRESS; RESPONSES; CONFINEMENT; PERFORMANCE; ADAPTATION; ANTARCTICA; MECHANISMS</t>
  </si>
  <si>
    <t>Understanding individual capability to adjust to protracted confinement and isolation may inform adaptive plasticity and disease vulnerability/resilience, and may have long-term implications for operations requiring prolonged presence in distant and restricted environments. Individual coping depends on many different factors encompassing psychological dispositional traits, endocrine reactivity and their underlying molecular mechanisms (e.g. gene expression). A positive view of self and others (secure attachment style) has been proposed to promote individual resilience under extreme environmental conditions. Here, we tested this hypothesis and investigated the underlying molecular mechanisms in 13 healthy volunteers confined and isolated for 12 months in a research station located 1670km away from the south geographic pole on the Antarctic Plateau at 3233m above sea level. Study participants, stratified for attachment style, were characterised longitudinally (before, during and after confinement) for their psychological appraisal of the stressful nature of the expedition, diurnal fluctuations in endocrine stress reactivity, and gene expression profiling (transcriptomics). Predictably, a secure attachment style was associated with reduced psychological distress and endocrine vulnerability to stress. In addition, while prolonged confinement and isolation remarkably altered overall patterns of gene expression, such alteration was largely reduced in individuals characterised by a secure attachment style. Furthermore, increased resilience was associated with a reduced expression of genes involved in energy metabolism (mitochondrial function and oxidative phosphorylation). Ultimately, our data indicate that a secure attachment style may favour individual resilience in extreme environments and that such resilience can be mapped onto identifiable molecular substrates.</t>
  </si>
  <si>
    <t>[Caputo, Viviana] Sapienza Univ Rome, Dept Expt Med, Rome, Italy; [Pacilli, Maria Giuseppina] Univ Perugia, Dept Polit Sci, Perugia, Italy; [Arisi, Ivan] Fdn Rita Levi Montalcini, Bioinformat, European Brain Res Inst EBRI, Rome, Italy; [Arisi, Ivan; D'Onofrio, Mara] Inst Translat Pharmacol IFT CNR, Rome, Italy; [Mazza, Tommaso] Fdn IRCCS Casa Sollievo Sofferenza, Bioinformat Unit, San Giovanni Rotondo, FG, Italy; [Brandi, Rossella; Sonnessa, Michele; D'Onofrio, Mara] Fdn Rita Levi Montalcini, Genom, European Brain Res Inst EBRI, Rome, Italy; [Traversa, Alice] Fdn IRCCS Casa Sollievo Sofferenza, Lab Clin Genom, San Giovanni Rotondo, FG, Italy; [Casasanta, Giampietro; Moggio, Lorenzo] CNR, Inst Atmospher Sci &amp; Climate, Rome, Italy; [Pisa, Edoardo; Alleva, Enrico; Macri, Simone] Ist Super Sanita, Ctr Behav Sci &amp; Mental Hlth, Rome, Italy; [Healey, Beth] European Space Agcy, Biomed Res, Concordia, Antarctica, Italy; [Moggio, Lorenzo] Univ Trento, Dept Phys, Trento, Italy</t>
  </si>
  <si>
    <t>Sapienza University Rome; University of Perugia; Consiglio Nazionale delle Ricerche (CNR); Istituto di Farmacologia Traslazionale (IFT-CNR); Consiglio Nazionale delle Ricerche (CNR); Istituto di Scienze dell'Atmosfera e del Clima (ISAC-CNR); Istituto Superiore di Sanita (ISS); European Space Agency; University of Trento</t>
  </si>
  <si>
    <t>Macrì, S (corresponding author), Ist Super Sanita, Ctr Behav Sci &amp; Mental Hlth, Rome, Italy.</t>
  </si>
  <si>
    <t>simone.macri@iss.it</t>
  </si>
  <si>
    <t>Mazza, Tommaso/I-4531-2019; Traversa, Alice/AAC-3165-2020; Arisi, Ivan/AAM-1152-2021</t>
  </si>
  <si>
    <t>Mazza, Tommaso/0000-0003-0434-8533; Arisi, Ivan/0000-0002-0536-2508; TRAVERSA, ALICE/0000-0001-6138-6179; PISA, EDOARDO/0000-0002-3243-8432; Macri, Simone/0000-0003-2946-4784; Caputo, Viviana/0000-0001-6753-1234; Brandi, Rossella/0000-0003-0955-845X; PACILLI, Maria Giuseppina/0000-0001-6875-6961</t>
  </si>
  <si>
    <t>Agenzia Spaziale Italiana (Italian Space Agency) project In situ Resource Bio-Utilization per il supporto alla vita nello Spazio (ReBUS); [2013/AC1.01]; [PNRA16_00047]</t>
  </si>
  <si>
    <t>Agenzia Spaziale Italiana (Italian Space Agency) project In situ Resource Bio-Utilization per il supporto alla vita nello Spazio (ReBUS); ;</t>
  </si>
  <si>
    <t>The authors are thankful to Daniela Santucci for providing feedback during the early stages of this project. This work received financial support by the Programma Nazionale di Ricerche in Antartide (Italian National Antarctic Program) under grant agreement 2013/AC1.01: Understanding how attachment styles, personality traits, and their biological determinants regulate individual adaptation to living in small confined groups to S.M., M.G.P., and V.C. and grant agreement PNRA16_00047: Effects of extreme environments on psychophysiology, energy metabolism and immunity: neuropsychological, immunohistochemical, proteomic and fMRI studies to S.M.; and by the Agenzia Spaziale Italiana (Italian Space Agency) project In situ Resource Bio-Utilization per il supporto alla vita nello Spazio (ReBUS). The authors also wish to acknowledge the European Space Agency for logistic and technical support.</t>
  </si>
  <si>
    <t>SPRINGERNATURE</t>
  </si>
  <si>
    <t>CAMPUS, 4 CRINAN ST, LONDON, N1 9XW, ENGLAND</t>
  </si>
  <si>
    <t>2158-3188</t>
  </si>
  <si>
    <t>TRANSL PSYCHIAT</t>
  </si>
  <si>
    <t>Transl. Psychiatr.</t>
  </si>
  <si>
    <t>10.1038/s41398-020-00869-4</t>
  </si>
  <si>
    <t>Psychiatry</t>
  </si>
  <si>
    <t>MB6CZ</t>
  </si>
  <si>
    <t>WOS:000542690400004</t>
  </si>
  <si>
    <t>Putzke, J; Ferrari, FR; Schaefer, CEGR</t>
  </si>
  <si>
    <t>Putzke, Jair; Ferrari, Flavia Ramos; Schaefer, Carlos E. G. R.</t>
  </si>
  <si>
    <t>Discovery of a large population of Hygrolembidium isophyllum (Lepidoziaceae, Marchantiophyta) in the South Shetland Islands, Antarctica</t>
  </si>
  <si>
    <t>Nelson Island; distribution; Antarctic Specially Protected Area; liverwort</t>
  </si>
  <si>
    <t>In February 2019, during fieldwork at Harmony Point, Nelson Island, South Shetland Islands, Antarctica, a large population of the rare liverwort Hygrolembidium isophyllum (Lepidoziaceae) was discovered. The occurrence of this rare species reinforces the need to preserve Antarctic Specially Protected Area 133.</t>
  </si>
  <si>
    <t>[Putzke, Jair] Univ Fed Pampa, Av Antonio Trilha, BR-97300000 Sao Gabriel, RS, Brazil; [Ferrari, Flavia Ramos] Univ Fed Vicosa, Dept Biol Vegetal, Vicosa, MG, Brazil; [Schaefer, Carlos E. G. R.] Univ Fed Vicosa, Dept Solos, Vicosa, MG, Brazil</t>
  </si>
  <si>
    <t>Universidade Federal do Pampa; Universidade Federal de Vicosa; Universidade Federal de Vicosa</t>
  </si>
  <si>
    <t>Putzke, J (corresponding author), Univ Fed Pampa, Av Antonio Trilha, BR-97300000 Sao Gabriel, RS, Brazil.</t>
  </si>
  <si>
    <t>jrputzkebr@yahoo.com</t>
  </si>
  <si>
    <t>Ferrari, Flávia Ramos/AAC-8048-2022; Putzke, Jair/P-9380-2019; Schaefer, Carlos Ernesto/AAY-4977-2020</t>
  </si>
  <si>
    <t>Ferrari, Flávia Ramos/0000-0003-3771-2266;</t>
  </si>
  <si>
    <t>Coordenacao de Aperfeicoamento de Pessoal de Nivel Superior; Conselho Nacional de Desenvolvimento Cientifico e Tecnologico [556794/2009-5]</t>
  </si>
  <si>
    <t>Coordenacao de Aperfeicoamento de Pessoal de Nivel Superior(Coordenacao de Aperfeicoamento de Pessoal de Nivel Superior (CAPES)); Conselho Nacional de Desenvolvimento Cientifico e Tecnologico(Conselho Nacional de Desenvolvimento Cientifico e Tecnologico (CNPQ))</t>
  </si>
  <si>
    <t>The authors acknowledge the Coordenacao de Aperfeicoamento de Pessoal de Nivel Superior for granting scholarship and the Conselho Nacional de Desenvolvimento Cientifico e Tecnologico for financial support of this project (project no. 556794/2009-5).</t>
  </si>
  <si>
    <t>NORWEGIAN POLAR INST</t>
  </si>
  <si>
    <t>TROMSO</t>
  </si>
  <si>
    <t>POLAR ENVIRONMENTAL CENTRE, HJALMAR JOHANSENSGATE 14, TROMSO, FRAMSENTERET, NORWAY</t>
  </si>
  <si>
    <t>POLAR RES</t>
  </si>
  <si>
    <t>JUN 8</t>
  </si>
  <si>
    <t>10.33265/polar.v39.3663</t>
  </si>
  <si>
    <t>LW3GS</t>
  </si>
  <si>
    <t>WOS:000539033100001</t>
  </si>
  <si>
    <t>Peart, CR; Tusso, S; Pophaly, SD; Botero-Castro, F; Wu, CC; Aurioles-Gamboa, D; Baird, AB; Bickham, JW; Forcada, J; Galimberti, F; Gemmell, NJ; Hoffman, J; Kovacs, KM; Kunnasranta, M; Lydersen, C; Nyman, T; de Oliveira, LR; Orr, AJ; Sanvito, S; Valtonen, M; Shafer, ABA; Wolf, JBW</t>
  </si>
  <si>
    <t>Peart, Claire R.; Tusso, Sergio; Pophaly, Saurabh D.; Botero-Castro, Fidel; Wu, Chi-Chih; Aurioles-Gamboa, David; Baird, Amy B.; Bickham, John W.; Forcada, Jaume; Galimberti, Filippo; Gemmell, Neil J.; Hoffman, Joseph, I; Kovacs, Kit M.; Kunnasranta, Mervi; Lydersen, Christian; Nyman, Tommi; de Oliveira, Larissa Rosa; Orr, Anthony J.; Sanvito, Simona; Valtonen, Mia; Shafer, Aaron B. A.; Wolf, Jochen B. W.</t>
  </si>
  <si>
    <t>Determinants of genetic variation across eco-evolutionary scales in pinnipeds</t>
  </si>
  <si>
    <t>NATURE ECOLOGY &amp; EVOLUTION</t>
  </si>
  <si>
    <t>EFFECTIVE POPULATION-SIZE; AMERICAN FUR SEALS; SELECTION; MUTATION; DIVERSITY; PATTERNS; GENOMICS; HISTORY; MARINE; TRAITS</t>
  </si>
  <si>
    <t>The effective size of a population (N-e), which determines its level of neutral variability, is a key evolutionary parameter. N-e can substantially depart from census sizes of present-day breeding populations (N-C) as a result of past demographic changes, variation in life-history traits and selection at linked sites. Using genome-wide data we estimated the long-term coalescent N-e for 17 pinniped species represented by 36 population samples (total n = 458 individuals). N-e estimates ranged from 8,936 to 91,178, were highly consistent within (sub)species and showed a strong positive correlation with N-C (R-adj(2) = 0.59; P = 0.0002). N-e/N-C ratios were low (mean, 0.31; median, 0.13) and co-varied strongly with demographic history and, to a lesser degree, with species' ecological and life-history variables such as breeding habitat. Residual variation in N-e/N-C, after controlling for past demographic fluctuations, contained information about recent population size changes during the Anthropocene. Specifically, species of conservation concern typically had positive residuals indicative of a smaller contemporary N-C than would be expected from their long-term N-e. This study highlights the value of comparative population genomic analyses for gauging the evolutionary processes governing genetic variation in natural populations, and provides a framework for identifying populations deserving closer conservation attention.</t>
  </si>
  <si>
    <t>[Peart, Claire R.; Tusso, Sergio; Wu, Chi-Chih; Shafer, Aaron B. A.; Wolf, Jochen B. W.] Uppsala Univ, Sci Life Labs, Uppsala, Sweden; [Peart, Claire R.; Tusso, Sergio; Wu, Chi-Chih; Shafer, Aaron B. A.; Wolf, Jochen B. W.] Uppsala Univ, Dept Evolutionary Biol, Uppsala, Sweden; [Peart, Claire R.; Tusso, Sergio; Pophaly, Saurabh D.; Botero-Castro, Fidel; Wolf, Jochen B. W.] Ludwig Maximilians Univ Munchen, Fac Biol, Div Evolutionary Biol, Planegg Martinsried, Germany; [Pophaly, Saurabh D.] Max Planck Inst Plant Breeding Res, Cologne, Germany; [Aurioles-Gamboa, David] Inst Politecn Nacl, Lab Ecol Pinnipedos Burney J Le Boeuf, Ctr Interdisciplinario Ciencias Marinas, La Paz, Baja Calif Sur, Mexico; [Baird, Amy B.] Univ Houston Downtown, Dept Nat Sci, Houston, TX USA; [Bickham, John W.] Texas A&amp;M Univ, Dept Ecol &amp; Conservat Biol, College Stn, TX USA; [Forcada, Jaume; Hoffman, Joseph, I] British Antarctic Survey, Nat Environm Res Council, Cambridge, England; [Galimberti, Filippo; Sanvito, Simona] Elephant Seal Res Grp, Sea Lion Isl, Falkland Island; [Gemmell, Neil J.] Univ Otago, Dept Anat, Dunedin, New Zealand; [Hoffman, Joseph, I] Bielefeld Univ, Dept Anim Behav, Bielefeld, Germany; [Kovacs, Kit M.; Lydersen, Christian] Norwegian Polar Res Inst, Fram Ctr, Tromso, Norway; [Kunnasranta, Mervi; Nyman, Tommi] Univ Eastern Finland, Dept Environm &amp; Biol Sci, Joensuu, Finland; [Kunnasranta, Mervi] Nat Resources Inst Finland Luke, Joensuu, Finland; [Nyman, Tommi] Norwegian Inst Bioecon Res, Dept Ecosyst Barents Reg, Svanhovd Res Stn, Svanvik, Norway; [de Oliveira, Larissa Rosa] Univ Vale Rio dos Sinos, Lab Mammal Ecol, Sao Leopoldo, Brazil; [Orr, Anthony J.] NOAA, Natl Marine Fisheries Serv, Alaska Fisheries Sci Ctr, Marine Mammal Lab, Seattle, WA 98115 USA; [Valtonen, Mia] Univ Helsinki, Inst Biotechnol, Saimaa Ringed Seal Genome Project, Helsinki, Finland; [Shafer, Aaron B. A.] Trent Univ, Forens Sci &amp; Environm Life Sci, Peterborough, ON, Canada</t>
  </si>
  <si>
    <t>Uppsala University; Uppsala University; University of Munich; Max Planck Society; Instituto Politecnico Nacional - Mexico; University of Houston System; University of Houston Downtown; University of Houston; Texas A&amp;M University System; Texas A&amp;M University College Station; UK Research &amp; Innovation (UKRI); Natural Environment Research Council (NERC); NERC British Antarctic Survey; University of Otago; University of Bielefeld; Norwegian Polar Institute; University of Eastern Finland; Natural Resources Institute Finland (Luke); Norwegian Institute of Bioeconomy Research; Universidade do Vale do Rio dos Sinos (Unisinos); National Oceanic Atmospheric Admin (NOAA) - USA; University of Helsinki; Trent University</t>
  </si>
  <si>
    <t>Shafer, ABA; Wolf, JBW (corresponding author), Uppsala Univ, Sci Life Labs, Uppsala, Sweden.;Shafer, ABA; Wolf, JBW (corresponding author), Uppsala Univ, Dept Evolutionary Biol, Uppsala, Sweden.;Wolf, JBW (corresponding author), Ludwig Maximilians Univ Munchen, Fac Biol, Div Evolutionary Biol, Planegg Martinsried, Germany.;Shafer, ABA (corresponding author), Trent Univ, Forens Sci &amp; Environm Life Sci, Peterborough, ON, Canada.</t>
  </si>
  <si>
    <t>aaronshafer@trentu.ca; j.wolf@biologie.uni-muenchen.de</t>
  </si>
  <si>
    <t>Tusso, Sergio/X-2494-2019; Gemmell, Neil J/C-6774-2009; Wolf, Jochen B. W./U-2243-2017; wu, chi-chih/N-3504-2018; Botero-Castro, Fidel/K-4043-2015; Oliveira, Larissa Rosa de/I-5640-2012; Forcada, Jaume/GYU-0677-2022; Hoffman, Joseph/K-7725-2012</t>
  </si>
  <si>
    <t>Tusso, Sergio/0000-0002-0612-9230; Wolf, Jochen B. W./0000-0002-2958-5183; Botero-Castro, Fidel/0000-0002-5062-8272; Oliveira, Larissa Rosa de/0000-0002-5735-3697; Galimberti, Filippo/0000-0001-5537-6409; Hoffman, Joseph/0000-0001-5895-8949</t>
  </si>
  <si>
    <t>Royal Physiographic Society in Lund; Swedish Research Council Formas [231-2012-450]; Natural Science and Engineering Research Council of Canada; Wenner-Gren Foundation; Royal Swedish Academy of Sciences; German Research Foundation [HO 5122/3-1]; LMU Munich; SNIC through Uppsala Multidisciplinary Center for Advanced Computational Science (UPPMAX) [SNIC 2018-3-658]; NERC [bas0100035] Funding Source: UKRI</t>
  </si>
  <si>
    <t>Royal Physiographic Society in Lund; Swedish Research Council Formas(Swedish Research Council Formas); Natural Science and Engineering Research Council of Canada(Natural Sciences and Engineering Research Council of Canada (NSERC)); Wenner-Gren Foundation; Royal Swedish Academy of Sciences; German Research Foundation(German Research Foundation (DFG)); LMU Munich; SNIC through Uppsala Multidisciplinary Center for Advanced Computational Science (UPPMAX); NERC(UK Research &amp; Innovation (UKRI)Natural Environment Research Council (NERC))</t>
  </si>
  <si>
    <t>Funding and research support were provided by The Royal Physiographic Society in Lund (to A.B.A.S. and J.B.W.W.), Swedish Research Council Formas (no. 231-2012-450 to J.B.W.W.), the Natural Science and Engineering Research Council of Canada (to A.B.A.S.), the Wenner-Gren Foundation (to A.B.A.S.), the Royal Swedish Academy of Sciences (to A.B.A.S.), the German Research Foundation (no. HO 5122/3-1 to J.I.H. and J.B.W.W.) and LMU Munich (to J.B.W.W.). SciLifeLab Uppsala provided sequencing support. The computations were performed on resources provided by SNIC through Uppsala Multidisciplinary Center for Advanced Computational Science (UPPMAX) under project no. SNIC 2018-3-658. This work contributes to the Ecosystems project of the British Antarctic Survey, Natural Environmental Research Council, and is part of the Polar Science for Planet Earth Programme. We thank F. Gulland for sample collection.</t>
  </si>
  <si>
    <t>2397-334X</t>
  </si>
  <si>
    <t>NAT ECOL EVOL</t>
  </si>
  <si>
    <t>Nat. Ecol. Evol.</t>
  </si>
  <si>
    <t>10.1038/s41559-020-1215-5</t>
  </si>
  <si>
    <t>MT1YX</t>
  </si>
  <si>
    <t>WOS:000538967000001</t>
  </si>
  <si>
    <t>Bester, MN; Dilley, BJ; Davies, D; Glass, T</t>
  </si>
  <si>
    <t>Bester, M. N.; Dilley, B. J.; Davies, D.; Glass, T.</t>
  </si>
  <si>
    <t>Sub-Antarctic fur seals depredate northern rockhopper penguins at Nightingale Island, Tristan da Cunha</t>
  </si>
  <si>
    <t>Sub-Antarctic fur seal; Northern rockhopper penguin; Predation; Nightingale Island; South Atlantic Ocean</t>
  </si>
  <si>
    <t>EUDYPTES-MOSELEYI; PREDATION</t>
  </si>
  <si>
    <t>The most plausible hypothesis for declining population trends of some marine top predators at the northern extent of their breeding ranges in the Southern Ocean is that it results from environmental change. Sub-Antarctic fur seals Arctocephalus tropicalis are opportunistic and pelagic foragers that feed on a variety of fish, cephalopods, and crustaceans throughout their range. Penguins are also targeted, but to what extent remains uncertain, with only two records to date: Amsterdam Island, South Indian Ocean, where they kill and feed on northern rockhopper penguins Eudyptes moseleyi; and Gough Island, the southernmost island in the Tristan da Cunha archipelago, South Atlantic Ocean, where they are suspected to be significant predators of northern rockhopper penguins based on an unprecedented number of penguin carcasses (&gt; 100) found floating at sea in 2011. We report the first documented records of such predations from the northern islands in the Tristan archipelago. Over three austral summers (2015-2017), northern rockhopper penguins with severe injuries were frequently observed at Nightingale Island. The cause of the wounds was unknown, but seal or shark attacks seemed probable. In January 2019, the first confirmed sighting of a sub-Antarctic fur seal, predating a healthy northern rockhopper penguin at sea off Nightingale Island was recorded. It remains uncertain whether the large A. tropicalis population at the Tristan da Cunha islands is significant predators of northern rockhopper penguins, but this could partly explain the significant recent decrease in northern rockhopper penguin population numbers.</t>
  </si>
  <si>
    <t>[Bester, M. N.] Univ Pretoria, Mammal Res Inst, Dept Zool &amp; Entomol, Private Bag X20, ZA-0028 Pretoria, South Africa; [Dilley, B. J.; Davies, D.] Univ Cape Town, FitzPatrick Inst African Ornithol, DST NRF Ctr Excellence, ZA-7701 Rondebosch, South Africa; [Glass, T.] Tristan Da Cunha Conservat Dept, Edinburgh, Tristan Da Cunh, Scotland</t>
  </si>
  <si>
    <t>University of Pretoria; University of Cape Town; National Research Foundation - South Africa</t>
  </si>
  <si>
    <t>Bester, MN (corresponding author), Univ Pretoria, Mammal Res Inst, Dept Zool &amp; Entomol, Private Bag X20, ZA-0028 Pretoria, South Africa.</t>
  </si>
  <si>
    <t>mnbester@zoology.up.ac.za</t>
  </si>
  <si>
    <t>10.1007/s00300-020-02688-1</t>
  </si>
  <si>
    <t>WOS:000538922500001</t>
  </si>
  <si>
    <t>Martins, L; Souto, C</t>
  </si>
  <si>
    <t>Martins, Luciana; Souto, Camilla</t>
  </si>
  <si>
    <t>Taxonomy of the Brazilian Apodida (Holothuroidea), with the description of two new genera</t>
  </si>
  <si>
    <t>MARINE BIOLOGY RESEARCH</t>
  </si>
  <si>
    <t>Biodiversity; calcareous ring; Echinodermata; geographic distribution; sea cucumber</t>
  </si>
  <si>
    <t>HOLOTHURIANS ECHINODERMATA; SEA-CUCUMBER; SOUTHWESTERN ATLANTIC; 1ST RECORD; CHIRIDOTIDAE; PHYLOGENY; BIODIVERSITY; TAENIOGYRUS; EVOLUTION; OSSICLES</t>
  </si>
  <si>
    <t>Here, we review the taxonomy of the Apodida species from the Brazilian coast and oceanic islands. Eleven species are reported, four Chiridotidae (includingChantalia conandaegen. et sp. nov.) and seven Synaptidae (includingYemojagen. nov.).Chantalia conandaegen. et sp. nov. is a shallow-water species diagnosed by having 12 tentacles, 4-6 Polian vesicles and vase-shaped ciliated funnels along the mesenteries, and by lacking a calcareous ring, sensory cups and ossicles. Based on the morphology of the calcareous ring (dumbbell-shaped plates) and of the tentacles (12, simple), we propose the new genusYemojagen. nov. to accommodateLeptosynapta brasiliensis(Yemoja brasiliensiscomb. nov.). To date, there are no records of Myriotrochidae in Brazil. In addition to species descriptions and photographs, we provide novel data on the calcareous ring stereom and a discussion about the calcareous ring morphology in Apodida, an identification key for the Brazilian species, a synoptic table with morphological characteristics of the Brazilian genera, and a synoptic table comparing the ossicleless Apodida genera. Finally, we provide the geographic and bathymetric distribution of the Apodida species reported for the South Atlantic and adjacent Southern Ocean. Based on our compendium, the Synaptidae is most diverse in warmer waters, while the Myriotrochidae is most diverse in colder waters. Also, the Atlantic coasts of South America and Africa have a surprisingly low with their adjacent Antarctic waters. We expect that dedicated holothuroid research will greatly increase the diversity of Apodida throughout the South Atlantic Ocean, especially off the continental shelf. http://zoobank.org/urn:lsid:zoobank.org:act:40375FE3-DA69-4900-9F6E-C96D212FA131 http://zoobank.org/urn:lsid:zoobank.org:act:763EA694-506A-4831-8C15-32B0DC5D9877 http://zoobank.org/urn:lsid:zoobank.org:act:395238EE-4240-461E-BD13-975AB561A480</t>
  </si>
  <si>
    <t>[Martins, Luciana] Univ Sao Paulo, Museu Zool, BR-04263000 Sao Paulo, SP, Brazil; [Souto, Camilla] Univ Calif Berkeley, Museum Paleontol, Berkeley, CA 94720 USA; [Souto, Camilla] Smithsonian Inst, Natl Museum Amer Hist, Dept Paleobiol, Washington, DC 20560 USA</t>
  </si>
  <si>
    <t>Universidade de Sao Paulo; University of California System; University of California Berkeley; Smithsonian Institution; Smithsonian National Museum of Natural History</t>
  </si>
  <si>
    <t>Martins, L (corresponding author), Univ Sao Paulo, Museu Zool, BR-04263000 Sao Paulo, SP, Brazil.</t>
  </si>
  <si>
    <t>martinsrluciana@gmail.com</t>
  </si>
  <si>
    <t>Martins, Luciana/0000-0002-8107-3265; Souto, Camilla/0000-0001-5575-8263</t>
  </si>
  <si>
    <t>DOE Office of Science User Facility [DE-AC02-05CH11231]</t>
  </si>
  <si>
    <t>DOE Office of Science User Facility(United States Department of Energy (DOE))</t>
  </si>
  <si>
    <t>We are grateful to Alexey Smirnov for his suggestions regarding the taxonomic status of Leptosynapta brasiliensis, and to Mike Reich and two anonymous reviewers for their helpful suggestions that greatly improved the quality of our manuscript. We thank Carla Menegola (MZUFBA), Jon Norenburg and Chris Meyer (USNM), Marcos Tavares (MZUSP), Michela Borges (ZUEC) and Rich Mooi (CAS) for granting us access to the echinoderm collections; Jessica Prata and Martin Lindsey Christoffersen (UFPB) for loan of the Protankyra ramiurna; Alvaro Guilherme Altenkirch Borba Junior (UFAL), Rafael Bendayan de Moura (UFRJ) and Tom Schiotte (NHMD) for providing specimen photographs; Gabrielle Baglione (Museum d'histoire naturelle de Havre), Paul Collomon (ANSP), Dieter Fiege (SMF), Fabian Herder (ZFMK), Markus Lambertz (RFWU), Helma Roggenbuck (ZMUH), Michael Stiller (UMB), Thomas Wilke (Justus Liebig University Giessen) and Gert Troster (Georg-August-Universitat, Gottingen) for information about the type specimen of P. benedeni and of S. hydriformis, the Instituto Goncalo Moniz (FIOCRUZ/BA) for SEM analysis, and Dula Parkinson (ALS-LBNL) for technical support to generate the micro-computed tomography image of G. ikamiaba. The research benefitted from resources of the Advanced Light Source, which is a DOE Office of Science User Facility under contract number DE-AC02-05CH11231.</t>
  </si>
  <si>
    <t>TAYLOR &amp; FRANCIS AS</t>
  </si>
  <si>
    <t>OSLO</t>
  </si>
  <si>
    <t>KARL JOHANS GATE 5, NO-0154 OSLO, NORWAY</t>
  </si>
  <si>
    <t>1745-1000</t>
  </si>
  <si>
    <t>1745-1019</t>
  </si>
  <si>
    <t>MAR BIOL RES</t>
  </si>
  <si>
    <t>Mar. Biol. Res.</t>
  </si>
  <si>
    <t>APR 20</t>
  </si>
  <si>
    <t>10.1080/17451000.2020.1761027</t>
  </si>
  <si>
    <t>Ecology; Marine &amp; Freshwater Biology</t>
  </si>
  <si>
    <t>NL0UZ</t>
  </si>
  <si>
    <t>WOS:000543327700001</t>
  </si>
  <si>
    <t>Mykhailenko, A; Utevsky, A; Solodiankin, O; Zlenko, O; Maiboroda, O; Bolotin, V; Blaxland, J; Gerilovych, A</t>
  </si>
  <si>
    <t>Mykhailenko, Anastasiia; Utevsky, Andriy; Solodiankin, Olexii; Zlenko, Oksana; Maiboroda, Olha; Bolotin, Vitally; Blaxland, James; Gerilovych, Anton</t>
  </si>
  <si>
    <t>First record of Serratia marcescens from Adelie and Gentoo penguin faeces collected in the Wilhelm Archipelago, Graham Land, West Antarctica</t>
  </si>
  <si>
    <t>Serratia marcescens; Faeces; Penguins; Argentine islands</t>
  </si>
  <si>
    <t>CAMPYLOBACTER-JEJUNI; BACTERIAL DIVERSITY; HOPE BAY; RESISTANCE; SALMONELLA; DISEASE; ISLAND; MICROORGANISMS; HETEROGENEITY; MENINGITIS</t>
  </si>
  <si>
    <t>Until recently, Antarctic animal species were thought to be safely isolated from human-associated infections. However, recent studies have shown that Antarctic penguins carry microorganisms, some of which are potential human pathogens. We investigated one rookery of Adelie penguins (Pygoscelis adeliae) and three rookeries of gentoo penguins (P. papua) for the presence of infectious diseases caused by non-indigenous microorganisms. Faecal samples were collected in the Argentine Islands (Wilhelm Archipelago, Graham Land), in the vicinity of the Ukrainian Antarctic Station Akademik Vernadsky. Bacterial isolates obtained from the collected samples were identified as Serratia marcescens based on microscopic examination and biochemical studies. Additionally, partial sequences of the 16S rRNA gene were used to confirm the identity of the isolates. Phylogenetic analysis of the 16S rRNA partial gene sequences showed that all the obtained isolates belong to S. marcescens (rod-shaped Gram-negative bacteria), a species which has never been detected in Antarctic penguin faeces before.</t>
  </si>
  <si>
    <t>[Mykhailenko, Anastasiia; Utevsky, Andriy] Kharkov Natl Univ, Dept Zool &amp; Anim Ecol, Svobody Sq 4, UA-61000 Kharkiv, Kharkiv Oblast, Ukraine; [Utevsky, Andriy] Natl Antarctic Sci Ctr, Taras Shevchenko Blvd 16, UA-01601 Kiev, Kharkiv Oblast, Ukraine; [Solodiankin, Olexii] Inst Expt &amp; Clin Vet Med, Natl Sci Ctr, Lab Mol Diagnost, Pushkinska St 83, UA-61023 Kharkiv, Kharkiv Oblast, Ukraine; [Zlenko, Oksana] Inst Expt &amp; Clin Vet Med, Natl Sci Ctr, Microorganisms Genet Lab, Pushkinska St 83, UA-61023 Kharkiv, Kharkiv Oblast, Ukraine; [Maiboroda, Olha] Inst Expt &amp; Clin Vet Med, Natl Sci Ctr, Sect Bacterial Avian Dis, Pushkinska St 83, UA-61023 Kharkiv, Kharkiv Oblast, Ukraine; [Bolotin, Vitally] Inst Expt &amp; Clin Vet Med, Natl Sci Ctr, Lab Brucellosis Studying, Pushkinska St 83, UA-61023 Kharkiv, Kharkiv Oblast, Ukraine; [Blaxland, James] Cardiff Univ, Sch Pharm &amp; Pharmaceut Sci, Redwood Bldg,King Edward VII Ave, Cardiff CF10 3NB, Wales; [Gerilovych, Anton] Inst Expt &amp; Clin Vet Med, Natl Sci Ctr, Dept Mol Epizootol Diagnost &amp; Qual Control Genet, Pushkinska St 83, UA-61023 Kharkiv, Kharkiv Oblast, Ukraine</t>
  </si>
  <si>
    <t>Ministry of Education &amp; Science of Ukraine; VN Karazin Kharkiv National University; Ministry of Education &amp; Science of Ukraine; State Institution National Antarctic Scientific Center; National Academy of Agrarian Sciences of Ukraine; National Scientific Center Institute of Experimental &amp; Clinical Veterinary Medicine; National Academy of Agrarian Sciences of Ukraine; National Scientific Center Institute of Experimental &amp; Clinical Veterinary Medicine; National Academy of Agrarian Sciences of Ukraine; National Scientific Center Institute of Experimental &amp; Clinical Veterinary Medicine; National Academy of Agrarian Sciences of Ukraine; National Scientific Center Institute of Experimental &amp; Clinical Veterinary Medicine; Cardiff University; National Academy of Agrarian Sciences of Ukraine; National Scientific Center Institute of Experimental &amp; Clinical Veterinary Medicine</t>
  </si>
  <si>
    <t>Mykhailenko, A (corresponding author), Kharkov Natl Univ, Dept Zool &amp; Anim Ecol, Svobody Sq 4, UA-61000 Kharkiv, Kharkiv Oblast, Ukraine.</t>
  </si>
  <si>
    <t>anst.mykhailenko@gmail.com</t>
  </si>
  <si>
    <t>Gerilovych, Anton/HLW-9849-2023; Gerilovych, Anton/KGK-5680-2024; Bolotin, Vitaliy/AAA-4161-2021; Gerilovych, Anton/N-5608-2019; Zlenko, Oksana/JQJ-3499-2023</t>
  </si>
  <si>
    <t>Bolotin, Vitaliy/0000-0001-9875-6639; Solodiankin, Oleksii/0000-0002-8698-0390; Gerilovych, Anton/0000-0002-3280-4172; Zlenko, Oksana/0000-0002-4357-0762; Mykhailenko, Anastasiia/0000-0002-7936-5584; Maiboroda, Ol'ga/0000-0001-5473-6126; Blaxland, James/0000-0002-4832-5563; Utevsky, Andriy/0000-0002-8336-1105</t>
  </si>
  <si>
    <t>National Antarctic Scientific Center, Ministry of Education and Science of Ukraine [0161U000972]</t>
  </si>
  <si>
    <t>National Antarctic Scientific Center, Ministry of Education and Science of Ukraine</t>
  </si>
  <si>
    <t>Funding was provided by National Antarctic Scientific Center, Ministry of Education and Science of Ukraine (0161U000972).</t>
  </si>
  <si>
    <t>10.1007/s00300-020-02682-7</t>
  </si>
  <si>
    <t>WOS:000538374400001</t>
  </si>
  <si>
    <t>Alvarez-Valero, AM; Gisbert, G; Aulinas, M; Geyer, A; Kereszturi, G; Polo-Sánchez, A; Núnez-Guerrero, E; Sumino, H; Borrajo, J</t>
  </si>
  <si>
    <t>Alvarez-Valero, A. M.; Gisbert, G.; Aulinas, M.; Geyer, A.; Kereszturi, G.; Polo-Sanchez, A.; Nunez-Guerrero, E.; Sumino, H.; Borrajo, J.</t>
  </si>
  <si>
    <t>δD and δ18O variations of the magmatic system beneath Deception Island volcano (Antarctica): Implications for magma ascent and eruption forecasting</t>
  </si>
  <si>
    <t>CHEMICAL GEOLOGY</t>
  </si>
  <si>
    <t>Stable isotopes; Active volcano; Magma degassing; Deception Island; Antarctica; Volcanic hazard; Pre-eruptive magmatic conditions</t>
  </si>
  <si>
    <t>SOUTH SHETLAND ISLANDS; ISOTOPE GEOCHEMISTRY; HYDROGEN ISOTOPES; CARBON-DIOXIDE; IGNEOUS ROCKS; NOBLE-GAS; WATER; EVOLUTION; OXYGEN; GLASSES</t>
  </si>
  <si>
    <t>Geochemistry of volatiles in active volcanoes provides insights into the magmatic processes and evolution at depth, such as magma evolution and degassing, which can be implemented into volcanic hazards assessment. Deception Island is one of the most active volcanoes in Antarctica, with more than twenty explosive eruptions documented over the past two centuries. Hydrogen and oxygen isotopic variations in the volatiles trapped in the Deception Island rocks (glass and melt inclusions in phenocrysts) provide essential information on the mechanisms controlling the eruptive history in this volcanic suite. Thus, understanding the petrological and related isotopic variations in the island, has the potential to foresee the possible occurrence and its main eruptive features of a future eruption. The new isotopic results of this study combined with exhaustive petrologic knowledge reveal in Deception Island (i) fast ascent and quenching of most magmas, preserving pre-eruptive magmatic signal of water contents and isotopic ratios, with local modification by rehydration due to glass exposition to seawater, and by meteoric and fumarolic waters; (ii) a plumbing system(s) variable with time and currently dominated by closed-system degassing leading to explosive eruptions; (iii) control on the interactions of ascending magmas with the surface waters producing hydrovolcanic activity throughout the two main fault systems in Deception Island and at different magma stagnation depths. These results can be considered in further studies of volcanic monitoring to improve the capability to interpret geophysical data and signals recorded during volcanic unrest episodes, and hence, forecast volcanic eruptions and related hazards.</t>
  </si>
  <si>
    <t>[Alvarez-Valero, A. M.; Polo-Sanchez, A.; Nunez-Guerrero, E.] Univ Salamanca, Dept Geol, Salamanca, Spain; [Alvarez-Valero, A. M.; Nunez-Guerrero, E.] Univ Salamanca, Lab Stable Isotopes NUCLEUS, Salamanca, Spain; [Gisbert, G.] CSIC, Inst Geosci, Madrid, Spain; [Aulinas, M.] Univ Barcelona, Dept Mineral Petrol &amp; Appl Geol, Barcelona, Spain; [Geyer, A.] CSIC, Inst Earth Sci Jaume Almera, ICTJA, Barcelona, Spain; [Kereszturi, G.] Massey Univ, Sch Agr &amp; Environm, Volcan Risk Solut, Palmerston North, New Zealand; [Sumino, H.] Univ Tokyo, Dept Basic Sci, Tokyo, Japan; [Borrajo, J.] Univ Salamanca, Dept Phys Engn &amp; Med Radiol, Salamanca, Spain</t>
  </si>
  <si>
    <t>University of Salamanca; University of Salamanca; Complutense University of Madrid; Consejo Superior de Investigaciones Cientificas (CSIC); CSIC-UCM - Instituto de Geociencias (IGEO); University of Barcelona; Consejo Superior de Investigaciones Cientificas (CSIC); CSIC - Geociencias Barcelona (GEO3BCN); Massey University; University of Tokyo; University of Salamanca</t>
  </si>
  <si>
    <t>Alvarez-Valero, AM (corresponding author), Univ Salamanca, Dept Geol, Salamanca, Spain.</t>
  </si>
  <si>
    <t>aav@tusal.es</t>
  </si>
  <si>
    <t>Geyer, Adelina/C-9490-2011; Sumino, Hirochika/G-4912-2014; Gisbert, Guillem/HKW-0585-2023; Kereszturi, Gabor/I-1520-2019; Alvarez-Valero, Antonio M./B-2732-2015</t>
  </si>
  <si>
    <t>Kereszturi, Gabor/0000-0003-4336-2012; Alvarez-Valero, Antonio M./0000-0001-9707-0168; Nunez-Guerrero, Elena/0000-0003-2829-9422; Gisbert, Guillem/0000-0001-7737-8376; Sumino, Hirochika/0000-0002-4689-6231</t>
  </si>
  <si>
    <t>Spanish Government (MINECO projects) (AEI/FEDER, UE) [CTM2009-05919-E/ANT, CTM2011-13578-E/ANT, CTM2016-79617-P, PGC2018-095693-B-I00]; USAL-2019 project; Ramon y Cajal contract [RYC-2012-11024]</t>
  </si>
  <si>
    <t>Spanish Government (MINECO projects) (AEI/FEDER, UE); USAL-2019 project; Ramon y Cajal contract(Spanish Government)</t>
  </si>
  <si>
    <t>This research was supported by the Spanish Government (MINECO projects) RECALDEC (CTM2009-05919-E/ANT), PEVOLDEC (CTM2011-13578-E/ANT), POSVOLDEC (CTM2016-79617-P)(AEI/FEDER, UE), VOLGASDEC (PGC2018-095693-B-I00)(AEI/FEDER, UE), and USAL-2019 project (Programa Propio - mod. 1B). A.G. is grateful for her Ramon y Cajal contract (RYC-2012-11024). We thank all the military staff of the Spanish Antarctic Base Gabriel de Castilla for their constant help and logistic support, and the crew of the scientific vessel BIO-Hesperides without which this research would not have been possible. We very much appreciate the careful and in-depth reviews by Minoru Kusakabe and editor. We also thank the Polar Rock Repository (http://research.bpcrc.osu.edu/rr/) for loaning the rock samples PRR-10298, PRR-10306, PRR-27863 collected by C.H. Shultz in 1970, and PRR-4995 by Pamela J. Ellerman Lundstrom in 1984. This research is also included in POLARCSIC activities.</t>
  </si>
  <si>
    <t>0009-2541</t>
  </si>
  <si>
    <t>1872-6836</t>
  </si>
  <si>
    <t>CHEM GEOL</t>
  </si>
  <si>
    <t>Chem. Geol.</t>
  </si>
  <si>
    <t>JUN 5</t>
  </si>
  <si>
    <t>10.1016/j.chemgeo.2020.119595</t>
  </si>
  <si>
    <t>NR2XN</t>
  </si>
  <si>
    <t>Green Submitted, Green Accepted</t>
  </si>
  <si>
    <t>WOS:000571426400001</t>
  </si>
  <si>
    <t>Borchhardt, N; Gründling-Pfaff, S</t>
  </si>
  <si>
    <t>Borchhardt, Nadine; Gruendling-Pfaff, Sigrid</t>
  </si>
  <si>
    <t>Ecophysiological Response Against Temperature inKlebsormidium(Streptophyta) Strains Isolated From Biological Soil Crusts of Arctic and Antarctica Indicate Survival During Global Warming</t>
  </si>
  <si>
    <t>FRONTIERS IN ECOLOGY AND EVOLUTION</t>
  </si>
  <si>
    <t>Aeroterrestrial algae; growth; ecophysiology; temperature stress; Polar Regions</t>
  </si>
  <si>
    <t>GREEN-ALGA KLEBSORMIDIUM; STREPTOPHYTA; DESICCATION; ACCLIMATION; PERFORMANCE; GROWTH; DEHYDRATION; FIXATION; ISLANDS; STRESS</t>
  </si>
  <si>
    <t>Global warming, as global problem, may particularly affect the vegetation of the Polar Regions. Biological soil crusts (BSCs) as pioneer communities perform a variety of important ecological functions under the harsh environmental conditions at high latitudes. The green algal genusKlebsormidiumis a common member of BSCs and in the present study, the ecophysiological resilience to temperature stress of 20 strains from Arctic and Antarctica were investigated. All 20Klebsormidiumstrains exhibited the capability to grow under a wide temperature range (from 6 to 28 degrees C) and hence were characterized as psychrotolerant with optimum growth temperatures between 18 degrees C and 26 degrees C. Statistical analyses showed no significant differences in optimum growth temperature. However, growth rates at optimal temperatures varied between strains and indicated infraspecific physiological plasticity. Furthermore, correlation with the sampling sites as well as different BSC types were examined but no significance was confirmed. Our results revealed that PolarKlebsormidiumstrains are able to survive such changing conditions, and even benefit from higher environmental temperatures.</t>
  </si>
  <si>
    <t>[Borchhardt, Nadine; Gruendling-Pfaff, Sigrid] Univ Rostock, Inst Biol Sci, Appl Ecol &amp; Phycol, Rostock, Germany</t>
  </si>
  <si>
    <t>University of Rostock</t>
  </si>
  <si>
    <t>Borchhardt, N (corresponding author), Univ Rostock, Inst Biol Sci, Appl Ecol &amp; Phycol, Rostock, Germany.</t>
  </si>
  <si>
    <t>n.borchhardt@googlemail.com</t>
  </si>
  <si>
    <t>DFG [KA899/23-1]</t>
  </si>
  <si>
    <t>DFG(German Research Foundation (DFG))</t>
  </si>
  <si>
    <t>This study was funded by the DFG project Polarcrust (KA899/23-1) in the frame of the Priority Program 1158 Antarctic Research (DFG: Deutsche Forschungsgemeinschaft).</t>
  </si>
  <si>
    <t>2296-701X</t>
  </si>
  <si>
    <t>FRONT ECOL EVOL</t>
  </si>
  <si>
    <t>Front. Ecol. Evol.</t>
  </si>
  <si>
    <t>10.3389/fevo.2020.00153</t>
  </si>
  <si>
    <t>MC2YX</t>
  </si>
  <si>
    <t>WOS:000543160100001</t>
  </si>
  <si>
    <t>Schwarz, A; Bluhm, J; Schröder, J</t>
  </si>
  <si>
    <t>Schwarz, Alexander; Bluhm, Joachim; Schroeder, Joerg</t>
  </si>
  <si>
    <t>Modeling of freezing processes of ice floes within the framework of the TPM</t>
  </si>
  <si>
    <t>ACTA MECHANICA</t>
  </si>
  <si>
    <t>POROUS-MEDIA MODELS; THERMODYNAMICS</t>
  </si>
  <si>
    <t>Sea ice is floating ice which is formed by the freezing of ocean water in the polar regions of the Earth, i.e., the Arctic and the Antarctic. Thus, a closed smooth ice surface can be formed consisting of these ice configurations. In recent years, the simulation of sea ice evolution, especially for the use in climate models, became more important, see, for instance, Danilov et al. (Geosci Model Dev 8:1747-1761, 2015) and the references therein. In the present paper, a coupled macroscopic model based on the Theory of Porous Media is introduced in view of the finite element simulation of the coalescence of ice floes due to freezing in calm sea and weather conditions. Attention is paid to the description of the temperature development, the determination of energy, enthalpy, specific heat and mass exchange between water and ice as well as volume deformations due to ice formation during freezing. The main idea is based on a theoretically motivated evolution equation for the phase transition of ice and water, which guarantees the thermodynamical consistency. Numerical examples show that the simplified model is indeed capable of simulating the temperature development and energetic effects during phase change.</t>
  </si>
  <si>
    <t>[Schwarz, Alexander; Bluhm, Joachim; Schroeder, Joerg] Univ Duisburg Essen, Inst Mech, Fachbereich Inn Wissensch, Abtl Bauwissensch, Univ Str 15, D-45141 Essen, Germany</t>
  </si>
  <si>
    <t>University of Duisburg Essen</t>
  </si>
  <si>
    <t>Schwarz, A (corresponding author), Univ Duisburg Essen, Inst Mech, Fachbereich Inn Wissensch, Abtl Bauwissensch, Univ Str 15, D-45141 Essen, Germany.</t>
  </si>
  <si>
    <t>alexander.schwarz@uni-due.de; joachim.bluhm@uni-due.de; j.schroeder@uni-due.de</t>
  </si>
  <si>
    <t>Schroder, Jorg/S-2315-2016</t>
  </si>
  <si>
    <t>Schroder, Jorg/0000-0001-7960-9553</t>
  </si>
  <si>
    <t>0001-5970</t>
  </si>
  <si>
    <t>1619-6937</t>
  </si>
  <si>
    <t>ACTA MECH</t>
  </si>
  <si>
    <t>Acta Mech.</t>
  </si>
  <si>
    <t>10.1007/s00707-020-02686-8</t>
  </si>
  <si>
    <t>Mechanics</t>
  </si>
  <si>
    <t>MI5QB</t>
  </si>
  <si>
    <t>WOS:000538225500002</t>
  </si>
  <si>
    <t>Kuma, P; Mcdonald, AJ; Morgenstern, O; Alexander, SP; Cassano, JJ; Garrett, S; Halla, J; Hartery, S; Harvey, MJ; Parsons, S; Plank, G; Varma, V; Williams, J</t>
  </si>
  <si>
    <t>Kuma, Peter; Mcdonald, Adrian J.; Morgenstern, Olaf; Alexander, Simon P.; Cassano, John J.; Garrett, Sally; Halla, Jamie; Hartery, Sean; Harvey, Mike J.; Parsons, Simon; Plank, Graeme; Varma, Vidya; Williams, Jonny</t>
  </si>
  <si>
    <t>Evaluation of Southern Ocean cloud in the HadGEM3 general circulation model and MERRA-2 reanalysis using ship-based observations</t>
  </si>
  <si>
    <t>SUPERCOOLED LIQUID CLOUDS; LARGE-SCALE METEOROLOGY; REGIME-BASED EVALUATION; ENERGY SYSTEM CERES; ANTARCTIC SEA-ICE; SATELLITE-OBSERVATIONS; ERA-INTERIM; ROSS SEA; CLIMATOLOGY; MISSION</t>
  </si>
  <si>
    <t>Southern Ocean (SO) shortwave (SW) radiation biases are a common problem in contemporary general circulation models (GCMs), with most models exhibiting a tendency to absorb too much incoming SW radiation. These biases have been attributed to deficiencies in the representation of clouds during the austral summer months, either due to cloud cover or cloud albedo being too low. The problem has been the focus of many studies, most of which utilised satellite datasets for model evaluation. We use multi-year ship-based observations and the CERES spaceborne radiation budget measurements to contrast cloud representation and SW radiation in the atmospheric component Global Atmosphere (GA) version 7.1 of the HadGEM3 GCM and the MERRA-2 reanalysis. We find that the prevailing bias is negative in GA7.1 and positive in MERRA-2. GA7.1 performs better than MERRA-2 in terms of absolute SW bias. Significant errors of up to 21 W m(-2) (GA7.1) and 39 W m(-2) (MERRA-2) are present in both models in the austral summer. Using ship-based ceilometer observations, we find low cloud below 2 km to be predominant in the Ross Sea and the Indian Ocean sectors of the SO. Utilising a novel surface lidar simulator developed for this study, derived from an existing Cloud Feedback Model Intercomparison Project (CFMIP) Observation Simulator Package (COSP) - active remote sensing simulator (ACTSIM) spaceborne lidar simu- lator, we find that GA7.1 and MERRA-2 both underestimate low cloud and fog occurrence relative to the ship observations on average by 4 %-9 % (GA7.1) and 18 % (MERRA-2). Based on radiosonde observations, we also find the low cloud to be strongly linked to boundary layer atmospheric stability and the sea surface temperature. GA7.1 and MERRA-2 do not represent the observed relationship between boundary layer stability and clouds well. We find that MERRA-2 has a much greater proportion of cloud liquid water in the SO in austral summer than GA7.1, a likely key contributor to the difference in the SW radiation bias. Our results suggest that subgrid-scale processes (cloud and boundary layer parameterisations) are responsible for the bias and that in GA7.1 a major part of the SW radiation bias can be explained by cloud cover underestimation, relative to underestimation of cloud albedo.</t>
  </si>
  <si>
    <t>[Kuma, Peter; Mcdonald, Adrian J.; Hartery, Sean; Parsons, Simon; Plank, Graeme] Univ Canterbury, Sch Phys &amp; Chem Sci, Christchurch, New Zealand; [Morgenstern, Olaf; Harvey, Mike J.; Varma, Vidya; Williams, Jonny] Natl Inst Water &amp; Atmospher Res, Wellington, New Zealand; [Alexander, Simon P.] Australian Antarctic Div, Kingston, Australia; [Cassano, John J.] Univ Colorado, Cooperat Inst Res Environm Sci, Boulder, CO 80309 USA; [Cassano, John J.] Univ Colorado, Dept Atmospher &amp; Ocean Sci, Boulder, CO 80309 USA; [Garrett, Sally; Halla, Jamie] New Zealand Def Force, Wellington, New Zealand</t>
  </si>
  <si>
    <t>University of Canterbury; National Institute of Water &amp; Atmospheric Research (NIWA) - New Zealand; Australian Antarctic Division; University of Colorado System; University of Colorado Boulder; University of Colorado System; University of Colorado Boulder</t>
  </si>
  <si>
    <t>Kuma, P (corresponding author), Univ Canterbury, Sch Phys &amp; Chem Sci, Christchurch, New Zealand.</t>
  </si>
  <si>
    <t>peter@peterkuma.net</t>
  </si>
  <si>
    <t>Cassano, John/HKW-8817-2023; Harvey, Mike/A-5354-2010; Keyes, Dennis/AAZ-9285-2021</t>
  </si>
  <si>
    <t>Harvey, Mike/0000-0002-0979-0227; Kuma, Peter/0000-0002-0910-8646; Morgenstern, Olaf/0000-0002-9967-9740; Alexander, Simon/0000-0001-6823-8857; Parsons, Simon/0000-0003-4878-9779</t>
  </si>
  <si>
    <t>Deep South National Science Challenge Clouds and Aerosols project, New Zealand; Australian Antarctic Science project [4292]; Ministry of Business, Innovation &amp; Employment Research Infrastructure programme, New Zealand</t>
  </si>
  <si>
    <t>Deep South National Science Challenge Clouds and Aerosols project, New Zealand; Australian Antarctic Science project; Ministry of Business, Innovation &amp; Employment Research Infrastructure programme, New Zealand</t>
  </si>
  <si>
    <t>This research has been supported by the Deep South National Science Challenge Clouds and Aerosols project, New Zealand; the Australian Antarctic Science project (grant no. 4292); and the NeSI collaborator institutions and Ministry of Business, Innovation &amp; Employment Research Infrastructure programme, New Zealand.</t>
  </si>
  <si>
    <t>10.5194/acp-20-6607-2020</t>
  </si>
  <si>
    <t>LV6YY</t>
  </si>
  <si>
    <t>WOS:000538583100007</t>
  </si>
  <si>
    <t>Young, JN; Schmidt, K</t>
  </si>
  <si>
    <t>Young, Jodi N.; Schmidt, Katrin</t>
  </si>
  <si>
    <t>It's what's inside that matters: physiological adaptations of high-latitude marine microalgae to environmental change</t>
  </si>
  <si>
    <t>NEW PHYTOLOGIST</t>
  </si>
  <si>
    <t>algae; cold temperatures; diatoms; environmental change; high-latitude; psychrophilic; sea ice; sympagic</t>
  </si>
  <si>
    <t>ANTARCTIC SEA-ICE; OCEAN ACIDIFICATION; PHYTOPLANKTON COMMUNITY; METABOLIC BALANCE; BINDING PROTEINS; TEMPERATURE; GROWTH; CARBON; CO2; DIVERSITY</t>
  </si>
  <si>
    <t>Marine microalgae within seawater and sea ice fuel high-latitude ecosystems and drive biogeochemical cycles through the fixation and export of carbon, uptake of nutrients, and production and release of oxygen and organic compounds. High-latitude marine environments are characterized by cold temperatures, dark winters and a strong seasonal cycle. Within this environment a number of diverse and dynamic habitats exist, particularly in association with the formation and melt of sea ice, with distinct microalgal communities that transition with the season. Algal physiology is a crucial component, both responding to the dynamic environment and in turn influencing its immediate physicochemical environment. As high-latitude oceans shift into new climate regimes the analysis of seasonal responses may provide insights into how microalgae will respond to long-term environmental change. This review discusses recent developments in our understanding of how the physiology of high-latitude marine microalgae is regulated over a polar seasonal cycle, with a focus on ice-associated (sympagic) algae. In particular, physiologies that impact larger scale processes will be explored, with an aim to improve our understanding of current and future ecosystems and biogeochemical cycles.</t>
  </si>
  <si>
    <t>[Young, Jodi N.; Schmidt, Katrin] Univ Washington, Sch Oceanog, Seattle, WA 98195 USA</t>
  </si>
  <si>
    <t>Young, JN (corresponding author), Univ Washington, Sch Oceanog, Seattle, WA 98195 USA.</t>
  </si>
  <si>
    <t>youngjn@uw.edu</t>
  </si>
  <si>
    <t>Young, Jodi/0000-0002-3156-8403</t>
  </si>
  <si>
    <t>NSF Polar Programs [1744645]; Simons Foundation Early Career Award; University of Washington Innovation Award; Office of Polar Programs (OPP); Directorate For Geosciences [1744645] Funding Source: National Science Foundation</t>
  </si>
  <si>
    <t>NSF Polar Programs(National Science Foundation (NSF)); Simons Foundation Early Career Award; University of Washington Innovation Award; Office of Polar Programs (OPP); Directorate For Geosciences(National Science Foundation (NSF)NSF - Directorate for Geosciences (GEO))</t>
  </si>
  <si>
    <t>The authors would like to thank two anonymous reviewers for their helpful comments. JY was supported by NSF Polar Programs Grant no. 1744645 and a Simons Foundation Early Career Award. KS was supported by a University of Washington Innovation Award.</t>
  </si>
  <si>
    <t>0028-646X</t>
  </si>
  <si>
    <t>1469-8137</t>
  </si>
  <si>
    <t>NEW PHYTOL</t>
  </si>
  <si>
    <t>New Phytol.</t>
  </si>
  <si>
    <t>10.1111/nph.16648</t>
  </si>
  <si>
    <t>MT5QM</t>
  </si>
  <si>
    <t>WOS:000537779000001</t>
  </si>
  <si>
    <t>Steinitz-Kannan, M; López, C; Jacobsen, D; Guerra, MD</t>
  </si>
  <si>
    <t>Steinitz-Kannan, Miriam; Lopez, Carlos; Jacobsen, Dean; Guerra, Maria de Lourdes</t>
  </si>
  <si>
    <t>History of limnology in Ecuador: a foundation for a growing field in the country</t>
  </si>
  <si>
    <t>HYDROBIOLOGIA</t>
  </si>
  <si>
    <t>Ecuador freshwater scientists; Equatorial lakes; Equatorial streams; Amazonia; Andes; Galapagos; Tropical aquatic ecology; Tropical paleolimnology</t>
  </si>
  <si>
    <t>EL-JUNCO LAKE; MACROINVERTEBRATE FAUNA; RIVER-BASIN; GALAPAGOS ISLANDS; TROPICAL STREAMS; MOUNTAIN LAKES; TROPHIC STATUS; ANDEAN RIVERS; WATER-QUALITY; GLACIAL LAKES</t>
  </si>
  <si>
    <t>Paul Colinvaux and his Ecuadorian student Miriam Steinitz-Kannan were the first modern scientists to study limnology in Ecuador in the 1960s and 1970s. Fifty years later, Steinitz-Kannan continues this research along with many collaborators, focusing on Andean, Amazonian, and Galapagos lakes, particularly their paleolimnology, physical/chemical parameters, and plankton communities. Historically, Ecuador's inland and Pacific waters were studied and described by European explorers, including Juan de Velasco, Alexander von Humboldt, and Charles Darwin. In modern times, other Europeans followed Colinvaux and Steinitz-Kannan. In the 1990s, Dean Jacobsen extended limnologic studies to Ecuadorian stream ecology, focusing on macroinvertebrates from streams covering wide environmental gradients. In the 2000s, Gunter Gunkel intensively studied several Andean lakes in northern Ecuador. In the 2010s, Willem Van Colen and Ecuadorian colleagues continued limnologic research in Andean lakes located in Azuay and Imbabura provinces. The Instituto Antarctico Ecuatoriano has, and continues to, conduct limnological research in Ecuador's Antarctic territory on Greenwich Island. Going forward, Ecuadorian universities are training their students to take the research initiative, inspiring a limnologic renaissance at a critical time when the country's water resources are increasingly threatened by climate change and human impacts.</t>
  </si>
  <si>
    <t>[Steinitz-Kannan, Miriam] Northern Kentucky Univ, Dept Biol Sci, Highland Hts, KY 41099 USA; [Lopez, Carlos] Univ Tecn Manabi, Grp Invest Biodiversidad &amp; Ecol Sistemas Acuat, Escuela Acuicultura &amp; Pesqueria, Fac Ciencias Vet, Bahia De Caraquez 131401, Ecuador; [Jacobsen, Dean] Univ Copenhagen, Freshwater Biol Lab, DK-2100 Copenhagen, Denmark; [Guerra, Maria de Lourdes] Inst Antartico Ecuatoriano INAE, Blvd 9 Octubre 416 &amp; Chile Citibank Piso 4, Quito, Ecuador</t>
  </si>
  <si>
    <t>Northern Kentucky University; Universidad Tecnica de Manabi; University of Copenhagen</t>
  </si>
  <si>
    <t>Steinitz-Kannan, M (corresponding author), Northern Kentucky Univ, Dept Biol Sci, Highland Hts, KY 41099 USA.</t>
  </si>
  <si>
    <t>kannan@nku.edu</t>
  </si>
  <si>
    <t>Jacobsen, Dean/K-4920-2014; López, Carlos/AAS-4155-2021</t>
  </si>
  <si>
    <t>López, Carlos/0000-0001-5267-7257; Steinitz Kannan, Miriam/0000-0002-6361-0186</t>
  </si>
  <si>
    <t>Ministerio del Ambiente de Ecuador; Servicio de Parques Nacionales de Ecuador; Parque Nacional Galapagos; Charles Darwin Research Station; Instituto Geografico Militar</t>
  </si>
  <si>
    <t>Most of the current knowledge of freshwater science in Ecuador is made possible by enthusiastic cooperation and support from Ecuadorian institutions, including the Ministerio del Ambiente de Ecuador, Servicio de Parques Nacionales de Ecuador, Parque Nacional Galapagos, Charles Darwin Research Station, and the Instituto Geografico Militar. The idea of writing this article emerged during an organizational meeting of the Association of Ecuadorian Limnologists organized by Dr. Andrea Encalada. We thank Dr. Ramamurthi Kannan and Dr. Luz Marina Soto Quintana for helpful comments on this manuscript and Bonnie L. Maxton-Harvey for editorial help. Dr. Joshua Cooper provided Fig. 1 for this manuscript. Miriam Steinitz-Kannan acknowledges and recognizes Dr. Michael C. Miller as a valued member of limnological expeditions from the late 1970s until mid-2000s.</t>
  </si>
  <si>
    <t>0018-8158</t>
  </si>
  <si>
    <t>1573-5117</t>
  </si>
  <si>
    <t>Hydrobiologia</t>
  </si>
  <si>
    <t>10.1007/s10750-020-04291-1</t>
  </si>
  <si>
    <t>OQ9BN</t>
  </si>
  <si>
    <t>WOS:000538232400001</t>
  </si>
  <si>
    <t>Yi, SB; Lee, MJ; Park, SH; Nagao, K; Han, S; Yang, YS; Choi, H; Baek, J; Sumino, H</t>
  </si>
  <si>
    <t>Yi, Sang-Bong; Lee, Mi Jung; Park, Sung-Hyun; Nagao, Keisuke; Han, Seunghee; Yang, Yun Seok; Choi, Hakkyum; Baek, Jongmin; Sumino, Hirochika</t>
  </si>
  <si>
    <t>Alkalic to tholeiitic magmatism near a mid-ocean ridge: petrogenesis of the KR1 Seamount Trail adjacent to the Australian-Antarctic Ridge</t>
  </si>
  <si>
    <t>INTERNATIONAL GEOLOGY REVIEW</t>
  </si>
  <si>
    <t>KR1 Seamount Trail; alkaline basalt; tholeiite; PREMA (FOZO); recycled oceanic crust</t>
  </si>
  <si>
    <t>PARTIAL MELTING EXPERIMENTS; OCEAN ISLAND BASALTS; 3 GPA; MANTLE SOURCE; ISOTOPIC CONSTRAINTS; HETEROGENEOUS MANTLE; FERTILE PERIDOTITE; LOUISVILLE HOTSPOT; GARNET PERIDOTITE; MAFIC LITHOLOGIES</t>
  </si>
  <si>
    <t>Coexisting alkalic and tholeiitic basalt lavas has been identified in a seamount chain located near the Australian-Antarctic spreading ridge. The KR1 Seamount Trail (KR1 ST) is a series of volcanic seamounts extending to the southeast in the spreading direction of the Australian-Antarctic Ridge (AAR). We herein report Sr, Nd and Pb isotopic compositions and (U-Th)/He and K-Ar geochronology for dredge samples from the KR1 ST in order to evaluate mantle processes and the role of enriched components for alkalic to tholeiitic magma generation in this region. The KR1 ST is a medium-sized seamount chain that extends for similar to 60 km, has a maximum height of similar to 1600 m above the seafloor, and consists of alkaline basalts and tholeiites with formation ages of similar to 0.4 Ma to &lt;= 1.3 Ma. The isotopic characteristics of the alkaline basalts (Pb-206/Pb-204 = 19.52-19.91;Sr-87/Sr-86 = 0.7030-0.7033;Nd-143/Nd-144 = 0.5128-0.5130) from the KR1 ST reflect a dominant 'PREMA (or FOZO)' mantle component represented by radiogenic Pb and mildly enriched Sr and Nd isotopic compositions. On the other hand, the weak PREMA (FOZO)-affinity (Pb-206/Pb-204 = 18.89-18.93;Sr-87/Sr-86 = 0.7028-0.7029;Nd-143/Nd-144 = similar to 0.5130;He-3/He-4 = 7.64 +/- 0.13 (R/R-A)) coupled with their enriched mid-ocean ridge basalt (E-MORB) characteristics of tholeiites from the KR1 ST largely overlap with the KR1 MORB composition. The potential source materials for the alkaline basalts are considered to be ancient, recycled oceanic crust (i.e. eclogite) as well as sub-KR1 depleted MORB mantle (DMM). Whereas the main source materials for the KR1 ST tholeiites are presumed to be the DMM-dominant lithology with minor recycled material. We interpret the KR1 ST as a submarine hotspot chain that was formed by asthenospheric upwelling and spreading processes that delivered fertile blobs of recycled oceanic crust to the sub-KR1 region. The fundamental reason for sub-KR1 upper mantle enrichment might be attributed to a mantle plume event that possibly occurred prior to the formation of the KR1 ST.</t>
  </si>
  <si>
    <t>[Yi, Sang-Bong; Lee, Mi Jung; Park, Sung-Hyun; Nagao, Keisuke; Han, Seunghee; Yang, Yun Seok; Choi, Hakkyum; Baek, Jongmin] Korea Polar Res Inst, Div Polar Earth Syst Sci, Songdomirae Ro 26, Incheon 21990, South Korea; [Sumino, Hirochika] Univ Tokyo, Dept Basic Sci, Grad Sch Arts &amp; Sci, Tokyo, Japan</t>
  </si>
  <si>
    <t>Korea Polar Research Institute (KOPRI); University of Tokyo</t>
  </si>
  <si>
    <t>Lee, MJ (corresponding author), Korea Polar Res Inst, Div Polar Earth Syst Sci, Songdomirae Ro 26, Incheon 21990, South Korea.</t>
  </si>
  <si>
    <t>mjlee@kopri.re.kr</t>
  </si>
  <si>
    <t>Sumino, Hirochika/G-4912-2014</t>
  </si>
  <si>
    <t>Choi, Hakkyum/0000-0001-9440-3369; Yi, Sang-Bong/0000-0001-6253-5420; Sumino, Hirochika/0000-0002-4689-6231</t>
  </si>
  <si>
    <t>Korea Polar Research Institute (KOPRI) [PE20200]</t>
  </si>
  <si>
    <t>Korea Polar Research Institute (KOPRI)(Korea Polar Research Institute of Marine Research Placement (KOPRI))</t>
  </si>
  <si>
    <t>This study was supported by the Korea Polar Research Institute (KOPRI) under Grant [PE20200].</t>
  </si>
  <si>
    <t>0020-6814</t>
  </si>
  <si>
    <t>1938-2839</t>
  </si>
  <si>
    <t>INT GEOL REV</t>
  </si>
  <si>
    <t>Int. Geol. Rev.</t>
  </si>
  <si>
    <t>10.1080/00206814.2020.1756002</t>
  </si>
  <si>
    <t>ST8QQ</t>
  </si>
  <si>
    <t>WOS:000543099900001</t>
  </si>
  <si>
    <t>Kihm, JH; Kim, S; McInnes, SJ; Zawierucha, K; Rho, HS; Kang, P; Park, TYS</t>
  </si>
  <si>
    <t>Kihm, Ji-Hoon; Kim, Sanghee; McInnes, Sandra J.; Zawierucha, Krzysztof; Rho, Hyun Soo; Kang, Pilmo; Park, Tae-Yoon S.</t>
  </si>
  <si>
    <t>Integrative description of a new Dactylobiotus (Eutardigrada: Parachela) from Antarctica that reveals an intraspecific variation in tardigrade egg morphology</t>
  </si>
  <si>
    <t>KING-GEORGE-ISLAND; FRESH-WATER TARDIGRADES; SP N. EUTARDIGRADA; LIMNOTERRESTRIAL TARDIGRADE; HUFELANDI GROUP; MOLECULAR-DATA; MACROBIOTIDAE; GENUS; DIVERSITY; IDENTIFICATION</t>
  </si>
  <si>
    <t>Tardigrades constitute one of the most important group in the challenging Antarctic terrestrial ecosystem. Living in various habitats, tardigrades play major roles as consumers and decomposers in the trophic networks of Antarctic terrestrial and freshwater environments; yet we still know little about their biodiversity. The Eutardigrada is a species rich class, for which the eggshell morphology is one of the key morphological characters. Tardigrade egg morphology shows a diverse appearance, and it is known that, despite rare, intraspecific variation is caused by seasonality, epigenetics, and external environmental conditions. Here we report Dactylobiotus ovimutans sp. nov. from King George Island, Antarctica. Interestingly, we observed a range of eggshell morphologies from the new species, although the population was cultured under controlled laboratory condition. Thus, seasonality, environmental conditions, and food source are eliminated, leaving an epigenetic factor as a main cause for variability in this case.</t>
  </si>
  <si>
    <t>[Kihm, Ji-Hoon; Kang, Pilmo; Park, Tae-Yoon S.] Korea Polar Res Inst, Div Polar Earth Syst Sci, 26 Songdomirae Ro, Incheon 21990, South Korea; [Kihm, Ji-Hoon; Park, Tae-Yoon S.] Univ Sci &amp; Technol, Polar Sci, 217 Gajeong Ro, Daejeon 34113, South Korea; [Kim, Sanghee] Korea Polar Res Inst, Div Polar Life Sci, 26 Songdomirae Ro, Incheon 21990, South Korea; [McInnes, Sandra J.] British Antarctic Survey, Nat Environm Res Council, Madingley Rd, Cambridge CB3 0ET, England; [Zawierucha, Krzysztof] Adam Mickiewicz Univ, Fac Biol, Dept Anim Taxon &amp; Ecol, Uniwersytetu Poznariskiego 6, PL-61614 Poznan, Poland; [Rho, Hyun Soo] Korea Inst Ocean Sci &amp; Technol, East Sea Res Inst, East Sea Environm Res Ctr, 48 Haeyanggwahak Gil, Uljin 36315, Gyeongsangbuk D, South Korea</t>
  </si>
  <si>
    <t>Korea Polar Research Institute (KOPRI); University of Science &amp; Technology (UST); Korea Polar Research Institute (KOPRI); UK Research &amp; Innovation (UKRI); Natural Environment Research Council (NERC); NERC British Antarctic Survey; Adam Mickiewicz University; Korea Institute of Ocean Science &amp; Technology (KIOST)</t>
  </si>
  <si>
    <t>Park, TYS (corresponding author), Korea Polar Res Inst, Div Polar Earth Syst Sci, 26 Songdomirae Ro, Incheon 21990, South Korea.;Park, TYS (corresponding author), Univ Sci &amp; Technol, Polar Sci, 217 Gajeong Ro, Daejeon 34113, South Korea.</t>
  </si>
  <si>
    <t>typark@kopri.re.kr</t>
  </si>
  <si>
    <t>Zawierucha, Krzysztof/HTP-6506-2023; Zawierucha, Krzysztof/HDN-5985-2022; McInnes, Sandra/AAN-4773-2020</t>
  </si>
  <si>
    <t>Zawierucha, Krzysztof/0000-0002-0754-1411; McInnes, Sandra/0000-0003-3403-9379; Kihm, Ji-Hoon/0000-0001-8605-6272</t>
  </si>
  <si>
    <t>Korea Polar Research main project [PE20220, PE20170]; National Science Centre scholarship [2015/16/T/NZ8/00017]; NERC [bas010011] Funding Source: UKRI</t>
  </si>
  <si>
    <t>Korea Polar Research main project; National Science Centre scholarship; NERC(UK Research &amp; Innovation (UKRI)Natural Environment Research Council (NERC))</t>
  </si>
  <si>
    <t>This research was supported by Korea Polar Research main project PE20220. SK was supported by Korea Polar Research main project PE20170. During studies on Antarctic species of Dactylobiotus, KZ was a beneficiary of a National Science Centre scholarship to support doctoral research (no.2015/16/T/NZ8/00017). The authors would like to thank . Kaczmarek and an anonymous reviewer for their helpful comments which significantly improved the text. The authors are grateful to Professor James Diggle (Queen College, Cambridge) for his assistance with the Latin name of the new species and to Dr. Bo-Mi Kim (KOPRI, Korea) for providing rotifers to feed tardigrades.</t>
  </si>
  <si>
    <t>JUN 4</t>
  </si>
  <si>
    <t>10.1038/s41598-020-65573-1</t>
  </si>
  <si>
    <t>LY3VC</t>
  </si>
  <si>
    <t>WOS:000540455400033</t>
  </si>
  <si>
    <t>French, WJR; Mulligan, FJ; Klekociuk, AR</t>
  </si>
  <si>
    <t>French, W. John R.; Mulligan, Frank J.; Klekociuk, Andrew R.</t>
  </si>
  <si>
    <t>Analysis of 24 years of mesopause region OH rotational temperature observations at Davis, Antarctica - Part 1: long-term trends</t>
  </si>
  <si>
    <t>SOLAR-ACTIVITY; TRANSITION-PROBABILITIES; LOWER THERMOSPHERE; MESOSPHERIC TEMPERATURES; EMISSION ALTITUDE; SABER EXPERIMENT; CARBON-DIOXIDE; AIRGLOW; VARIABILITY; CO2</t>
  </si>
  <si>
    <t>The long-term trend, solar cycle response, and residual variability in 24 years of hydroxyl nightglow rotational temperatures above Davis research station, Antarctica (68 degrees S, 78 degrees E) are reported. Hydroxyl rotational temperatures are a layer-weighted proxy for kinetic temperatures near 87 km altitude and have been used for many decades to monitor trends in the mesopause region in response to increasing greenhouse gas emissions. Routine observations of the OH(6-2) band P-branch emission lines using a scanning spectrometer at Davis station have been made continuously over each winter season since 1995. Significant outcomes of this most recent analysis update are the following: (a) a record-low winter-average temperature of 198.3 K is obtained for 2018 (1.7 K below previous low in 2009); (b) a long-term cooling trend of -1.2 +/- 0.51 K per decade persists, coupled with a solar cycle response of 4.3 +/- 1.02 K per 100 solar flux units; and (c) we find evidence in the residual winter mean temperatures of an oscillation on a quasi-quadrennial (QQO) timescale which is investigated in detail in Part 2 of this work. Our observations and trend analyses are compared with satellite measurements from Aura/MLS version v4.2 level-2 data over the last 14 years, and we find close agreement (a best fit to temperature anomalies) with the 0.00464 hPa pressure level values. The solar cycle response (3.4 +/- 2.3 K per 100 sfu), long-term trend (-1.3 +/- 1.2 K per decade), and underlying QQO residuals in Aura/MLS are consistent with the Davis observations. Consequently, we extend the Aura/MLS trend analysis to provide a global view of solar response and long-term trend for Southern and Northern Hemisphere winter seasons at the 0.00464 hPa pressure level to compare with other observers and models.</t>
  </si>
  <si>
    <t>[French, W. John R.; Klekociuk, Andrew R.] Australian Antarctic Div, 203 Channel Hwy, Kingston, Tas 7050, Australia; [Mulligan, Frank J.] Maynooth Univ, Maynooth, Kildare, Ireland; [Klekociuk, Andrew R.] Univ Adelaide, Dept Phys, Adelaide, SA 5005, Australia</t>
  </si>
  <si>
    <t>Australian Antarctic Division; Maynooth University; University of Adelaide</t>
  </si>
  <si>
    <t>Australian Antarctic Program under the Australian Government Department of Agriculture, Water and the Environment [AAS 4157]</t>
  </si>
  <si>
    <t>Australian Antarctic Program under the Australian Government Department of Agriculture, Water and the Environment</t>
  </si>
  <si>
    <t>This work is undertaken within the Australian Antarctic Program (project AAS 4157) under the Australian Government Department of Agriculture, Water and the Environment.</t>
  </si>
  <si>
    <t>10.5194/acp-20-6379-2020</t>
  </si>
  <si>
    <t>LV5SS</t>
  </si>
  <si>
    <t>WOS:000538495300001</t>
  </si>
  <si>
    <t>Osinska, M; Jedrasik, J</t>
  </si>
  <si>
    <t>Osinska, Maria; Jedrasik, Jan</t>
  </si>
  <si>
    <t>Atlantic Oscillation indices in meridional distribution</t>
  </si>
  <si>
    <t>THEORETICAL AND APPLIED CLIMATOLOGY</t>
  </si>
  <si>
    <t>GEOPOTENTIAL HEIGHT; ARCTIC OSCILLATION; CLIMATE SYSTEM; DIPOLE MODE; VARIABILITY; TRENDS; TEMPERATURES; SIGNATURE; ANOMALIES; PRESSURE</t>
  </si>
  <si>
    <t>The goal of this study was to define new oscillation indices of the Atlantic Ocean covering latitudes of both hemispheres, for the period from 1900 until 2014. Indices described sea level atmospheric pressure (SLP) oscillations between neighbouring cells of global atmospheric circulation (northern and southern Hadley, Ferrel and polar cells) and were calculated using two methods: conventional (based on SLP values in selected stations) and extreme values method (counted using maximum or minimum SLP from adequate areas). Twelve time series of new Atlantic Oscillation indices have been obtained-six conventional and six extreme, which have been presented in continuous form and through selection data by seasons: December-February (DJF), and June-August (JJA). The indices' time series showed similarities in shared maxima and minima moments and long-lasting increasing tendency of five extreme and three conventional indices. There were strong correlations between oscillation indices describing variability in Hadley cells on both hemispheres (conventional 0.593-0.907, extreme 0.088-0.908). A strong correlation occurred between Southern Atlantic and Antarctic South Atlantic Extreme indices (0.668 to 0.979). Overall, stronger connections were found between extreme indices than the conventional ones, and most regularities were found in the Southern Hemisphere oscillations and wintertime indices (DJF for Northern and JJA for Southern Hemisphere). Power spectrum analysis showed major impact of 6- and 12-month periods, as well as less distinct significance of approximately 5.5-year-long interval and its multiples.</t>
  </si>
  <si>
    <t>[Osinska, Maria; Jedrasik, Jan] Univ Gdansk, Inst Oceanog, Pilsudskiego 46, PL-81378 Gdynia, Poland</t>
  </si>
  <si>
    <t>Fahrenheit Universities; University of Gdansk</t>
  </si>
  <si>
    <t>Osinska, M (corresponding author), Univ Gdansk, Inst Oceanog, Pilsudskiego 46, PL-81378 Gdynia, Poland.</t>
  </si>
  <si>
    <t>m.osinska.951@studms.ug.edu.pl</t>
  </si>
  <si>
    <t>Osinska, Maria/JDC-5266-2023</t>
  </si>
  <si>
    <t>Osinska, Maria/0000-0003-0882-3573</t>
  </si>
  <si>
    <t>U.S. Department of Energy, Office of Science Biological and Environmental Research (BER); National Oceanic and Atmospheric Administration Climate Program Office</t>
  </si>
  <si>
    <t>U.S. Department of Energy, Office of Science Biological and Environmental Research (BER)(United States Department of Energy (DOE)); National Oceanic and Atmospheric Administration Climate Program Office(National Oceanic Atmospheric Admin (NOAA) - USA)</t>
  </si>
  <si>
    <t>Calculations have been made possible due to software provided by CI TASK (Center of the Tri-City Academic Computer Network) in Gdansk. We are grateful for critical remarks, constructive comments and suggestions from both anonymous reviewers. In this paper Twentieth Century Reanalysis Project version 2c dataset open access data was used which funding was provided by the U.S. Department of Energy, Office of Science Biological and Environmental Research (BER), and by the National Oceanic and Atmospheric Administration Climate Program Office.</t>
  </si>
  <si>
    <t>0177-798X</t>
  </si>
  <si>
    <t>1434-4483</t>
  </si>
  <si>
    <t>THEOR APPL CLIMATOL</t>
  </si>
  <si>
    <t>Theor. Appl. Climatol.</t>
  </si>
  <si>
    <t>3-4</t>
  </si>
  <si>
    <t>10.1007/s00704-020-03281-6</t>
  </si>
  <si>
    <t>MK4AZ</t>
  </si>
  <si>
    <t>WOS:000538011000001</t>
  </si>
  <si>
    <t>Brownell, RL; Butterworth, DS; Kemper, CM; Cawthorn, M; Double, M; Donovan, GP; Gambell, R; Kato, H</t>
  </si>
  <si>
    <t>Brownell, Robert L.; Butterworth, Doug S.; Kemper, Catherine M.; Cawthorn, Martin; Double, Michael; Donovan, Greg P.; Gambell, Ray; Kato, Hidehiro</t>
  </si>
  <si>
    <t>John Leonard Bannister 1937-2018 MEMORIES</t>
  </si>
  <si>
    <t>MARINE MAMMAL SCIENCE</t>
  </si>
  <si>
    <t>Biographical-Item</t>
  </si>
  <si>
    <t>[Brownell, Robert L.] NOAA, Southwest Fisheries Sci Ctr, Monterey, CA USA; [Butterworth, Doug S.] Univ Cape Town, Dept Math &amp; Appl Math, Rondebosch, South Africa; [Kemper, Catherine M.] South Australian Museum, North Terrace, Adelaide, SA, Australia; [Cawthorn, Martin] 53 Motuhara Rd, Wellington, New Zealand; [Double, Michael] Australian Marine Mammal Ctr, Australian Antarctic Div, Kingston, Tas, Australia; [Donovan, Greg P.] Int Whaling Commiss, Cambridge, England; [Gambell, Ray] 2 Green End, Cambridge, England; [Kato, Hidehiro] Tokyo Univ Marine Sci &amp; Technol, Minato Ku, 4-5-7 Konan, Tokyo, Japan</t>
  </si>
  <si>
    <t>National Oceanic Atmospheric Admin (NOAA) - USA; University of Cape Town; South Australian Museum; Australian Antarctic Division; Tokyo University of Marine Science &amp; Technology</t>
  </si>
  <si>
    <t>Brownell, RL (corresponding author), Southwest Fisheries Sci Ctr, 99 Pacific St,Suite 255A, Monterey, CA 93940 USA.</t>
  </si>
  <si>
    <t>robert.brownell@noaa.gov</t>
  </si>
  <si>
    <t>0824-0469</t>
  </si>
  <si>
    <t>1748-7692</t>
  </si>
  <si>
    <t>MAR MAMMAL SCI</t>
  </si>
  <si>
    <t>Mar. Mamm. Sci.</t>
  </si>
  <si>
    <t>10.1111/mms.12701</t>
  </si>
  <si>
    <t>Marine &amp; Freshwater Biology; Zoology</t>
  </si>
  <si>
    <t>ML4OM</t>
  </si>
  <si>
    <t>WOS:000537597200001</t>
  </si>
  <si>
    <t>Mangiagalli, M; Lapi, M; Maione, S; Orlando, M; Brocca, S; Pesce, A; Barbiroli, A; Camilloni, C; Pucciarelli, S; Lotti, M; Nardini, M</t>
  </si>
  <si>
    <t>Mangiagalli, Marco; Lapi, Michela; Maione, Serena; Orlando, Marco; Brocca, Stefania; Pesce, Alessandra; Barbiroli, Alberto; Camilloni, Carlo; Pucciarelli, Sandra; Lotti, Marina; Nardini, Marco</t>
  </si>
  <si>
    <t>The co-existence of cold activity and thermal stability in an Antarctic GH42 β-galactosidase relies on its hexameric quaternary arrangement</t>
  </si>
  <si>
    <t>FEBS JOURNAL</t>
  </si>
  <si>
    <t>cold adaptation; cooperativity; enzyme kinetics; glycoside hydrolase; psychrophilic enzyme</t>
  </si>
  <si>
    <t>CRYSTAL-STRUCTURE; HETEROLOGOUS EXPRESSION; PSYCHROPHILIC ENZYMES; EUPLOTES-FOCARDII; PROTEIN-STRUCTURE; WEB SERVER; MODEL; GENE; TEMPERATURE; ADAPTATION</t>
  </si>
  <si>
    <t>To survive in cold environments, psychrophilic organisms produce enzymes endowed with high specific activity at low temperature. The structure of these enzymes is usually flexible and mostly thermolabile. In this work, we investigate the structural basis of cold adaptation of a GH42 beta-galactosidase from the psychrophilic Marinomonas ef1. This enzyme couples cold activity with astonishing robustness for a psychrophilic protein, for it retains 23% of its highest activity at 5 degrees C and it is stable for several days at 37 degrees C and even 50 degrees C. Phylogenetic analyses indicate a close relationship with thermophilic beta-galactosidases, suggesting that the present-day enzyme evolved from a thermostable scaffold modeled by environmental selective pressure. The crystallographic structure reveals the overall similarity with GH42 enzymes, along with a hexameric arrangement (dimer of trimers) not found in psychrophilic, mesophilic, and thermophilic homologues. In the quaternary structure, protomers form a large central cavity, whose accessibility to the substrate is promoted by the dynamic behavior of surface loops, even at low temperature. A peculiar cooperative behavior of the enzyme is likely related to the increase of the internal cavity permeability triggered by heating. Overall, our results highlight a novel strategy of enzyme cold adaptation, based on the oligomerization state of the enzyme, which effectively challenges the paradigm of cold activity coupled with intrinsic thermolability. Database Structural data are available in the Protein Data Bank database under the accession number .</t>
  </si>
  <si>
    <t>[Mangiagalli, Marco; Maione, Serena; Orlando, Marco; Brocca, Stefania; Lotti, Marina] Univ Milano Bicocca, Dept Biotechnol &amp; Biosci, Pzza Sci 2, I-20126 Milan, Italy; [Lapi, Michela; Camilloni, Carlo; Nardini, Marco] Univ Milan, Dept Biosci, Via Celoria 26, I-20133 Milan, Italy; [Pesce, Alessandra] Univ Genoa, Dept Phys, Genoa, Italy; [Barbiroli, Alberto] Univ Milan, Dept Food Environm &amp; Nutr Sci, Milan, Italy; [Pucciarelli, Sandra] Univ Camerino, Sch Biosci &amp; Vet Med, Camerino, Italy</t>
  </si>
  <si>
    <t>University of Milano-Bicocca; University of Milan; University of Genoa; University of Milan; University of Camerino</t>
  </si>
  <si>
    <t>Lotti, M (corresponding author), Univ Milano Bicocca, Dept Biotechnol &amp; Biosci, Pzza Sci 2, I-20126 Milan, Italy.;Nardini, M (corresponding author), Univ Milan, Dept Biosci, Via Celoria 26, I-20133 Milan, Italy.</t>
  </si>
  <si>
    <t>marina.lotti@unimib.it; marco.nardini@unimi.it</t>
  </si>
  <si>
    <t>Orlando, Marco/GXG-1979-2022; Lotti, Marina/AAU-1630-2020; Camilloni, Carlo/A-4395-2009; Brocca, Stefania/AAE-1299-2021; MANGIAGALLI, MARCO/Q-9988-2018</t>
  </si>
  <si>
    <t>Orlando, Marco/0000-0002-5914-3052; Lotti, Marina/0000-0001-5419-7572; MANGIAGALLI, MARCO/0000-0001-8211-165X; PESCE, ALESSANDRA/0000-0001-7806-2082; BROCCA, STEFANIA/0000-0001-7256-4436; Pucciarelli, Sandra/0000-0003-4178-2689; Lapi, Michela/0000-0002-7613-2275</t>
  </si>
  <si>
    <t>University of Milano-Bicocca</t>
  </si>
  <si>
    <t>MM acknowledges support by a post doc research fellow (Assegno di Ricerca) of the University of Milano-Bicocca.</t>
  </si>
  <si>
    <t>1742-464X</t>
  </si>
  <si>
    <t>1742-4658</t>
  </si>
  <si>
    <t>FEBS J</t>
  </si>
  <si>
    <t>FEBS J.</t>
  </si>
  <si>
    <t>10.1111/febs.15354</t>
  </si>
  <si>
    <t>PT3GA</t>
  </si>
  <si>
    <t>WOS:000537698000001</t>
  </si>
  <si>
    <t>Contador, T; Ganan, M; Bizama, G; Fuentes-Jaque, G; Morales, L; Rendoll, J; Simoes, F; Kennedy, J; Rozzi, R; Convey, P</t>
  </si>
  <si>
    <t>Contador, Tamara; Ganan, Melisa; Bizama, Gustavo; Fuentes-Jaque, Guillermo; Morales, Luis; Rendoll, Javier; Simoes, Felipe; Kennedy, James; Rozzi, Ricardo; Convey, Peter</t>
  </si>
  <si>
    <t>Assessing distribution shifts and ecophysiological characteristics of the only Antarctic winged midge under climate change scenarios</t>
  </si>
  <si>
    <t>PREDICTING SPECIES DISTRIBUTIONS; FRESH-WATER ECOSYSTEMS; KING-GEORGE ISLAND; PAROCHLUS-STEINENII; DISTRIBUTION MODELS; BYERS PENINSULA; DIPTERA; RESPONSES; IMPACTS; ACCURACY</t>
  </si>
  <si>
    <t>Parts of Antarctica were amongst the most rapidly changing regions of the planet during the second half of the Twentieth Century. Even so, today, most of Antarctica remains in the grip of continental ice sheets, with only about 0.2% of its overall area being ice-free. The continent's terrestrial fauna consists only of invertebrates, with just two native species of insects, the chironomid midges Parochlus steinenii and Belgica antarctica. We integrate ecophysiological information with the development of new high-resolution climatic layers for Antarctica, to better understand how the distribution of P. steinenii may respond to change over the next century under different IPCC climate change scenarios. We conclude that the species has the potential to expand its distribution to include parts of the west and east coasts of the Antarctic Peninsula and even coastal ice-free areas in parts of continental Antarctica. We propose P. steinenii as an effective native sentinel and indicator species of climate change in the Antarctic.</t>
  </si>
  <si>
    <t>[Contador, Tamara; Ganan, Melisa; Rendoll, Javier; Kennedy, James; Rozzi, Ricardo] Univ Magallanes, Subantarctic Biocultural Conservat Program, Punta Arenas, Chile; [Contador, Tamara] Millennium Nucleus Invas Salmonids INVASAL, Concepcion, Chile; [Contador, Tamara; Rendoll, Javier; Rozzi, Ricardo] Inst Ecol &amp; Biodivers IEB Chile, Santiago, Chile; [Bizama, Gustavo; Fuentes-Jaque, Guillermo; Morales, Luis] Univ Chile, Fac Agr Sci, Dept Environm Sci &amp; Nat Renewable Resources, Lab Res Environm Sci LARES, Santiago, Chile; [Kennedy, James] Univ North Texas, Dept Biol Sci, Denton, TX 76203 USA; [Rozzi, Ricardo] Univ North Texas, Dept Philosophy &amp; Relig Studies, Denton, TX 76203 USA; [Simoes, Felipe; Convey, Peter] British Antarctic Survey, Cambridge, England</t>
  </si>
  <si>
    <t>Universidad de Magallanes; Universidad de Chile; University of North Texas System; University of North Texas Denton; University of North Texas System; University of North Texas Denton; UK Research &amp; Innovation (UKRI); Natural Environment Research Council (NERC); NERC British Antarctic Survey</t>
  </si>
  <si>
    <t>Contador, T; Ganan, M (corresponding author), Univ Magallanes, Subantarctic Biocultural Conservat Program, Punta Arenas, Chile.;Contador, T (corresponding author), Millennium Nucleus Invas Salmonids INVASAL, Concepcion, Chile.;Contador, T (corresponding author), Inst Ecol &amp; Biodivers IEB Chile, Santiago, Chile.</t>
  </si>
  <si>
    <t>tamara.contador@umag.cl; melysa_gm@yahoo.es</t>
  </si>
  <si>
    <t>Convey, Peter/AAV-5728-2020; Contador, Tamara/AAC-2161-2021; Rozzi, Ricardo/G-1047-2012</t>
  </si>
  <si>
    <t>Convey, Peter/0000-0001-8497-9903; Contador, Tamara/0000-0002-0250-9877; Rozzi, Ricardo/0000-0001-5265-8726; Ganan Mora, Melisa/0000-0001-6411-9295; Rendoll, Javier/0000-0003-1928-0914; Fuentes Jaque, Guillermo Servando/0000-0002-7864-4899</t>
  </si>
  <si>
    <t>Chile's National Fund for Scientific and Technological Development (FONDECYT); Chilean Antarctic Institute (INACH); CONICYT PIA Apoyo CCTE [11130451, RT_48_ 16, AFB170008]; NERC; BAS; Department of Zoology, University of Cambridge; NERC [bas0100036] Funding Source: UKRI</t>
  </si>
  <si>
    <t>Chile's National Fund for Scientific and Technological Development (FONDECYT)(Comision Nacional de Investigacion Cientifica y Tecnologica (CONICYT)CONICYT FONDECYT); Chilean Antarctic Institute (INACH); CONICYT PIA Apoyo CCTE; NERC(UK Research &amp; Innovation (UKRI)Natural Environment Research Council (NERC)); BAS; Department of Zoology, University of Cambridge(University of Cambridge); NERC(UK Research &amp; Innovation (UKRI)Natural Environment Research Council (NERC))</t>
  </si>
  <si>
    <t>This project was funded by Chile's National Fund for Scientific and Technological Development (FONDECYT), the Chilean Antarctic Institute (INACH) and CONICYT PIA Apoyo CCTE (projects 11130451, RT_48_ 16, and AFB170008, respectively). P.C. was supported by NERC core funding to the British Antarctic Survey (BAS) 'Biodiversity Evolution and Adaptation' Team. F. S. was supported by BAS and the Department of Zoology, University of Cambridge. We thank Simon Castillo, Ramiro Bustamante, Gilliam Graham and Gonzalo Arriagada for their help in the different stages of this project. Gonzalo Arriagada produced the photographs of Parochlus steinenii larvae, pupae and adult used in Fig. 6. Climate data were downloaded from the NASA Earth Exchange Global Daily Downscaled Projections (NEX-GDDP; https://cds.nccs.nasa.gov/nex-gddp; Thrasher, Maurer, McKellar, &amp; Duffy, 2012). The rock_outcrop_high_res_polygon, coastline_high_res_ line, and seamask_high_ res_polygon layers were downloaded from the Antarctic Digital Database (ADD version 7; http://www.add.scar.org).The authors thank the reviewers who helped to greatly improve this manuscript.</t>
  </si>
  <si>
    <t>JUN 3</t>
  </si>
  <si>
    <t>10.1038/s41598-020-65571-3</t>
  </si>
  <si>
    <t>MD4SM</t>
  </si>
  <si>
    <t>WOS:000543961900025</t>
  </si>
  <si>
    <t>Weisleitner, K; Perras, AK; Unterberger, SH; Moissl-Eichinger, C; Andersen, DT; Sattler, B</t>
  </si>
  <si>
    <t>Weisleitner, Klemens; Perras, Alexandra Kristin; Unterberger, Seraphin Hubert; Moissl-Eichinger, Christine; Andersen, Dale T.; Sattler, Birgit</t>
  </si>
  <si>
    <t>Cryoconite Hole Location in East-Antarctic Untersee Oasis Shapes Physical and Biological Diversity</t>
  </si>
  <si>
    <t>Anuchin Glacier; 16S rRNA; cryoconite holes; mineralogy; archaea; bacterial activity; biogeochemistry</t>
  </si>
  <si>
    <t>MCMURDO DRY VALLEYS; COVERED LAKE UNTERSEE; PERENNIAL ICE COVER; DRONNING MAUD LAND; BACTERIAL DIVERSITY; CANADA GLACIER; BIOGEOCHEMISTRY; COMMUNITIES; BIODIVERSITY; ECOSYSTEMS</t>
  </si>
  <si>
    <t>Antarctic cryoconite holes (CHs) are mostly perennially ice-lidded and sediment-filled depressions that constitute important features on glaciers and ice sheets. Once being hydrologically connected, these microbially dominated mini-ecosystems provide nutrients and biota for downstream environments. For example, the East Antarctic Anuchin Glacier gradually melts into the adjacent perennially ice-covered Lake Untersee, and CH biota from this glacier contribute up to one third of the community composition in benthic microbial mats within the lake. However, biogeochemical features of these CHs and associated spatial patterns across the glacier are still unknown. Here we hypothesized about the CH minerogenic composition between the different sources such as the medial moraine and other zones. Further, we intended to investigate if the depth of the CH mirrors the CH community composition, organic matter (OM) content and would support productivity. In this study we show that both microbial communities and biogeochemical parameters in CHs were significantly different between the zones medial moraine and the glacier terminus. Variations in microbial community composition are the result of factors such as depth, diameter, organic matter, total carbon, particle size, and mineral diversity. More than 90% of all ribosomal sequence variants (RSV) reads were classified as Proteobacteria, Cyanobacteria, Bacteroidetes, Actinobacteria, and Acidobacteria. Archaea were detected in 85% of all samples and exclusively belonged to the classes Halobacteria, Methanomicrobia, and Thermoplasmata. The most abundant genus wasHalorubrum(Halobacteria) and was identified in nine RSVs. The core microbiome for bacteria comprised 30 RSVs that were affiliated with Cyanobacteria, Bacteroidetes, Actinobacteria, and Proteobacteria. The archaeal fraction of the core microbiome consisted of three RSVs belonging to unknown genera of Methanomicrobiales and Thermoplasmatales and the genusRice_Cluster_I(Methanocellales). Further, mean bacterial carbon production in cryoconite was exceptionally low and similar rates have not been reported elsewhere. However, bacterial carbon production insignificantly trended toward higher rates in shallow CHs and did not seem to be supported by accumulation of OM and nutrients, respectively, in deeper holes. OM fractions were significantly different between shallower CHs along the medial moraine and deeper CHs at the glacier terminus. Overall, our findings suggest that wind-blown material originating south and southeast of the Anuchin Glacier and deposits from a nunatak are assumed to be local inoculation sources. High sequence similarities between samples from the Untersee Oasis and other Antarctic sites further indicate long-range atmospheric transport mechanisms that complement local inoculation sources.</t>
  </si>
  <si>
    <t>[Weisleitner, Klemens; Sattler, Birgit] Univ Innsbruck, Inst Ecol, Innsbruck, Austria; [Weisleitner, Klemens; Sattler, Birgit] Austrian Polar Res Inst, Vienna, Austria; [Perras, Alexandra Kristin; Moissl-Eichinger, Christine] Med Univ Graz, Med Res Ctr, Graz, Austria; [Unterberger, Seraphin Hubert] Univ Innsbruck, Unit Mat Technol, Innsbruck, Austria; [Andersen, Dale T.] SETI Inst, Mountain View, CA USA</t>
  </si>
  <si>
    <t>University of Innsbruck; Medical University of Graz; University of Innsbruck</t>
  </si>
  <si>
    <t>Sattler, B (corresponding author), Univ Innsbruck, Inst Ecol, Innsbruck, Austria.;Sattler, B (corresponding author), Austrian Polar Res Inst, Vienna, Austria.</t>
  </si>
  <si>
    <t>Birgit.Sattler@uibk.ac.at</t>
  </si>
  <si>
    <t>Moissl-Eichinger, Christine/A-6682-2015; Weisleitner, Klemens/KCL-0270-2024; Sattler, Birgit/C-4070-2018</t>
  </si>
  <si>
    <t>Tawani Foundation of Chicago; Trottier Family Foundation; NASA's Exobiology and Astrobiology Programs; Arctic and Antarctic Research Institute</t>
  </si>
  <si>
    <t>This study was supported by the Tawani Foundation of Chicago, the Trottier Family Foundation, NASA's Exobiology and Astrobiology Programs, and the Arctic and Antarctic Research Institute.</t>
  </si>
  <si>
    <t>10.3389/fmicb.2020.01165</t>
  </si>
  <si>
    <t>MD2VC</t>
  </si>
  <si>
    <t>WOS:000543830100001</t>
  </si>
  <si>
    <t>Zhang, Q; Acuña, JJ; Inostroza, NG; Duran, P; Mora, ML; Sadowsky, MJ; Jorquera, MA</t>
  </si>
  <si>
    <t>Zhang, Qian; Acuna, Jacquelinne J.; Inostroza, Nitza G.; Duran, Paola; Mora, Maria L.; Sadowsky, Michael J.; Jorquera, Milko A.</t>
  </si>
  <si>
    <t>Niche Differentiation in the Composition, Predicted Function, and Co-occurrence Networks in Bacterial Communities Associated With Antarctic Vascular Plants</t>
  </si>
  <si>
    <t>bacterial community; Colobanthus quitensis; Deschampsia antarctica; endosphere; phyllosphere; rhizosphere</t>
  </si>
  <si>
    <t>PSEUDOMONAS-PUTIDA; DIVERSITY; SOIL; RHIZOSPHERE; MICROBIOME; TAXONOMY; TREE</t>
  </si>
  <si>
    <t>Climate change directly affecting the Antarctic Peninsula has been reported to induce the successful colonization of ice-free lands by two Antarctic vascular plants (Deschampsia antarcticaandColobanthus quitensis). While studies have revealed the importance of microbiota for plant growth and stress tolerance in temperate climates, the role that plant-associated microbes play in the colonization of ice-free lands remains unknown. Consequently, we used high-throughput DNA sequence analyses to explore the composition, predicted functions, and interactive networks of plant-associated microbial communities among the rhizosphere, endosphere, and phyllosphere niches ofD. antarcticaandC. quitensis. Here we report a greater number of operational taxonomic units (OTUs), diversity, and richness in the microbial communities from the rhizosphere, relative to endosphere and phyllosphere. While taxonomic assignments showed greater relative abundances ofProteobacteria, Bacteroidetes, andActinobacteriain plant niches, principal coordinate analysis revealed differences among the bacterial communities from the other compartments examined. More importantly, however, our results showed that most of OTUs were exclusively found in each plant niche. Major predicted functional groups of these microbiota were attributed to heterotrophy, aerobic heterotrophy, fermentation, and nitrate reduction, independent of plant niches or plant species. Co-occurrences network analyses identified 5 (e.g.,Microbacteriaceae, Pseudomonaceae, Lactobacillaceae, andCorynebacteriaceae), 23 (e.g.,ChitinophagaceaeandSphingomonadaceae) and 7 (e.g.,Rhodospirillaceae) putative keystone taxa present in endosphere, phyllosphere, and rhizosphere, respectively. Our results revealed niche differentiation in Antarctic vascular plants, highlighting some putative microbial indicators and keystone taxa in each niche. However, more studies are required to determine the pivotal role that these microbes play in the successful colonization of ice-free lands by Antarctic plants.</t>
  </si>
  <si>
    <t>[Zhang, Qian; Sadowsky, Michael J.] Univ Minnesota, BioTechnol Inst, St Paul, MN 55108 USA; [Acuna, Jacquelinne J.; Inostroza, Nitza G.; Jorquera, Milko A.] Univ La Frontera, Dept Ciencias Quim &amp; Recursos Nat, Lab Ecol Microbiana Aplicada EMALAB, Temuco, Chile; [Acuna, Jacquelinne J.; Inostroza, Nitza G.; Duran, Paola; Mora, Maria L.; Jorquera, Milko A.] Univ La Frontera, Sci &amp; Technol Bioresource Nucleus BIOREN, Network Extreme Environm Res NEXER, Temuco, Chile; [Sadowsky, Michael J.] Univ Minnesota, Dept Soil Water &amp; Climate, St Paul, MN 55108 USA; [Sadowsky, Michael J.] Univ Minnesota, Dept Plant &amp; Microbial Biol, St Paul, MN 55108 USA</t>
  </si>
  <si>
    <t>University of Minnesota System; University of Minnesota Twin Cities; Universidad de La Frontera; Universidad de La Frontera; University of Minnesota System; University of Minnesota Twin Cities; University of Minnesota System; University of Minnesota Twin Cities</t>
  </si>
  <si>
    <t>Jorquera, MA (corresponding author), Univ La Frontera, Dept Ciencias Quim &amp; Recursos Nat, Lab Ecol Microbiana Aplicada EMALAB, Temuco, Chile.;Jorquera, MA (corresponding author), Univ La Frontera, Sci &amp; Technol Bioresource Nucleus BIOREN, Network Extreme Environm Res NEXER, Temuco, Chile.</t>
  </si>
  <si>
    <t>milko.jorquera@ufrontera.cl</t>
  </si>
  <si>
    <t>Zhang, Qian/JPK-7486-2023; Sadowsky, Michael/J-2507-2016; Mora Gil, Maria Luz/AAT-4081-2021; Jorquera, Milko Alberto/B-7378-2011</t>
  </si>
  <si>
    <t>Zhang, Qian/0000-0002-1222-308X; Sadowsky, Michael/0000-0001-8779-2781; Mora Gil, Maria Luz/0000-0002-7474-1595; JORQUERA, MILKO/0000-0003-4760-6379; Duran, Paola/0000-0001-8638-6781</t>
  </si>
  <si>
    <t>Chilean Antarctic Institute (INACH) [RT_02_16]; National Fund for Scientific and Technological Development (FONDECYT) [1160302, 11160112, 1181050]; INACH [RT_06_17]; SATREPS-MACH by JST/JICA Japan [JPMJSA1705]; Minnesota Corn Research &amp; Promotion Council; Minnesota Agricultural Experiment Station</t>
  </si>
  <si>
    <t>Chilean Antarctic Institute (INACH); National Fund for Scientific and Technological Development (FONDECYT)(Comision Nacional de Investigacion Cientifica y Tecnologica (CONICYT)CONICYT FONDECYT); INACH; SATREPS-MACH by JST/JICA Japan; Minnesota Corn Research &amp; Promotion Council; Minnesota Agricultural Experiment Station</t>
  </si>
  <si>
    <t>This study was funded by Chilean Antarctic Institute (INACH) project code RT_02_16. The authors also thanks to financial support by The National Fund for Scientific and Technological Development (FONDECYT) projects no. 1160302 (to MJ), 11160112 (to JA), and 1181050 (to MM), by INACH project RT_06_17 (to MJ and PD), by SATREPS-MACH JPMJSA1705 by JST/JICA Japan (to MJ and JA), by the Minnesota Corn Research &amp; Promotion Council (to QZ), and by the Minnesota Agricultural Experiment Station (to MS).</t>
  </si>
  <si>
    <t>10.3389/fmicb.2020.01036</t>
  </si>
  <si>
    <t>MC5MS</t>
  </si>
  <si>
    <t>WOS:000543331300001</t>
  </si>
  <si>
    <t>Krause, DJ; Goebel, ME; Kurle, CM</t>
  </si>
  <si>
    <t>Krause, Douglas J.; Goebel, Michael E.; Kurle, Carolyn M.</t>
  </si>
  <si>
    <t>Leopard seal diets in a rapidly warming polar region vary by year, season, sex, and body size</t>
  </si>
  <si>
    <t>BMC ECOLOGY</t>
  </si>
  <si>
    <t>Stable isotope mixing model; Apex predator; Top down; Prey shift; Hydrurga leptonyx; Climate change; Animal-borne video</t>
  </si>
  <si>
    <t>STABLE-ISOTOPE RATIOS; ANTARCTIC FUR SEALS; HYDRURGA-LEPTONYX; DISCRIMINATION FACTORS; CALLORHINUS-URSINUS; TEMPORAL VARIATION; PRIOR INFORMATION; FORAGING ECOLOGY; MIXING MODELS; TOP PREDATOR</t>
  </si>
  <si>
    <t>Background Resolving the preferred prey items and dietary proportions of leopard seals is central to understanding food-web dynamics in the rapidly-warming Antarctic Peninsula region. Previous studies have identified a wide range of prey items; however, due to anecdotal or otherwise limited information, leopard seal diets remain unresolved by seal sex, individual, body size, region, and season. Over the 2013, 2014, and 2017 field seasons we collected scat, tissue samples (red blood cells and plasma; n = 23) for stable isotope analyses, and previously-reported animal-borne video from 19 adult leopard seals foraging near mesopredator breeding colonies at Cape Shirreff, Livingston Island. We summarized a priori diet information from scat and video analysis and applied a three-isotope (delta C-13, delta N-15, delta S-34), four-source (fish, fur seal, krill, penguin) Bayesian mixing model to examine temporal variability in both prey sources and leopard seal tissues. Results The austral spring diets of males and females focused on Antarctic krill (31.7-38.0%), notothen fish (31.6-36.5%), and penguin (24.4-26.9%) and were consistent across all 3 years. Several lines of evidence suggest the transition to summer foraging was distinct for males and females. Female diets transitioned rapidly to higher delta N-15 values (+2.1 parts per thousand), indicating increased consumption of penguin (29.5-46.2%) and energy-dense Antarctic fur seal pup (21.3-37.6%). Conclusions The seasonal increase in leopard seal delta N-15 values, and thus fur seal in their diet, was predictably related to larger body size; it may also be forcing reductions to the largest Antarctic fur seal colony in the Antarctic Peninsula. Our ensemble sampling approach reduces historical biases in monitoring marine apex predator diets. Further, our results are necessary to best inform regional fisheries management planning.</t>
  </si>
  <si>
    <t>[Krause, Douglas J.; Goebel, Michael E.] NOAA, Fisheries Southwest Fisheries Sci Ctr, Antarctic Ecosyst Res Div, 8901 La Jolla Shores Dr, La Jolla, CA 92037 USA; [Kurle, Carolyn M.] Univ Calif San Diego, Div Biol Sci, 9500 Gilman Dr, La Jolla, CA 92093 USA</t>
  </si>
  <si>
    <t>National Oceanic Atmospheric Admin (NOAA) - USA; University of California System; University of California San Diego</t>
  </si>
  <si>
    <t>Krause, DJ (corresponding author), NOAA, Fisheries Southwest Fisheries Sci Ctr, Antarctic Ecosyst Res Div, 8901 La Jolla Shores Dr, La Jolla, CA 92037 USA.</t>
  </si>
  <si>
    <t>douglas.krause@noaa.gov</t>
  </si>
  <si>
    <t>Krause, Douglas J./0000-0002-2517-3106</t>
  </si>
  <si>
    <t>U.S. AMLR Program, National Marine Fisheries Service, National Oceanic and Atmospheric Administration</t>
  </si>
  <si>
    <t>Financial, infrastructure and logistical support was provided by the U.S. AMLR Program, National Marine Fisheries Service, National Oceanic and Atmospheric Administration.</t>
  </si>
  <si>
    <t>1472-6785</t>
  </si>
  <si>
    <t>BMC ECOL</t>
  </si>
  <si>
    <t>BMC Ecol.</t>
  </si>
  <si>
    <t>10.1186/s12898-020-00300-y</t>
  </si>
  <si>
    <t>LX3TS</t>
  </si>
  <si>
    <t>WOS:000539757900001</t>
  </si>
  <si>
    <t>Patel, J; Sutherland, R; Gurnis, M; Van Avendonk, H; Gulick, SPS; Shuck, B; Stock, J; Hightower, E</t>
  </si>
  <si>
    <t>Patel, Jiten; Sutherland, Rupert; Gurnis, Michael; Van Avendonk, Harm; Gulick, Sean P. S.; Shuck, Brandon; Stock, Joann; Hightower, Erin</t>
  </si>
  <si>
    <t>Stratigraphic architecture of Solander Basin records Southern Ocean currents and subduction initiation beneath southwest New Zealand</t>
  </si>
  <si>
    <t>BASIN RESEARCH</t>
  </si>
  <si>
    <t>Antarctic Circumpolar Current; Fiordland; Puysegur; subduction-related basins; Subtropical Front; tectonics and sedimentation</t>
  </si>
  <si>
    <t>AUSTRALIA-PACIFIC BOUNDARY; INCIPIENT SUBDUCTION; PLATE BOUNDARY; PUYSEGUR MARGIN; OBLIQUE SUBDUCTION; CONTINENTAL-CRUST; SUBTROPICAL FRONT; SW PACIFIC; TASMAN SEA; FJORDLAND</t>
  </si>
  <si>
    <t>Solander Basin is characterized by subduction initiation at the Pacific-Australia plate boundary, where high biological productivity is found at the northern edge of the Antarctic Circumpolar Current. Sedimentary architecture results from tectonic influences on accommodation space, sediment supply and ocean currents (via physiography); and climate influence on ocean currents and biological productivity. We present the first seismic-stratigraphic analysis of Solander Basin based on high-fold seismic-reflection data (voyage MGL1803, SISIE). Solander Trough physiography formed by Eocene rifting, but basinal strata are mostly younger than ca. 17 Ma, when we infer Puysegur Ridge formed and sheltered Solander Basin from bottom currents, and mountain growth onshore increased sediment supply. Initial inversion on the Tauru Fault started at ca. 15 Ma, but reverse faulting from 12 to ca. 8 Ma on both the Tauru and Parara Faults was likely associated with reorganization and formation of the subduction thrust. The new seabed topography forced sediment pathways to become channelized at low points or antecedent gorges. Since 5 Ma, southern Puysegur Ridge and Fiordland mountains spread out towards the east and Solander Anticline grew in response to ongoing subduction and growth of a slab. Solander Basin had high sedimentation rates because (1) it is sheltered from bottom currents by Puysegur Ridge; and (2) it has a mountainous land area that supplies sediment to its northern end. Sedimentary architecture is asymmetric due to the Subtropical Front, which moves pelagic and hemi-pelagic sediment, including dilute parts of gravity flows, eastward and accretes contourites to the shelf south of Stewart Island. Levees, scours, drifts and ridges of folded sediment characterize western Solander Basin, whereas hemi-pelagic drape and secondary gravity flows are found east of the meandering axial Solander Channel. The high-resolution record of climate and tectonics that Solander Basin contains may yield excellent sites for future scientific ocean drilling.</t>
  </si>
  <si>
    <t>[Patel, Jiten; Sutherland, Rupert] Victoria Univ Wellington, SGEES, POB 600, Wellington 6140, New Zealand; [Gurnis, Michael; Stock, Joann; Hightower, Erin] CALTECH, Seismol Lab, Pasadena, CA 91125 USA; [Van Avendonk, Harm; Gulick, Sean P. S.; Shuck, Brandon] Univ Texas Austin, Inst Geophys, Jackson Sch Geosci, Austin, TX USA; [Gulick, Sean P. S.; Shuck, Brandon] Univ Texas Austin, Dept Geol Sci, Jackson Sch Geosci, Austin, TX USA</t>
  </si>
  <si>
    <t>Victoria University Wellington; California Institute of Technology; University of Texas System; University of Texas Austin; University of Texas System; University of Texas Austin</t>
  </si>
  <si>
    <t>Sutherland, R (corresponding author), Victoria Univ Wellington, SGEES, POB 600, Wellington 6140, New Zealand.</t>
  </si>
  <si>
    <t>rupert.sutherland@vuw.ac.nz</t>
  </si>
  <si>
    <t>Stock, Joann Miriam/AAN-1526-2021; Gulick, Sean/GNH-2042-2022; Van Avendonk, Harm J/A-2201-2009; Shuck, Brandon/ABE-2886-2020; Patel, Jiten/ABE-2887-2020</t>
  </si>
  <si>
    <t>Stock, Joann Miriam/0000-0003-4816-7865; Gulick, Sean/0000-0003-4740-9068; Shuck, Brandon/0000-0003-2543-721X; Patel, Jiten/0000-0001-6952-4708; Sutherland, Rupert/0000-0001-7430-0055; Van Avendonk, Harm/0000-0002-8016-2653</t>
  </si>
  <si>
    <t>National Science Foundation, USA [NSF-OCE-1654689, NSF-OCE-1654766]</t>
  </si>
  <si>
    <t>National Science Foundation, USA(National Science Foundation (NSF))</t>
  </si>
  <si>
    <t>National Science Foundation, USA, Grant/Award Number: NSF-OCE-1654689 and NSF-OCE-1654766</t>
  </si>
  <si>
    <t>0950-091X</t>
  </si>
  <si>
    <t>1365-2117</t>
  </si>
  <si>
    <t>BASIN RES</t>
  </si>
  <si>
    <t>Basin Res.</t>
  </si>
  <si>
    <t>FEB</t>
  </si>
  <si>
    <t>10.1111/bre.12473</t>
  </si>
  <si>
    <t>PU8KS</t>
  </si>
  <si>
    <t>WOS:000537302900001</t>
  </si>
  <si>
    <t>Krasnobaev, A; ten Dam, G; Boerrigter-Eenling, R; Peng, F; van Leeuwen, SPJ; Morley, SA; Peck, LS; van den Brink, NW</t>
  </si>
  <si>
    <t>Krasnobaev, Artem; ten Dam, Guillaume; Boerrigter-Eenling, Rita; Peng, Fang; van Leeuwen, Stefan P. J.; Morley, Simon A.; Peck, Lloyd S.; van den Brink, Nico W.</t>
  </si>
  <si>
    <t>Legacy and Emerging Persistent Organic Pollutants in Antarctic Benthic Invertebrates near Rothera Point, Western Antarctic Peninsula (vol 54, pg 2763, 2020)</t>
  </si>
  <si>
    <t>van Leeuwen, Stefan/C-4375-2013</t>
  </si>
  <si>
    <t>van Leeuwen, Stefan/0000-0003-4847-0768; Peng, Fengjiao/0000-0002-9913-7087</t>
  </si>
  <si>
    <t>JUN 2</t>
  </si>
  <si>
    <t>10.1021/acs.est.0c01724</t>
  </si>
  <si>
    <t>LV4PZ</t>
  </si>
  <si>
    <t>WOS:000538420500061</t>
  </si>
  <si>
    <t>Gordon, EM; Seppälä, A; Tamminen, J</t>
  </si>
  <si>
    <t>Gordon, Emily M.; Seppala, Annika; Tamminen, Johanna</t>
  </si>
  <si>
    <t>Evidence for energetic particle precipitation and quasi-biennial oscillation modulations of the Antarctic NO2 springtime stratospheric column from OMI observations</t>
  </si>
  <si>
    <t>OZONE</t>
  </si>
  <si>
    <t>Observations from the Ozone Monitoring Instrument (OMI) on the Aura satellite are used to study the effect of energetic particle precipitation (EPP, as proxied by the geomagnetic activity index, Ap) on the Antarctic stratospheric NO2 column in late winter-spring (August-December) during the period from 2005 to 2017. We show that the polar (60-90 degrees S) stratospheric NO2 column is significantly correlated with EPP throughout the Antarctic spring, until the breakdown of the polar vortex in November. The strongest correlation takes place during years with the easterly phase of the quasi-biennial oscillation (QBO). The QBO modulation may be a combination of different effects: the QBO is known to influence the amount of the primary NOx source (N2O) via transport from the Equator to the polar region; and the QBO phase also affects polar temperatures, which may provide a link to the amount of denitrification occurring in the polar vortex. We find some support for the latter in an analysis of temperature and HNO3 observations from the Microwave Limb Sounder (MLS, on Aura). Our results suggest that once the background effect of the QBO is accounted for, the NOx produced by EPP significantly contributes to the stratospheric NO2 column at the time and altitudes when the ozone hole is present in the Antarctic stratosphere. Based on our findings, and the known role of NOx as a catalyst for ozone loss, we propose that as chlorine activation continues to decrease in the Antarctic stratosphere, the total EPP-NOx needs be accounted for in predictions of Antarctic ozone recovery.</t>
  </si>
  <si>
    <t>[Gordon, Emily M.; Seppala, Annika] Univ Otago, Dept Phys, Dunedin, New Zealand; [Tamminen, Johanna] Finnish Meteorol Inst, Space &amp; Earth Observat Ctr, Helsinki, Finland</t>
  </si>
  <si>
    <t>University of Otago; Finnish Meteorological Institute</t>
  </si>
  <si>
    <t>Seppälä, A (corresponding author), Univ Otago, Dept Phys, Dunedin, New Zealand.</t>
  </si>
  <si>
    <t>annika.seppala@otago.ac.nz</t>
  </si>
  <si>
    <t>Seppälä, Annika/C-8031-2014; Tamminen, Johanna/D-7959-2014; Gordon, Emily M/ABD-8486-2021</t>
  </si>
  <si>
    <t>Seppälä, Annika/0000-0002-5028-8220; Tamminen, Johanna/0000-0003-3095-0069; Gordon, Emily M/0000-0002-4976-7785</t>
  </si>
  <si>
    <t>10.5194/acp-20-6259-2020</t>
  </si>
  <si>
    <t>LU6ZM</t>
  </si>
  <si>
    <t>WOS:000537901200001</t>
  </si>
  <si>
    <t>Ribeiro, N</t>
  </si>
  <si>
    <t>Ribeiro, Natalia</t>
  </si>
  <si>
    <t>Exploring the Antarctic waters with seals in electric hats</t>
  </si>
  <si>
    <t>NATURE REVIEWS EARTH &amp; ENVIRONMENT</t>
  </si>
  <si>
    <t>[Ribeiro, Natalia] Univ Tasmania, Inst Marine &amp; Antarctic Studies, Hobart, Tas, Australia</t>
  </si>
  <si>
    <t>Ribeiro, N (corresponding author), Univ Tasmania, Inst Marine &amp; Antarctic Studies, Hobart, Tas, Australia.</t>
  </si>
  <si>
    <t>Natalia.RibeiroSantos@utas.edu.au</t>
  </si>
  <si>
    <t>Ribeiro, Natalia/AAY-6731-2021</t>
  </si>
  <si>
    <t>Ribeiro Santos, Natalia/0000-0001-5427-9746</t>
  </si>
  <si>
    <t>2662-138X</t>
  </si>
  <si>
    <t>NAT REV EARTH ENV</t>
  </si>
  <si>
    <t>Nat. Rev. Earth Environ.</t>
  </si>
  <si>
    <t>10.1038/s43017-020-0056-8</t>
  </si>
  <si>
    <t>Environmental Sciences; Geosciences, Multidisciplinary</t>
  </si>
  <si>
    <t>SA6YN</t>
  </si>
  <si>
    <t>WOS:000649447700004</t>
  </si>
  <si>
    <t>Runwal, P</t>
  </si>
  <si>
    <t>Runwal, Priyanka</t>
  </si>
  <si>
    <t>Blood-Doping Champion</t>
  </si>
  <si>
    <t>SCIENTIFIC AMERICAN</t>
  </si>
  <si>
    <t>To remain active in frigid waters, an Antarctic fish drastically adjusts blood oxygen.</t>
  </si>
  <si>
    <t>0036-8733</t>
  </si>
  <si>
    <t>1946-7087</t>
  </si>
  <si>
    <t>SCI AM</t>
  </si>
  <si>
    <t>Sci.Am.</t>
  </si>
  <si>
    <t>QX0GO</t>
  </si>
  <si>
    <t>WOS:000629027900016</t>
  </si>
  <si>
    <t>Rankey, EC</t>
  </si>
  <si>
    <t>Rankey, Eugene C.</t>
  </si>
  <si>
    <t>Eustatic, Climatic, and Oceanographic Influences on Geomorphology and Architecture of Isolated Carbonate Platforms: Miocene, Northwest Shelf, Australia</t>
  </si>
  <si>
    <t>LITHOSPHERE</t>
  </si>
  <si>
    <t>SEA-LEVEL FLUCTUATIONS; SEISMIC GEOMORPHOLOGY; OFFSHORE SARAWAK; CENTRAL LUCONIA; MARION PLATEAU; BUILD-UPS; BARCOO SUBBASIN; BROWSE BASIN; BAHAMA BANK; WEST SHELF</t>
  </si>
  <si>
    <t>The Miocene represents an interval of marked global change, and this evolution is reflected in carbonate platforms from this epoch. Seismic stratigraphic characterization of high-resolution (ca 60 Hz) 3D seismic data from the Browse Basin, offshore Australia, reveals a middle to upper Miocene three-part seismic stratigraphic subdivision. Each unit consists of several seismic sequence sets and their component sequences. Seismic stratal geometries and seismic facies define a prograding shelf (Langhian and older), a barrier-reef complex with scattered platforms (upper Langhian-early Tortonian), and aggrading and prograding isolated platforms (early Tortonian-Messinian). The data permit description and interpretation of high-fidelity stratigraphic details of the initiation, expansion, termination, and geomorphology of over 100 platforms in this interval. The results reveal that the isolated platforms initiated following the Middle Miocene Climatic Optimum. The succession includes major seismic stratigraphic boundaries and overall patterns of platform growth and demise that correspond roughly with periods of pronounced eustatic change associated with initiation of eastern Antarctic ice sheets. Although invoking a eustatic control for coarse trends may be tempting, mismatch between the numbers and ages of sequences, as well as the variable stacking patterns among contemporaneous platforms regionally, precludes such an interpretation; conversely, some globally recognized eustatic changes do not have a pronounced manifestation in this area. Thus, it appears that the eustatic signal combined with dynamic physical regional processes such as waves, currents, and variable subsidence creates the complex architecture and geomorphology of platforms. These results illustrate how global changes can interact with local controls to create diverse patterns of birth, growth, and demise of carbonate platforms and drive local stratal heterogeneity.</t>
  </si>
  <si>
    <t>[Rankey, Eugene C.] Univ Kansas, Dept Geol, Kansas Interdisciplinary Carbonates Consortium, Lawrence, KS 66045 USA</t>
  </si>
  <si>
    <t>University of Kansas</t>
  </si>
  <si>
    <t>Rankey, EC (corresponding author), Univ Kansas, Dept Geol, Kansas Interdisciplinary Carbonates Consortium, Lawrence, KS 66045 USA.</t>
  </si>
  <si>
    <t>grankey@ku.edu</t>
  </si>
  <si>
    <t>Rankey, Eugene/0000-0002-1603-2934</t>
  </si>
  <si>
    <t>Hubert and Kathleen Hall Professorship; Kansas Interdisciplinary Carbonates Consortium</t>
  </si>
  <si>
    <t>This research was funded by the Hubert and Kathleen Hall Professorship and by the sponsors of the Kansas Interdisciplinary Carbonates Consortium. Thanks are due to GeoScience Australia for making the seismic data available.</t>
  </si>
  <si>
    <t>GEOSCIENCEWORLD</t>
  </si>
  <si>
    <t>MCLEAN</t>
  </si>
  <si>
    <t>1750 TYSONS BOULEVARD, SUITE 1500, MCLEAN, VA, UNITED STATES</t>
  </si>
  <si>
    <t>1941-8264</t>
  </si>
  <si>
    <t>1947-4253</t>
  </si>
  <si>
    <t>LITHOSPHERE-US</t>
  </si>
  <si>
    <t>Lithosphere</t>
  </si>
  <si>
    <t>10.2113/2020/8844754</t>
  </si>
  <si>
    <t>Geochemistry &amp; Geophysics; Geology</t>
  </si>
  <si>
    <t>QG9OL</t>
  </si>
  <si>
    <t>WOS:000617908500022</t>
  </si>
  <si>
    <t>Chapman, SC; Murphy, EJ; Stainforth, DA; Watkins, NW</t>
  </si>
  <si>
    <t>Chapman, S. C.; Murphy, E. J.; Stainforth, D. A.; Watkins, N. W.</t>
  </si>
  <si>
    <t>Trends in Winter Warm Spells in the Central England Temperature Record</t>
  </si>
  <si>
    <t>JOURNAL OF APPLIED METEOROLOGY AND CLIMATOLOGY</t>
  </si>
  <si>
    <t>CLIMATIC EXTREMES; RESPONSES; IMPACTS; FITNESS; LOSSES; EVENTS</t>
  </si>
  <si>
    <t>An important impact of climate change on agriculture and the sustainability of ecosystems is the increase of extended warm spells during winter. We apply crossing theory to the central England temperature time series of winter daily maximum temperatures to quantify how increased occurrence of higher temperatures translates into more frequent, longer-lasting, and more intense winter warm spells. We find since the late 1800s an overall two- to threefold increase in the frequency and duration of winter warm spells. A winter warm spell of 5 days in duration with daytime maxima above 13 degrees C has a return period that was often over 5 years but now is consistently below 4 years. Weeklong warm intervals that return on average every 5 years now consistently exceed similar to 13 degrees C. The observed changes in the temporal pattern of environmental variability will affect the phenology of ecological processes and the structure and functioning of ecosystems.</t>
  </si>
  <si>
    <t>[Chapman, S. C.; Stainforth, D. A.; Watkins, N. W.] Univ Warwick, Phys Dept, Coventry, W Midlands, England; [Murphy, E. J.] British Antarctic Survey, Cambridge, England; [Stainforth, D. A.] London Sch Econ &amp; Polit Sci, Grantham Res Inst Climate Change &amp; Environm, London, England; [Stainforth, D. A.; Watkins, N. W.] London Sch Econ &amp; Polit Sci, Ctr Anal Time Series, London, England; [Watkins, N. W.] Univ Warwick, Open Univ, Fac Sci, Ctr Anal Time Series, Milton Keynes, Bucks, England; [Watkins, N. W.] Open Univ, Fac Sci Technol Engn &amp; Math, Sch Engn &amp; Innovat, Milton Keynes, Bucks, England</t>
  </si>
  <si>
    <t>University of Warwick; UK Research &amp; Innovation (UKRI); Natural Environment Research Council (NERC); NERC British Antarctic Survey; University of London; London School Economics &amp; Political Science; University of London; London School Economics &amp; Political Science; Open University - UK; University of Warwick; Open University - UK</t>
  </si>
  <si>
    <t>Chapman, SC (corresponding author), Univ Warwick, Phys Dept, Coventry, W Midlands, England.</t>
  </si>
  <si>
    <t>s.c.chapman@warwick.ac.uk</t>
  </si>
  <si>
    <t>Watkins, Nick/GPX-7439-2022; Watkins, Nicholas Wynn/C-5140-2008; murphy, eugene/GZL-1620-2022; Chapman, Sandra/C-2216-2008</t>
  </si>
  <si>
    <t>Watkins, Nick/0000-0003-4484-6588; Watkins, Nicholas Wynn/0000-0003-4484-6588; Chapman, Sandra/0000-0003-0053-1584; Stainforth, David/0000-0001-6476-733X</t>
  </si>
  <si>
    <t>Fulbright-Lloyd's of London Scholarship; STFC [ST/P000320/1]; LSE's Grantham Research Institute on Climate Change and the Environment; ESRC Centre for Climate Change Economics and Policy - Economic and Social Research Council; EPSRC [EP/H02395X/1] Funding Source: UKRI; NERC [bas0100035] Funding Source: UKRI; STFC [ST/I000720/1, ST/T000252/1, ST/P000320/1, ST/F00205X/1] Funding Source: UKRI</t>
  </si>
  <si>
    <t>Fulbright-Lloyd's of London Scholarship; STFC(UK Research &amp; Innovation (UKRI)Science &amp; Technology Facilities Council (STFC)); LSE's Grantham Research Institute on Climate Change and the Environment; ESRC Centre for Climate Change Economics and Policy - Economic and Social Research Council(UK Research &amp; Innovation (UKRI)Economic &amp; Social Research Council (ESRC)); EPSRC(UK Research &amp; Innovation (UKRI)Engineering &amp; Physical Sciences Research Council (EPSRC)); NERC(UK Research &amp; Innovation (UKRI)Natural Environment Research Council (NERC)); STFC(UK Research &amp; Innovation (UKRI)Science &amp; Technology Facilities Council (STFC))</t>
  </si>
  <si>
    <t>Author Chapman acknowledges a Fulbright-Lloyd's of London Scholarship and STFC ST/P000320/1. Author Stainforth acknowledges the support of the LSE's Grantham Research Institute on Climate Change and the Environment and the ESRC Centre for Climate Change Economics and Policy funded by the Economic and Social Research Council. We thank E. Tindale and N. Moloney for valuable discussions about crossing theory and Harry Studholme for a useful suggestion.</t>
  </si>
  <si>
    <t>1558-8424</t>
  </si>
  <si>
    <t>1558-8432</t>
  </si>
  <si>
    <t>J APPL METEOROL CLIM</t>
  </si>
  <si>
    <t>J. Appl. Meteorol. Climatol.</t>
  </si>
  <si>
    <t>10.1175/JAMC-D-19-0267.1</t>
  </si>
  <si>
    <t>PQ8ZY</t>
  </si>
  <si>
    <t>WOS:000606832700003</t>
  </si>
  <si>
    <t>Randall, I</t>
  </si>
  <si>
    <t>Randall, Ian</t>
  </si>
  <si>
    <t>NASA satellite data highlight Antarctic ice loss</t>
  </si>
  <si>
    <t>PHYSICS WORLD</t>
  </si>
  <si>
    <t>0953-8585</t>
  </si>
  <si>
    <t>PHYS WORLD</t>
  </si>
  <si>
    <t>Phys. World</t>
  </si>
  <si>
    <t>Physics, Multidisciplinary</t>
  </si>
  <si>
    <t>Physics</t>
  </si>
  <si>
    <t>PN1RL</t>
  </si>
  <si>
    <t>WOS:000604263900003</t>
  </si>
  <si>
    <t>Liu, QX; Rogers, WE; Babanin, A; Li, JK; Guan, CL</t>
  </si>
  <si>
    <t>Liu, Qingxiang; Rogers, W. Erick; Babanin, Alexander; Li, Jiangkai; Guan, Changlong</t>
  </si>
  <si>
    <t>Spectral Modeling of Ice-Induced Wave Decay</t>
  </si>
  <si>
    <t>NONLINEAR ENERGY-TRANSFER; FLOE SIZE DISTRIBUTION; IN-SITU MEASUREMENTS; OCEAN SURFACE-WAVES; ANTARCTIC SEA-ICE; GRAVITY-WAVES; ATTENUATION; WIND; PROPAGATION; ZONE</t>
  </si>
  <si>
    <t>Three dissipative (two viscoelastic and one viscous) ice models are implemented in the spectral wave model WAVEWATCH III to estimate the ice-induced wave attenuation rate. These models are then explored and intercompared through hindcasts of two field cases: one in the autumn Beaufort Sea in 2015 and the other in the Antarctic marginal ice zone (MIZ) in 2012. The capability of these dissipative models, along with their limitations and applicability to operational forecasts, are analyzed and discussed. The sensitivity of the simulated wave height to different source terms-the ice-induced wave decay S-ice and other physical processes S-other (e.g., wind input, nonlinear four-wave interactions)-is also investigated. For the Antarctic MIZ experiment, S-other is found to be remarkably less than S-ice and thus contributes little to the simulated significant wave height H-s. The saturation of dH(s)/dx at large wave heights in this case, as reported by a previous study, is well reproduced by the three dissipative ice models with or without the utilization of S-other in the ice-infested seas. A clear downward trend in the peak frequency f(p) is found as H-s increases. As f(p) decreases, the dominant wave components of a wave spectrum will experience reduced damping by sea ice, and finally result in the flattening of dH(s)/dx for H-s. 3m in this specific case. Nonetheless, S-other should not be disregarded within a more general modeling perspective, as our simulations suggest Sother could be comparable to S-ice in the Beaufort Sea case where wave and ice conditions are remarkably different.</t>
  </si>
  <si>
    <t>[Liu, Qingxiang; Babanin, Alexander] Univ Melbourne, Dept Infrastruct Engn, Melbourne, Vic, Australia; [Rogers, W. Erick] Stennis Space Ctr, Naval Res Lab, John C Stennis Space Ctr, MS USA; [Babanin, Alexander] Natl Lab Marine Sci &amp; Technol, Lab Reg Oceanog &amp; Numer Modeling, Qingdao, Peoples R China; [Li, Jiangkai; Guan, Changlong] Ocean Univ China, Phys Oceanog Lab, Qingdao, Peoples R China; [Li, Jiangkai; Guan, Changlong] Qingdao Natl Lab Marine Sci &amp; Technol, Qingdao, Peoples R China</t>
  </si>
  <si>
    <t>Melbourne Genomics Health Alliance; University of Melbourne; United States Department of Defense; United States Navy; Naval Research Laboratory; National Aeronautics &amp; Space Administration (NASA); Laoshan Laboratory; Ocean University of China; Laoshan Laboratory</t>
  </si>
  <si>
    <t>Liu, QX (corresponding author), Univ Melbourne, Dept Infrastruct Engn, Melbourne, Vic, Australia.</t>
  </si>
  <si>
    <t>qingxiang.liu@unimelb.edu.au</t>
  </si>
  <si>
    <t>Rogers, William/GWC-2040-2022; Liu, Qingxiang/GRS-6406-2022</t>
  </si>
  <si>
    <t>Rogers, William/0000-0001-8235-2218; Liu, Qingxiang/0000-0001-6100-0221</t>
  </si>
  <si>
    <t>U.S. Office of Naval Research [N00014-17-1-3021]; AVB - Australian Antarctic program [4593]; Ministry of Science and Technology of China [2016YFC140140005]</t>
  </si>
  <si>
    <t>U.S. Office of Naval Research(Office of Naval Research); AVB - Australian Antarctic program; Ministry of Science and Technology of China(Ministry of Science and Technology, China)</t>
  </si>
  <si>
    <t>The authors are grateful to Jim Thomson (University of Washington), Martin Doble (Polar Scientific Ltd.), Peter Wadhams (University of Cambridge), Sukun Cheng (Nansen Environmental and Remote Sensing Center), Clarence Collins (U.S. Army Engineering Research and Development Center), and Luke Bennetts (University of Adelaide) for providing their wave data, which are very crucial to this study. We appreciate Vernon Squire and Johannes Mosig (University of Otago) for providing their MATLAB code for the EFS model. Q. Liu acknowledges the support through the U.S. Office of Naval Research Grant N00014-17-1-3021, and AVB through Project 4593 supported by the Australian Antarctic program. C. Guan appreciates the financial support by Ministry of Science and Technology of China (2016YFC140140005). The authors are thankful for all comments and criticism raised by reviewers that have improved our manuscript a lot.</t>
  </si>
  <si>
    <t>10.1175/JPO-D-19-0187.1</t>
  </si>
  <si>
    <t>OR9ZB</t>
  </si>
  <si>
    <t>WOS:000589823100003</t>
  </si>
  <si>
    <t>Hughes, KA; Carcavilla, L; Crame, A; Díaz-Martínez, E; Elliot, D; Francis, J; López-Martínez, J; Reguero, M</t>
  </si>
  <si>
    <t>Hughes, Kevin A.; Carcavilla, Luis; Crame, Alistair; Diaz-Martinez, Enrique; Elliot, David; Francis, Jane; Lopez-Martinez, Jeronimo; Reguero, Marcelo</t>
  </si>
  <si>
    <t>Seymour (Marambio) Island: an outstanding example of Antarctic geological heritage</t>
  </si>
  <si>
    <t>ANTARCTIC SCIENCE</t>
  </si>
  <si>
    <t>Hughes, Kevin/JVZ-0793-2024; Díaz-Martínez, Enrique/A-8282-2008; Lopez-Martinez, Jeronimo/C-5744-2011; Reguero, Marcelo A./JHS-4893-2023; carcavilla, luis/L-3301-2014</t>
  </si>
  <si>
    <t>Díaz-Martínez, Enrique/0000-0003-2280-5320; Lopez-Martinez, Jeronimo/0000-0002-1750-8287; carcavilla, luis/0000-0003-0299-9818</t>
  </si>
  <si>
    <t>NERC [bas010011, NE/I00582X/2, NE/I005803/1] Funding Source: UKRI</t>
  </si>
  <si>
    <t>0954-1020</t>
  </si>
  <si>
    <t>1365-2079</t>
  </si>
  <si>
    <t>ANTARCT SCI</t>
  </si>
  <si>
    <t>Antarct. Sci.</t>
  </si>
  <si>
    <t>10.1017/S0954102020000267</t>
  </si>
  <si>
    <t>Environmental Sciences; Geography, Physical; Geosciences, Multidisciplinary</t>
  </si>
  <si>
    <t>Environmental Sciences &amp; Ecology; Physical Geography; Geology</t>
  </si>
  <si>
    <t>LM5JM</t>
  </si>
  <si>
    <t>WOS:000532284500001</t>
  </si>
  <si>
    <t>Kumar, A; Dutt, S; Saraswat, R; Gupta, AK; Clift, PD; Pandey, DK; Yu, ZJ; Kulhanek, DK</t>
  </si>
  <si>
    <t>Kumar, Anil; Dutt, Som; Saraswat, Rajeev; Gupta, Anil Kumar; Clift, Peter D.; Pandey, Dhananjai Kumar; Yu, Zhaojie; Kulhanek, Denise K.</t>
  </si>
  <si>
    <t>A late Pleistocene sedimentation in the Indus Fan, Arabian Sea, IODP Site U1457</t>
  </si>
  <si>
    <t>Laxmi Basin; Indus Fan; Arabian Sea; grain-size distribution; IODP</t>
  </si>
  <si>
    <t>SOURCE-TO-SINK; GRAIN-SIZE; SUMMER MONSOON; RIVER-BASIN; LEVEL; CLIMATE; ICE; OCEAN; PATTERNS; RECORD</t>
  </si>
  <si>
    <t>The intensity of turbidite sedimentation over long timescales is driven by sea-level change, tectonically driven rock uplift and climatically modulated sediment delivery rates. This study focuses on understanding the effect of sea-level fluctuations and climatic variability on grain-size variations. The grain size and environmental magnetic parameters of Arabian Sea sediments have been documented using 203 samples, spanning the last 200 ka, obtained from International Ocean Discovery Program (IODP) Site U1457. Grain-size end-member modelling suggests that between similar to 200 and 130 ka there was an increase in the coarse silt fraction caused by sediment transport following reworking of the Indus Fan and development of deep-sea canyons. The sediment size and enhanced magnetic susceptibility indicate a dominant flux of terrestrial sediments. Sedimentation in the distal Indus Fan at c. 200-130 ka was driven by a drop in sea level that lowered the base level in the Indus and Narmada river systems. The low sea-stand caused incision in the Indus delta, canyons and fan area, which resulted in the transportation of coarser sediment at the drilling site. Magnetic susceptibility and other associated magnetic parameters suggest a large fraction of the sediment was supplied by the Narmada River during similar to 200-130 ka. Since similar to 130 ka, clay-dominated sedimentation is attributed to the rise in sea level due to warm and wet climate.</t>
  </si>
  <si>
    <t>[Kumar, Anil; Dutt, Som] Wadia Inst Himalayan Geol, 33 GMS Rd, Dehra Dun, Uttarakhand, India; [Saraswat, Rajeev] Natl Inst Oceanog, Geol Oceanog Div, Panaji, Goa, India; [Gupta, Anil Kumar] Indian Inst Technol Kharagpur, Dept Geol &amp; Geophys, Kharagpur 721302, W Bengal, India; [Clift, Peter D.] Louisiana State Univ, Dept Geol &amp; Geophys, Baton Rouge, LA 70803 USA; [Pandey, Dhananjai Kumar] ESSO Natl Ctr Antarctic &amp; Ocean Res, Vasco Da Gama, Goa, India; [Yu, Zhaojie] Univ Paris Sud, Orsay, France; [Kulhanek, Denise K.] Texas A&amp;M Univ, 1000 Discovery Dr, College Stn, TX 77845 USA</t>
  </si>
  <si>
    <t>Department of Science &amp; Technology (India); Wadia Institute of Himalayan Geology (WIHG); Council of Scientific &amp; Industrial Research (CSIR) - India; CSIR - National Institute of Oceanography (NIO); Indian Institute of Technology System (IIT System); Indian Institute of Technology (IIT) - Kharagpur; Louisiana State University System; Louisiana State University; Ministry of Earth Sciences (MoES) - India; National Centre for Polar and Ocean Research (NCPOR); Universite Paris Cite; Universite Paris Saclay; Texas A&amp;M University System; Texas A&amp;M University College Station</t>
  </si>
  <si>
    <t>Kumar, A (corresponding author), Wadia Inst Himalayan Geol, 33 GMS Rd, Dehra Dun, Uttarakhand, India.</t>
  </si>
  <si>
    <t>akumar@wihg.res.in</t>
  </si>
  <si>
    <t>Pandey, Dhananjai/S-3843-2019; YU, ZHAOJIE/L-8930-2019; Saraswat, Rajeev/AAG-5459-2020; Clift, Peter/JWO-3915-2024; Kumar, Anil/K-3768-2014; Dutt, Som/ABA-9093-2020</t>
  </si>
  <si>
    <t>Pandey, Dhananjai/0000-0001-6899-8995; Kumar, Anil/0000-0003-1559-8589; Dutt, Som/0000-0002-2894-5861; Gupta, Anil/0000-0003-0536-3911; Saraswat, Rajeev/0000-0003-2110-2578; Yu, Zhaojie/0000-0003-4135-9418; Clift, Peter/0000-0001-6660-6388; Kulhanek, Denise/0000-0002-2156-6383</t>
  </si>
  <si>
    <t>DST, New Delhi</t>
  </si>
  <si>
    <t>DST, New Delhi(Department of Science &amp; Technology (India))</t>
  </si>
  <si>
    <t>IODP is gratefully acknowledged for providing the opportunity to work on board the vessel JOIDES Resolution during IODP Expedition 355 - Arabian Sea Monsoon. A.K. and S.D. thank the Director, Wadia Institute of Himalayan Geology (WIHG), for support and encouragement and allowing them to take up this project. A.K.G. thanks the DST, New Delhi, for a JC Bose fellowship. R.S. P.D.C. and Z.Y. appreciate the support from their respective heads. We thank Prof. A. Mackensen and the technical staff of the Alfred Wegener Institute for Polar and Marine Research, Germany, for the stable isotopic analysis. We also thank Dr Praveen K Mishra (WIHG) for helping us to understand the EMMA. Mr Jeet Majumdar (IIT Kharagpur) is also thanked for his help in data generation. The authors acknowledge IODP-India for the requisite support towards participation in IODP Expedition 355.</t>
  </si>
  <si>
    <t>10.1017/S0016756819000396</t>
  </si>
  <si>
    <t>LW4DF</t>
  </si>
  <si>
    <t>WOS:000539094000008</t>
  </si>
  <si>
    <t>Julkowska, M</t>
  </si>
  <si>
    <t>Julkowska, Magdalena</t>
  </si>
  <si>
    <t>Extreme Engineering: How Antarctic Algae Adapt to Hypersalinity</t>
  </si>
  <si>
    <t>PHOTOSYSTEM-I; PSYCHROPHILE</t>
  </si>
  <si>
    <t>[Julkowska, Magdalena] King Abdullah Univ Sci &amp; Technol, Thuwal 23955, Saudi Arabia</t>
  </si>
  <si>
    <t>King Abdullah University of Science &amp; Technology</t>
  </si>
  <si>
    <t>Julkowska, M (corresponding author), King Abdullah Univ Sci &amp; Technol, Thuwal 23955, Saudi Arabia.</t>
  </si>
  <si>
    <t>Magdalena.Julkowska@kaust.edu.sa</t>
  </si>
  <si>
    <t>Julkowska, Magdalena M./I-5447-2019</t>
  </si>
  <si>
    <t>Julkowska, Magdalena M./0000-0002-4259-8296</t>
  </si>
  <si>
    <t>AMER SOC PLANT BIOLOGISTS</t>
  </si>
  <si>
    <t>ROCKVILLE</t>
  </si>
  <si>
    <t>15501 MONONA DRIVE, ROCKVILLE, MD 20855 USA</t>
  </si>
  <si>
    <t>10.1104/pp.20.00467</t>
  </si>
  <si>
    <t>MA4DF</t>
  </si>
  <si>
    <t>WOS:000541865100006</t>
  </si>
  <si>
    <t>Miller, KG; Schmelz, WJ; Browning, JV; Kopp, RE; Mountain, GS; Wright, JD</t>
  </si>
  <si>
    <t>Miller, Kenneth G.; Schmelz, W. John; Browning, James, V; Kopp, Robert E.; Mountain, Gregory S.; Wright, James D.</t>
  </si>
  <si>
    <t>Ancient Sea Level as Key to the Future</t>
  </si>
  <si>
    <t>OCEANOGRAPHY</t>
  </si>
  <si>
    <t>GLACIAL ISOSTASY; CLIMATE; EUSTASY; RECORD; EVENT; TEMPERATURES; INSTABILITY; INITIATION; OXYGEN; RISE</t>
  </si>
  <si>
    <t>Studies of ancient sea levels provide insights into the mechanisms and rates of sea level changes due to tectonic processes (e.g., ocean crust production) and climatic variations (e.g., insolation due to Earth's orbital changes and atmospheric CO2). Global mean sea level (GMSL) changes since the Middle Eocene (ca. 48 million years ago [Ma]) have been primarily driven by ice volume changes paced on astronomical timescales (2400, 1200, 95/125, 41, and 19/23 thousand years [kyr]), modulated by changes in atmospheric CO2. During peak warm intervals (e.g., Early Eocene Climatic Optimum 56-48 Ma and the early Late Cretaceous ca. 100-80 Ma), atmospheric CO2 was high and Earth was more than 5 degrees C warmer and mostly ice-free, contributing similar to 66 m of GMSL rise from ice alone. However, even in the warmest times (e.g., Early Eocene, ca 50 Ma), growth and decay of small ice sheets (&lt;25 m sea level equivalent) likely drove sea level changes that inundated continents and controlled the record of shallow-water deposits. Ice sheets were confined to the interior of Antarctica prior to the Oligocene and first reached the Antarctic coast at 34 Ma, with the lowest sea levels -20 +/- 10 m relative to modern GMSL. Following a near ice-free Miocene Climatic Optimum (17-13.8 Ma), a permanent East Antarctic Ice Sheet (EAIS) developed in the Middle Miocene (ca. 13.8 Ma). During the Pliocene (4-3 Ma), CO2 was similar to 2020 CE (Common Era) and sea levels stood similar to 22 +/- 10 m above present, requiring significant loss of the Greenland Ice Sheet (similar to 7 m of sea level), West Antarctic Ice Sheet (similar to 5 m after isostatic compensation), and vulnerable portions of the EAIS. The small Northern Hemisphere ice sheets of the Eocene to Pliocene expanded into continental scale in the Quaternary (past 2.55 million years). Sea level reached its lowest point (similar to 130 m below present) during the Last Glacial Maximum (ca. 27-20 thousand years before 1950 [ka]), episodically rose during the deglaciation (ca. 20-11 ka) at rates that at times were in excess of 47 mm yr(-1) (vs. modern rates of 3.2 mm yr(-1)), and progressively slowed during the Early to Middle Holocene from ca. 11 ka until similar to 4 ka. During the Late Holocene (last 4.2 kyr, including the CE), GMSL only exhibited multi-centennial variability of +/- 0.1 m. The modern episode of GMSL rise began in the late nineteenth century, with most of the twentieth century rise attributable to global warming and ice melt. Under moderate emissions scenarios, GMSL is likely to rise 0.4-1.0 m in this century, with ancient analogs suggesting a longer term (centennial to millennial scale) equilibrium rise of similar to 10 m. Under higher emissions scenarios, twenty-first century GMSL will rise greater than 2 m, and in the long term, tens of meters cannot be excluded.</t>
  </si>
  <si>
    <t>[Miller, Kenneth G.; Schmelz, W. John; Browning, James, V; Kopp, Robert E.; Mountain, Gregory S.; Wright, James D.] Rutgers State Univ, Dept Earth &amp; Planetary Sci, Piscataway, NJ 08854 USA; [Miller, Kenneth G.; Schmelz, W. John; Browning, James, V; Kopp, Robert E.; Mountain, Gregory S.; Wright, James D.] Rutgers State Univ, Inst Earth Ocean &amp; Atmospher Sci, New Brunswick, NJ 08854 USA</t>
  </si>
  <si>
    <t>Miller, KG (corresponding author), Rutgers State Univ, Dept Earth &amp; Planetary Sci, Piscataway, NJ 08854 USA.;Miller, KG (corresponding author), Rutgers State Univ, Inst Earth Ocean &amp; Atmospher Sci, New Brunswick, NJ 08854 USA.</t>
  </si>
  <si>
    <t>kgm@rutgers.edu</t>
  </si>
  <si>
    <t>Kopp, Robert E/B-8822-2008; Schmelz, W. John/O-4046-2017</t>
  </si>
  <si>
    <t>Schmelz, W. John/0000-0002-2588-7985</t>
  </si>
  <si>
    <t>National Science Foundation [OCE16-57013]; IODP/Texas A&amp;M Research Foundation</t>
  </si>
  <si>
    <t>National Science Foundation(National Science Foundation (NSF)); IODP/Texas A&amp;M Research Foundation</t>
  </si>
  <si>
    <t>This work was supported by National Science Foundation grants OCE16-57013 (Miller) and the IODP/Texas A&amp;M Research Foundation. We thank the Office of Advanced Research Computing (OARC) at Rutgers University for providing access to the Amarel cluster and associated research computing resources, IODP for samples, and the IODP community for producing the stable isotope, trace metal, and backstripped data used here. We thank Craig Fulthorpe and Oceanography Associate/Guest Editor Peggy Delaney for reviews.</t>
  </si>
  <si>
    <t>OCEANOGRAPHY SOC</t>
  </si>
  <si>
    <t>P.O. BOX 1931, ROCKVILLE, MD USA</t>
  </si>
  <si>
    <t>1042-8275</t>
  </si>
  <si>
    <t>10.5670/oceanog.2020.224</t>
  </si>
  <si>
    <t>NZ3HL</t>
  </si>
  <si>
    <t>WOS:000576988100008</t>
  </si>
  <si>
    <t>Gasson, EGW; Keisling, BA</t>
  </si>
  <si>
    <t>Gasson, Edward G. W.; Keisling, Benjamin A.</t>
  </si>
  <si>
    <t>THE ANTARCTIC ICE SHEET A Paleoclimate Modeling Perspective</t>
  </si>
  <si>
    <t>SEA-LEVEL RISE; DYNAMIC TOPOGRAPHY; ATMOSPHERIC CO2; GROUNDING-LINE; MIOCENE; CLIMATE; OCEAN; SOUTHERN; VOLUME; MELTWATER</t>
  </si>
  <si>
    <t>The Antarctic Ice Sheet is the largest potential contributor to future sea level rise. Models and paleoceanographic data are often used to examine the past behavior of the ice sheet during both cooler and warmer intervals to understand the forcing and feedbacks that influence ice sheet behavior. Marine geologic studies have focused on understanding ice sheet response during warmer intervals, including the middle Miocene and Pliocene, that have been considered potential analogues to future anthropogenic climate change. Here, we discuss ice sheet modeling and the ways that marine geologic data are used to constrain ice sheet models of the Antarctic Ice Sheet during past warm intervals. We focus on the key challenge of simulating retreat of the marine and terrestrial sectors of the ice sheet in the geologic past. By integrating ice sheet models and geologic records, we can better characterize the processes that drove past ice sheet retreat. A more complete understanding of these processes, based on continuing engagement between the data and the modeling communities, is the key to predicting the ice sheet's future.</t>
  </si>
  <si>
    <t>[Gasson, Edward G. W.] Univ Bristol, Sch Geog Sci, Bristol, Avon, England; [Keisling, Benjamin A.] Columbia Univ, Lamont Doherty Earth Observ, Palisades, NY USA</t>
  </si>
  <si>
    <t>University of Bristol; Columbia University</t>
  </si>
  <si>
    <t>Gasson, EGW (corresponding author), Univ Bristol, Sch Geog Sci, Bristol, Avon, England.</t>
  </si>
  <si>
    <t>e.gasson@bristol.ac.uk</t>
  </si>
  <si>
    <t>Keisling, Benjamin/HDN-5682-2022</t>
  </si>
  <si>
    <t>Keisling, Benjamin/0000-0002-2182-2025; Gasson, Edward/0000-0003-4653-6217</t>
  </si>
  <si>
    <t>Royal Society; Natural Environment Research Council (NERC) grant PLIOAMP [NE/T007397/1]; Lamont-Doherty Postdoctoral Fellowship; NERC [NE/T007397/1] Funding Source: UKRI</t>
  </si>
  <si>
    <t>Royal Society(Royal Society); Natural Environment Research Council (NERC) grant PLIOAMP(UK Research &amp; Innovation (UKRI)Natural Environment Research Council (NERC)); Lamont-Doherty Postdoctoral Fellowship; NERC(UK Research &amp; Innovation (UKRI)Natural Environment Research Council (NERC))</t>
  </si>
  <si>
    <t>E.G. thanks the Royal Society and Natural Environment Research Council (NERC) grant PLIOAMP (NE/T007397/1) for financial support. B.K. is funded by a Lamont-Doherty Postdoctoral Fellowship. We thank Bas de Boer and guest editor Amelia Shevenell for comments that greatly improved the manuscript.</t>
  </si>
  <si>
    <t>10.5670/oceanog.2020.208</t>
  </si>
  <si>
    <t>WOS:000576988100017</t>
  </si>
  <si>
    <t>Webb, PN; Barrett, PJ</t>
  </si>
  <si>
    <t>Webb, Peter N.; Barrett, Peter J.</t>
  </si>
  <si>
    <t>A Memory of Ice THE ANTARCTIC VOYAGE OF THE GLOMAR CHALLENGER</t>
  </si>
  <si>
    <t>Book Review</t>
  </si>
  <si>
    <t>[Webb, Peter N.] Ohio State Univ, Sch Earth Sci, Columbus, OH 43210 USA; [Barrett, Peter J.] Victoria Univ Wellington, Antarctic Res Ctr, Wellington, New Zealand</t>
  </si>
  <si>
    <t>University System of Ohio; Ohio State University; Victoria University Wellington</t>
  </si>
  <si>
    <t>Webb, PN (corresponding author), Ohio State Univ, Sch Earth Sci, Columbus, OH 43210 USA.</t>
  </si>
  <si>
    <t>peternoelwebb@yahoo.com; peter.barrett@vuw.ac.nz</t>
  </si>
  <si>
    <t>10.5670/oceanog.2020.218</t>
  </si>
  <si>
    <t>WOS:000576988100022</t>
  </si>
  <si>
    <t>Zhang, X; Zhou, CX; Yuan, LX; Dongchen, E</t>
  </si>
  <si>
    <t>Zhang, Xin; Zhou, Chunxia; Yuan, Lexian; Dongchen, E.</t>
  </si>
  <si>
    <t>Blue-Ice Extraction and Classification in Antarctica Using MOA Images</t>
  </si>
  <si>
    <t>JOURNAL OF COASTAL RESEARCH</t>
  </si>
  <si>
    <t>Antarctic blue ice; MOA; grayscale threshold value; surface snow grain size; wind induced- blue ice; melt-induced blue ice</t>
  </si>
  <si>
    <t>ETM PLUS; AREAS</t>
  </si>
  <si>
    <t>Using Moderate Resolution Imaging Spectroradiometer (MODIS) Mosaic of Antarctica (MOA) images, areas of Antarctic blue ice were extracted and classified based on the grayscale threshold value of Band 1 MODIS images and the threshold of the surface snow grain size in Band 1 and Band 2 MODIS images. The MOA-based blue-ice area extraction method was verified by tests in blue-ice areas on Grove Mountains, and the MOA-based blue-ice classification method was verified by tests on Queen Maud Land. Highly reliable Antarctic blue-ice distribution maps were obtained in this study, and the blue-ice extent in Antarctica is 188,857-226,628 km(2).</t>
  </si>
  <si>
    <t>[Zhang, Xin; Zhou, Chunxia; Yuan, Lexian; Dongchen, E.] Wuhan Univ, Chinese Antarctic Ctr Surveying &amp; Mapping, Wuhan 430079, Peoples R China; [Zhang, Xin; Yuan, Lexian] Changjiang Spatial Informat Technol Engn Co Ltd, Changjiang Inst Survey Planning Design &amp; Res, Wuhan 430010, Peoples R China</t>
  </si>
  <si>
    <t>Wuhan University</t>
  </si>
  <si>
    <t>Zhou, CX (corresponding author), Wuhan Univ, Chinese Antarctic Ctr Surveying &amp; Mapping, Wuhan 430079, Peoples R China.</t>
  </si>
  <si>
    <t>zhoucx@whu.edu.cn</t>
  </si>
  <si>
    <t>National Natural Science Foundation of China [41706216]</t>
  </si>
  <si>
    <t>This research was financially supported by the National Natural Science Foundation of China (Grant No. 41706216).</t>
  </si>
  <si>
    <t>COASTAL EDUCATION &amp; RESEARCH FOUNDATION</t>
  </si>
  <si>
    <t>COCONUT CREEK</t>
  </si>
  <si>
    <t>5130 NW 54TH STREET, COCONUT CREEK, FL 33073 USA</t>
  </si>
  <si>
    <t>0749-0208</t>
  </si>
  <si>
    <t>1551-5036</t>
  </si>
  <si>
    <t>J COASTAL RES</t>
  </si>
  <si>
    <t>J. Coast. Res.</t>
  </si>
  <si>
    <t>SUM</t>
  </si>
  <si>
    <t>10.2112/JCR-SI108-037.1</t>
  </si>
  <si>
    <t>NX7TH</t>
  </si>
  <si>
    <t>WOS:000575908200037</t>
  </si>
  <si>
    <t>Fischer, C</t>
  </si>
  <si>
    <t>Fischer, Carl</t>
  </si>
  <si>
    <t>Fascism on Ice: Miguel Serrano in Chilean Antarctica</t>
  </si>
  <si>
    <t>REVISTA DE ESTUDIOS HISPANICOS</t>
  </si>
  <si>
    <t>fascism; aesthetics; Antarctica; Chile; Miguel Serrano; nationalism</t>
  </si>
  <si>
    <t>Following World War II, borders were being redrawn and there was a renewed geopolitical interest around the world in Antarctica as a strategic outpost. The writings of Miguel Serrano, an avowed Nazi, detailing his participation in the Chilean government's 1947 expedition to confirm sovereignty (Pinochet de la Barra 39) in Antarctica (particularly 1957's Quien llama en los hielos) helped lend the continent the symbolic significance that it continues to hold for many today. Serrano introduces the Antarctic landscape as an aestheticized metaphor for Chile's imagined racial purity and its pretensions at nationalist, geopolitical domination, while also figuring it as a source of mythologized, occult-based images and conspiracy theories. This essay engages with these aspects of Serrano's work on Antarctica, and then moves on to a series of subsequent cultural artifacts that demonstrate how Antarctic ice is also a motif through which some Chileans have critiqued the legacy of fascism. This essay thus contends that Serrano's work on Antarctica is a key, yet under-examined, piece of a Chilean archive of fascist (and anti-fascist) aesthetics, connecting white supremacist texts written after the War of the Pacific to the geopolitical obsessions of the Pinochet regime and the memory struggles of the postdictatorship period.</t>
  </si>
  <si>
    <t>[Fischer, Carl] Fordham Univ, Bronx, NY 10458 USA</t>
  </si>
  <si>
    <t>Fordham University</t>
  </si>
  <si>
    <t>Fischer, C (corresponding author), Fordham Univ, Bronx, NY 10458 USA.</t>
  </si>
  <si>
    <t>Fordham University's Office of Research</t>
  </si>
  <si>
    <t>The author wishes to thank Carey Kasten, Lise Schreier, Constanza Vergara, Cynthia Vich, and Corey McEleney for their comments on different versions of this manuscript, as well as Fordham University's Office of Research for funding the research that led to this article's publication.</t>
  </si>
  <si>
    <t>ST LOUIS</t>
  </si>
  <si>
    <t>WASHINGTON UNIV, BOX 1077, DEPT ROMANCE LANG, ONE BROOKINGS DR, ST LOUIS, MO 63130-4899 USA</t>
  </si>
  <si>
    <t>0034-818X</t>
  </si>
  <si>
    <t>REV ESTUD HISPAN</t>
  </si>
  <si>
    <t>Rev. Estud. Hisp.</t>
  </si>
  <si>
    <t>10.1353/rvs.2020.0038</t>
  </si>
  <si>
    <t>Literature, Romance</t>
  </si>
  <si>
    <t>NW7GC</t>
  </si>
  <si>
    <t>WOS:000575186400009</t>
  </si>
  <si>
    <t>Levy, H; Fiddaman, SR; Vianna, JA; Noll, D; Clucas, GV; Sidhu, JKH; Polito, MJ; Bost, CA; Phillips, RA; Crofts, S; Miller, GD; Pistorius, P; Bonnadonna, F; Le Bohec, C; Barbosa, A; Trathan, P; Rey, AR; Frantz, LAF; Hart, T; Smith, AL</t>
  </si>
  <si>
    <t>Levy, Hila; Fiddaman, Steven R.; Vianna, Juliana A.; Noll, Daly; Clucas, Gemma, V; Sidhu, Jasmine K. H.; Polito, Michael J.; Bost, Charles A.; Phillips, Richard A.; Crofts, Sarah; Miller, Gary D.; Pistorius, Pierre; Bonnadonna, Francesco; Le Bohec, Celine; Barbosa, Andres; Trathan, Phil; Rey, Andrea Raya; Frantz, Laurent A. F.; Hart, Tom; Smith, Adrian L.</t>
  </si>
  <si>
    <t>Evidence of Pathogen-Induced Immunogenetic Selection across the Large Geographic Range of a Wild Seabird</t>
  </si>
  <si>
    <t>immunogenetics; positive selection; Toll-like receptors; pathogen-mediated selection; Antarctica and Southern Ocean; Gentoo penguin</t>
  </si>
  <si>
    <t>TOLL-LIKE RECEPTORS; PENGUINS PYGOSCELIS-PAPUA; LEUCINE-RICH REPEATS; AMINO-ACID CHANGES; GENTOO PENGUINS; PHYLOGENETIC ANALYSIS; INTERSPECIFIC VARIATIONS; ANTARCTIC PENGUINS; STATISTICAL-METHOD; MITOCHONDRIAL-DNA</t>
  </si>
  <si>
    <t>Over evolutionary time, pathogen challenge shapes the immunepheno type of the host to better respond to an incipient threat. The extent and direction of this selection pressure depend on the local pathogen composition, which is in turn determined by biotic and abiotic features of the environment. However, little is known about adaptation to local pathogen threats in wild animals. The Gentoo penguin (Pygoscelis papua) is a species complex that lends itself to the study of immune adaptation because of its circumpolar distribution over a large latitudinal range, with little or no admixture between ''different clades. Inthis study, we examine the diversity in a key family of innate immune genes-theToll-like receptors (TLRs)-across the range of the Gentoo penguin. The three TLRs that we investigated present varying levels of diversity, with TLR4 and TLR5 greatly exceeding the diversity of TLR7. We present evidence of positive selection in TLR4 and TLR5, which points to pathogen-driven adaptation to the local pathogen milieu. Finally, we demonstrate that two positively selected cosegregating sites in TLR5 are sufficient to alter the responsiveness of the receptor to its bacterial ligand, flagellin. Taken together, these results suggest that Gentoo penguins have experienced distinct pathogen-driven selection pressures in different environments, which may be important given the role of the Gentoo penguin as a sentinel species in some of the world's most rapidly changing environments.</t>
  </si>
  <si>
    <t>[Levy, Hila; Fiddaman, Steven R.; Sidhu, Jasmine K. H.; Hart, Tom; Smith, Adrian L.] Univ Oxford, Dept Zool, Oxford, England; [Vianna, Juliana A.; Noll, Daly] Pontificia Univ Catolica Chile, Dept Ecosistemas &amp; Medio Ambiente, Santiago, Chile; [Noll, Daly] Univ Chile, Inst Ecol &amp; Biodiversidad, Dept Ciencias Ecol, Santiago, Chile; [Clucas, Gemma, V] Cornell Univ, Cornell Atkinson Ctr Sustainable Future, Ithaca, NY USA; [Clucas, Gemma, V] Cornell Univ, Cornell Lab Ornithol, Ithaca, NY USA; [Polito, Michael J.] Louisiana State Univ, Dept Oceanog &amp; Coastal Sci, Baton Rouge, LA 70803 USA; [Bost, Charles A.] Univ La Rochelle, UMR 7372 CNRS, Ctr Etud Biol Chize CEBC, Villiers En Bois, France; [Phillips, Richard A.; Trathan, Phil] British Antarctic Survey, Cambridge, England; [Crofts, Sarah] Falklands Conservat, Stanley, Falkland Island; [Miller, Gary D.] Univ Western Australia, Microbiol &amp; Immunol, PALM, Crawley, WA, Australia; [Pistorius, Pierre] Nelson Mandela Univ, Percy FitzPatrick Inst African Ornithol, Dept Zool, DST NRF Ctr Excellence, Port Elizabeth, South Africa; [Bonnadonna, Francesco] Univ Montpellier, Univ Paul Valery Montpellier, EPHE, CNRS,CEFE UMR 5175, Montpellier, France; [Le Bohec, Celine] Univ Strasbourg, CNRS, IPHC UMR 7178, Strasbourg, France; [Le Bohec, Celine] Ctr Sci Monaco, Dept Biol Polaire, Monaco, Monaco; [Barbosa, Andres] CSIC, Dept Ecol Evolut, Museo Nacl Ciencias Nat, Madrid, Spain; [Rey, Andrea Raya] Consejo Nacl Invest Cient &amp; Tecn CADIC CONICET, Ctr Austral Invest Cient, Ushuaia, Tierra Del Fueg, Argentina; [Rey, Andrea Raya] Univ Nacl Tierra del Fuego, Inst Ciencias Polares Ambiente &amp; Recursos Nat, Ushuaia, Tierra Del Fueg, Argentina; [Rey, Andrea Raya] Wildlife Conservat Soc, Buenos Aires, DF, Argentina; [Frantz, Laurent A. F.] Queen Mary Univ London, Sch Biol &amp; Chem Sci, London, England</t>
  </si>
  <si>
    <t>University of Oxford; Pontificia Universidad Catolica de Chile; Universidad de Chile; Cornell University; Cornell University; Louisiana State University System; Louisiana State University; Centre National de la Recherche Scientifique (CNRS); CNRS - Institute of Ecology &amp; Environment (INEE); La Rochelle Universite; UK Research &amp; Innovation (UKRI); Natural Environment Research Council (NERC); NERC British Antarctic Survey; University of Western Australia; National Research Foundation - South Africa; Nelson Mandela University; Centre National de la Recherche Scientifique (CNRS); CNRS - Institute of Ecology &amp; Environment (INEE); Universite de Montpellier; Universite Paul-Valery; Universite PSL; Ecole Pratique des Hautes Etudes (EPHE); Centre National de la Recherche Scientifique (CNRS); CNRS - National Institute of Nuclear and Particle Physics (IN2P3); Universites de Strasbourg Etablissements Associes; Universite de Strasbourg; Consejo Superior de Investigaciones Cientificas (CSIC); CSIC - Museo Nacional de Ciencias Naturales (MNCN); University of London; Queen Mary University London</t>
  </si>
  <si>
    <t>Smith, AL (corresponding author), Univ Oxford, Dept Zool, Oxford, England.</t>
  </si>
  <si>
    <t>adrian.smith@zoo.ox.ac.uk</t>
  </si>
  <si>
    <t>Clucas, Gemma/ABF-9073-2021; LE BOHEC, CELINE/AAD-3589-2022; Fiddaman, Steven/HZL-9651-2023; Polito, Michael/G-9118-2012; Vianna, Juliana/E-9847-2015</t>
  </si>
  <si>
    <t>Polito, Michael/0000-0001-8639-4431; Noll, Daly/0000-0003-3733-8817; LE BOHEC, Celine/0000-0003-0149-6477; Raya Rey, Andrea/0000-0003-0127-6650; Levy, Hila/0000-0001-9204-6417; Vianna, Juliana/0000-0003-2330-7825; Fiddaman, Steven/0000-0001-8222-7687</t>
  </si>
  <si>
    <t>Oxford Clarendon Fund scholarship; Biotechnology and Biological Sciences Research Council (BBSRC) [BB/M011224/1]; CONICYT [PIA ACT172065]; Spanish Ministry of Science [CGL2007-60369, CTM2015-64720]; Institut Polaire Francais Paul-Emile Victor (IPEV: Program 137); Institut Polaire Francais Paul-Emile Victor (IPEV: Program 354); Laboratoire International Associe 647 BioSensib (CSM/CNRS-University of Strasbourg); ALS; NERC [bas0100035] Funding Source: UKRI</t>
  </si>
  <si>
    <t>Oxford Clarendon Fund scholarship; Biotechnology and Biological Sciences Research Council (BBSRC)(UK Research &amp; Innovation (UKRI)Biotechnology and Biological Sciences Research Council (BBSRC)); CONICYT(Comision Nacional de Investigacion Cientifica y Tecnologica (CONICYT)); Spanish Ministry of Science(Spanish Government); Institut Polaire Francais Paul-Emile Victor (IPEV: Program 137); Institut Polaire Francais Paul-Emile Victor (IPEV: Program 354); Laboratoire International Associe 647 BioSensib (CSM/CNRS-University of Strasbourg); ALS; NERC(UK Research &amp; Innovation (UKRI)Natural Environment Research Council (NERC))</t>
  </si>
  <si>
    <t>The financial support for this study was provided by an Oxford Clarendon Fund scholarship for H.L. and from the Biotechnology and Biological Sciences Research Council (BBSRC) (Grant No. BB/M011224/1) for S.R.F. Sample collection was funded in part by CONICYT PIA ACT172065 GAB and Spanish Ministry of Science projects CGL2007-60369 and CTM2015-64720. Logistic and field costs for sampling at the Crozet and Kerguelen archipelagos were supported by the Institut Polaire Francais Paul-Emile Victor (IPEV: Program 137-C.L.B. and Program 354-F.B., respectively) with additional support from the Laboratoire International Associe 647 BioSensib (CSM/CNRS-University of Strasbourg). Open access funding was provided by ALS. We appreciate the support of all of our sampling logistics providers, including W. Trivelpiece and the U.S. Antarctic Marine Living Resource Program, the Argentinean Antarctic Station Carlini, and the transportation by the Spanish Polar ship Las Palmas. We also thank A. D. Rogers for providing laboratory resources and guiding the early phases of this study.</t>
  </si>
  <si>
    <t>10.1093/molbev/msaa040</t>
  </si>
  <si>
    <t>NN8TT</t>
  </si>
  <si>
    <t>Green Accepted, Green Submitted, Green Published, hybrid</t>
  </si>
  <si>
    <t>WOS:000569060900014</t>
  </si>
  <si>
    <t>Chao, BF; Yu, Y; Chung, CH</t>
  </si>
  <si>
    <t>Chao, B. F.; Yu, Y.; Chung, C. H.</t>
  </si>
  <si>
    <t>Variation of Earth's Oblateness J2 on Interannual-to-Decadal Timescales</t>
  </si>
  <si>
    <t>JOURNAL OF GEOPHYSICAL RESEARCH-SOLID EARTH</t>
  </si>
  <si>
    <t>ATMOSPHERIC MASS REDISTRIBUTION; GRAVITATIONAL-FIELD; MANTLE ANELASTICITY; LAGEOS; ROTATION; SPECTRUM; TIDES; CORE</t>
  </si>
  <si>
    <t>The Earth's oblateness varies slightly due to a host of physical processes that involve large-scale meridional N-S mass redistributions in the Earth. We analyze these minute, broadband signals in the observed Delta J(2) data series for 1976-2019 (43 years). We first remove the near-quadratic variation (due to the glacial isostatic adjustment plus the accelerating land ice melting) and the seasonal terms (due to seasonality of the surface geophysical fluids) by least squares regression. Then we examine via cross-correlation function and cross-coherence spectrum the relationships of the remaining interannual-to-decadal Delta J(2) with various climate oscillations in terms of their respective indices. We elucidate the contributions of the Antarctic Oscillation and Arctic Oscillation (for timescales shorter than 5 years), Pacific Decadal Oscillation (for timescales longer than 5 years), and the absence thereof in El Nino-Southern Oscillation and Atlantic Multidecadal Oscillation. Removal of their contributions from Delta J(2) reveals two remaining, nonclimatic long-period signals: An 18.61-year tidal signal calls for an augmentation in the in-phase value and a reduction of the out-of-phase value in the theoretical models per International Earth rotation and Reference systems Service (IERS), while a more detailed quantitative study awaits future, longer data. An additional 10.5-year signal is found to be correlated with the solar cycle, but the origin of this apparent correlation is uncertain presently.</t>
  </si>
  <si>
    <t>[Chao, B. F.; Yu, Y.; Chung, C. H.] Acad Sinica, Inst Earth Sci, Taipei, Taiwan; [Yu, Y.] Univ Calif San Diego, Scripps Inst Oceanog, La Jolla, CA 92093 USA; [Chung, C. H.] Natl Taiwan Univ, Dept Geosci, Taipei, Taiwan</t>
  </si>
  <si>
    <t>Academia Sinica - Taiwan; University of California System; University of California San Diego; Scripps Institution of Oceanography; National Taiwan University</t>
  </si>
  <si>
    <t>Chao, BF (corresponding author), Acad Sinica, Inst Earth Sci, Taipei, Taiwan.</t>
  </si>
  <si>
    <t>bfchao@earth.sinica.edu.tw</t>
  </si>
  <si>
    <t>Chung, Chi-Hua/0000-0003-3876-9109</t>
  </si>
  <si>
    <t>Taiwan Ministry of Science and Technology [108-2116-M-001-016]</t>
  </si>
  <si>
    <t>Taiwan Ministry of Science and Technology</t>
  </si>
  <si>
    <t>Thanks are due to the following organizations that provide the data sets used in this paper: J2 from the Center for Space Research at the University of Texas, Austin (https://grace.jpl.nasa.gov/data/get-data/oblateness/); the auxiliary J2 from the Space Research Institute (IWF) of the Austrian Academy of Sciences (http://geodesy.iwf.oeaw.ac.at/d_slr_monthly.html); the monthly AAO and AO indices and the surface pressure from NCEP (http://www.cpc.ncep.noaa.gov/products/precip/CWlink/daily_ao_index/aao/monthly.aao.index.b79.current.ascii; http://www.cpc.ncep.noaa.gov/products/precip/CWlink/daily_ao_ index/monthly.ao.index.b50.current. ascii; https://www.esrl.noaa.gov/psd/data/gridded/data.ncep.reanalysis.surface.html.); and AMO index (from https://www.esrl.noaa.gov/psd/data/correlation/amon.us.long.data); the orthogonal version of the ENSO and PDO indices were graciously provided by Xianyao Chen. We also thank E. Ivins for an insightful and careful review, and C. Y. Xu for assistance. This work is supported by Taiwan Ministry of Science and Technology Grant 108-2116-M-001-016.</t>
  </si>
  <si>
    <t>2169-9313</t>
  </si>
  <si>
    <t>2169-9356</t>
  </si>
  <si>
    <t>J GEOPHYS RES-SOL EA</t>
  </si>
  <si>
    <t>J. Geophys. Res.-Solid Earth</t>
  </si>
  <si>
    <t>e2020JB019421</t>
  </si>
  <si>
    <t>10.1029/2020JB019421</t>
  </si>
  <si>
    <t>NJ3DB</t>
  </si>
  <si>
    <t>WOS:000565927000020</t>
  </si>
  <si>
    <t>Ivanova, NS; Kruchenitskii, GM; Kuznetsova, IN; Demin, VI; Lapchenko, VA</t>
  </si>
  <si>
    <t>Ivanova, N. S.; Kruchenitskii, G. M.; Kuznetsova, I. N.; Demin, V. I.; Lapchenko, V. A.</t>
  </si>
  <si>
    <t>Ozone Content over the Russian Federation in the First Quarter of 2020</t>
  </si>
  <si>
    <t>RUSSIAN METEOROLOGY AND HYDROLOGY</t>
  </si>
  <si>
    <t>Total ozone monitoring in CIS; Total ozone anomaly in the first quarter of 2020; Spring Antarctic ozone anomaly; Surface ozone values</t>
  </si>
  <si>
    <t>The review is based on the results of operation of the total ozone (TO) monitoring system in the CIS and Baltic countries that functions in the operational mode at the Central Aerological Observatory (CAO). The monitoring system uses data from the national network equipped with M-124 filter ozonometers being under the methodological supervision of the Main Geophysical Observatory. The quality of the functioning of the entire system is operationally controlled in CAO by the comparison with the observations obtained from the OMI satellite equipment (NASA, USA). Basic TO observation data are generalized for each month of the first quarter of 2020 and for the first quarter. Data of routine observations of surface ozone values in different regions of the country are also presented.</t>
  </si>
  <si>
    <t>[Ivanova, N. S.; Kruchenitskii, G. M.] Cent Aerol Observ, Ul Pervomaiskaya 3, Dolgoprudnyi 141700, Moscow Oblast, Russia; [Kuznetsova, I. N.] Hydrometeorol Res Ctr Russian Federat, Bolshoi Predtechenskii Per 11-13, Moscow 123242, Russia; [Demin, V. I.] Polar Geophys Inst, Akademgorodok 26a, Apatity 184209, Murmansk Oblast, Russia; [Lapchenko, V. A.] Russian Acad Sci, Vyazemskii Kara Dag Sci Stn Nat Reserve, Ul Nauki 24, Feodosiya 298188, Republic Of Cri, Russia</t>
  </si>
  <si>
    <t>Russian Academy of Sciences; Polar Geophysical Institute; Russian Academy of Sciences</t>
  </si>
  <si>
    <t>Ivanova, NS (corresponding author), Cent Aerol Observ, Ul Pervomaiskaya 3, Dolgoprudnyi 141700, Moscow Oblast, Russia.</t>
  </si>
  <si>
    <t>oom@cao-rhms.ru</t>
  </si>
  <si>
    <t>MOSCOW</t>
  </si>
  <si>
    <t>BUTLEROVA UL 17 B, MOSCOW, RUSSIA</t>
  </si>
  <si>
    <t>1068-3739</t>
  </si>
  <si>
    <t>1934-8096</t>
  </si>
  <si>
    <t>RUSS METEOROL HYDRO+</t>
  </si>
  <si>
    <t>Russ. Meteorol. Hydrol.</t>
  </si>
  <si>
    <t>10.3103/S1068373920060084</t>
  </si>
  <si>
    <t>NI3FK</t>
  </si>
  <si>
    <t>WOS:000565241900008</t>
  </si>
  <si>
    <t>Gopinath, G; Resmi, TR; Praveenbabu, M; Pragath, M; Sunil, PS; Rawat, R</t>
  </si>
  <si>
    <t>Gopinath, G.; Resmi, T. R.; Praveenbabu, M.; Pragath, M.; Sunil, P. S.; Rawat, R.</t>
  </si>
  <si>
    <t>Isotope hydrochemistry of the lakes in Schirmacher Oasis, East Antarctica</t>
  </si>
  <si>
    <t>INDIAN JOURNAL OF GEO-MARINE SCIENCES</t>
  </si>
  <si>
    <t>Ionic composition; Polar lakes; Schirmacher Oases; Stable isotopes</t>
  </si>
  <si>
    <t>ZFL-MITTEILUNGEN; GROUNDWATER-FLOW; STABLE-ISOTOPE; CLIMATE-CHANGE; ICE SHELF; WATER; GEOCHEMISTRY; CHEMISTRY; LIMNOLOGY; SEDIMENTS</t>
  </si>
  <si>
    <t>The study aims to find out the ionic and isotopic compositions of some lakes in the Schirmacher Oasis in east Antarctica. The water samples were collected from 12 lakes near the Indian Antarctic station, Maitri. The chemistry of lake water indicates contribution from glacial melt water and lithology of the area. Evaporation from shallow lakes was also found to be controlling the lake water chemistry. The isotopic concentration of the lake waters also indicated input from the melt water from adjacent glaciers. delta D varied between-167.2 parts per thousand and -250.2 parts per thousand and delta O-18 from -18.0 parts per thousand to -31.2 parts per thousand. It was found that diffusion controlled kinetic effect at the liquid-ice interface for different water isotopologues and evaporative enrichment of heavier isotopes from open water bodies determined the slope of the regression line of the lake water.</t>
  </si>
  <si>
    <t>[Gopinath, G.; Resmi, T. R.; Praveenbabu, M.; Pragath, M.] Ctr Water Resources Dev &amp; Management, Kozhikode 673571, Kerala, India; [Gopinath, G.] Kerala Univ Fisheries &amp; Ocean Studies, Kochi 682508, Kerala, India; [Sunil, P. S.; Rawat, R.] Indian Inst Geomagnetism, Plot 5,Sect 18, Navi Mumbai 410218, Maharashtra, India; [Sunil, P. S.] Cochin Univ Sci &amp; Technol, Dept Marine Geol &amp; Geophys, Kochi 16, India; [Sunil, P. S.] Cochin Univ Sci &amp; Technol, Sch Marine Sci, eCUSAT NCPOR Ctr Polar Sci, Kochi 682016, Kerala, India</t>
  </si>
  <si>
    <t>Kerala University of Fisheries &amp; Ocean Studies; Department of Science &amp; Technology (India); Indian Institute of Geomagnetism (IIG); Cochin University Science &amp; Technology</t>
  </si>
  <si>
    <t>Gopinath, G (corresponding author), Ctr Water Resources Dev &amp; Management, Kozhikode 673571, Kerala, India.;Gopinath, G (corresponding author), Kerala Univ Fisheries &amp; Ocean Studies, Kochi 682508, Kerala, India.</t>
  </si>
  <si>
    <t>ggcwrdm@gmail.com</t>
  </si>
  <si>
    <t>T R, Resmi/HKO-5787-2023; Gopinath, Dr. Girish/E-8011-2011</t>
  </si>
  <si>
    <t>T R, Resmi/0000-0001-5941-3502; Gopinath, Dr. Girish/0000-0002-0404-6538; Rawat, Rahul/0000-0002-7275-8895</t>
  </si>
  <si>
    <t>Indian Institute of Geomagnetism (IIG); National Center for Polar and Ocean Research (NCPOR)</t>
  </si>
  <si>
    <t>Indian Institute of Geomagnetism (IIG)(Department of Science &amp; Technology (India)); National Center for Polar and Ocean Research (NCPOR)</t>
  </si>
  <si>
    <t>The authors gratefully acknowledge the support rendered by the Director, Indian Institute of Geomagnetism (IIG) and Director, National Center for Polar and Ocean Research (NCPOR) for the permission and support to carry out this study. The authors express their sincere thanks to the Executive Director, CWRDM (Centre for Water Resources Development and Management), Kozhikode for the facilities provided, to prepare this manuscript.</t>
  </si>
  <si>
    <t>NATL INST SCIENCE COMMUNICATION-NISCAIR</t>
  </si>
  <si>
    <t>NEW DELHI</t>
  </si>
  <si>
    <t>DR K S KRISHNAN MARG, PUSA CAMPUS, NEW DELHI 110 012, INDIA</t>
  </si>
  <si>
    <t>0379-5136</t>
  </si>
  <si>
    <t>0975-1033</t>
  </si>
  <si>
    <t>INDIAN J GEO-MAR SCI</t>
  </si>
  <si>
    <t>Indian J. Geo-Mar. Sci.</t>
  </si>
  <si>
    <t>MZ6MB</t>
  </si>
  <si>
    <t>WOS:000559240000003</t>
  </si>
  <si>
    <t>Clinger, AE; Fox, M; Balco, G; Cuffey, K; Shuster, DL</t>
  </si>
  <si>
    <t>Clinger, Anna E.; Fox, Matthew; Balco, Greg; Cuffey, Kurt; Shuster, David L.</t>
  </si>
  <si>
    <t>Detrital Thermochronometry Reveals That the Topography Along the Antarctic Peninsula is Not a Pleistocene Landscape</t>
  </si>
  <si>
    <t>HELIUM DIFFUSION KINETICS; GLACIAL EROSION; ICE-SHEET; RADIATION-DAMAGE; CONTINENTAL MARGINS; CATCHMENT EROSION; FLUVIAL INCISION; EVOLUTION; APATITE; FLOW</t>
  </si>
  <si>
    <t>Using offshore detrital apatite (U-Th)/He thermochronometry and 3D thermo-kinematic modeling of the catchment topography, we constrain the timing of major topographic change at Bourgeois Fjord, Antarctic Peninsula (AP). While many mid-latitude glacial landscapes developed primarily in response to global cooling over the last similar to 2.6 Ma, we find that kilometer-scale landscape evolution at Bourgeois Fjord began similar to 30-12 Ma ago and &lt;2 km of valley incision has occurred since similar to 16 Ma. This early onset of major topographic change occurred following the initiation of alpine glaciation at this location and prior to the development of a regional polythermal ice sheet inferred from sedimentary evidence offshore of the AP. We hypothesize that topographic change relates to (i) feedbacks between an evolving topography and glacial erosion processes, (ii) effects of glacial-interglacial variability, and (iii) the prevalence of subglacial meltwater. The timing and inferred spatial patterns of long-term exhumation at Bourgeois Fjord are consistent with a hypothesis that glacial erosion processes were suppressed at the AP during global Plio-Pleistocene cooling, rather than enhanced. Our study examines the long-term consequences of glacial processes on catchment-wide erosion as the local climate cooled. Our findings support the hypothesis that landscapes at different latitudes had different responses to global cooling. Our results also suggest that erosion is enhanced along the plateau flanks of Bourgeois Fjord today, which may be due to periglacial processes or mantling via subglacial till. If regional warming persists and meltwater becomes more pronounced, we predict that enhanced erosion along the plateau flank will accelerate topographic change.</t>
  </si>
  <si>
    <t>[Clinger, Anna E.; Cuffey, Kurt; Shuster, David L.] Univ Calif Berkeley, Dept Earth &amp; Planetary Sci, Berkeley, CA 94720 USA; [Clinger, Anna E.; Balco, Greg; Shuster, David L.] Berkeley Geochronol Ctr, Berkeley, CA 94709 USA; [Fox, Matthew] UCL, Dept Earth Sci, London, England; [Cuffey, Kurt] Univ Calif Berkeley, Dept Geog, Berkeley, CA 94720 USA</t>
  </si>
  <si>
    <t>University of California System; University of California Berkeley; Berkeley Geochronolgy Center; University of London; University College London; University of California System; University of California Berkeley</t>
  </si>
  <si>
    <t>Clinger, AE (corresponding author), Univ Calif Berkeley, Dept Earth &amp; Planetary Sci, Berkeley, CA 94720 USA.;Clinger, AE (corresponding author), Berkeley Geochronol Ctr, Berkeley, CA 94709 USA.</t>
  </si>
  <si>
    <t>aeclinger@berkeley.edu</t>
  </si>
  <si>
    <t>Fox, Matthew/K-2004-2019</t>
  </si>
  <si>
    <t>NSF [OPP-1543256]; NERC [NE/N015479/1]; NERC [NE/N015479/1] Funding Source: UKRI</t>
  </si>
  <si>
    <t>NSF(National Science Foundation (NSF)); NERC(UK Research &amp; Innovation (UKRI)Natural Environment Research Council (NERC)); NERC(UK Research &amp; Innovation (UKRI)Natural Environment Research Council (NERC))</t>
  </si>
  <si>
    <t>This work was supported by NSF Award OPP-1543256 (to D. L. S.). M. F. was supported by NERC (NE/N015479/1). We thank the scientific party and crew of the RV Laurence M. Gould 02-17 for supporting sample collection and Mary Lonsdale, Nick Fylstra, and Brian Jones for assistance picking detrital apatite crystals and analytical support. We thank Chelsea Willett for assistance in assessing radiation damage in this work. We thank Andrea Madella and two anonymous reviewers for constructive comments that substantially improved the quality of this manuscript. Data have been archived at https://www.usap-dc.org/with a https://doi.org/10.15784/601259.</t>
  </si>
  <si>
    <t>e2019JF005447</t>
  </si>
  <si>
    <t>10.1029/2019JF005447</t>
  </si>
  <si>
    <t>MU1PA</t>
  </si>
  <si>
    <t>WOS:000555443200002</t>
  </si>
  <si>
    <t>Han, C; Hwang, H; Kang, JH; Hong, SB; Han, Y; Lee, K; Hur, SD; Hong, S</t>
  </si>
  <si>
    <t>Han, Changhee; Hwang, Heejin; Kang, Jung-Ho; Hong, Sang-Bum; Han, Yeongcheol; Lee, Khanghyun; Hur, Soon Do; Hong, Sungmin</t>
  </si>
  <si>
    <t>Reliable Ultra Trace Analysis of Cd, U and Zn Concentrations in Greenland Snow and Ice by Using Ultraclean Methods for Contamination Control</t>
  </si>
  <si>
    <t>MOLECULES</t>
  </si>
  <si>
    <t>ultraclean procedure; ultralow trace elements; contamination; Greenland snow and ice; seasonal variations; anthropogenic inputs</t>
  </si>
  <si>
    <t>VOSTOK ANTARCTIC ICE; TOXIC HEAVY-METALS; ANTHROPOGENIC SOURCES; SEASONAL-VARIATIONS; LEAD; ELEMENTS; CADMIUM; MERCURY; PB; POLLUTION</t>
  </si>
  <si>
    <t>This study presents ultraclean procedures used in the challenging task of determining trace elements at or below the pg/g concentration level encountered in Greenland snow and ice. In order to validate these ultraclean procedures, recent snowfall and Holocene ice from northwest Greenland were analyzed for Cd, U, and Zn concentrations. The total procedural blanks brought through the entire measurement procedure proved to be negligible, compared to trace element concentrations, measured in snow and ice samples. This validates the overall practicality of the proposed ultraclean procedures, thereby ensuring the reliable measurements of ultra-trace analysis. A comparison between our study and published data shows that improper procedures employed throughout all stages, from field sampling to analysis to elevate the concentrations by several orders of magnitude, relative to the reliable concentration ranges. The risk of contamination exposure for selected trace elements appears to increase in the order of U &lt; As Pb &lt; Cd &lt; Zn. Reliable measurements of Cd, U, and Zn concentrations in snow and ice allowed us to interpret the data in terms of seasonal variations in the inputs of crustal and anthropogenic sources to Greenland ice sheet.</t>
  </si>
  <si>
    <t>[Han, Changhee; Hwang, Heejin; Kang, Jung-Ho; Hong, Sang-Bum; Han, Yeongcheol; Lee, Khanghyun; Hur, Soon Do] Korea Polar Res Inst, Div Polar Paleoenvironm, 26 Songdomirae Ro, Incheon 21990, South Korea; [Hong, Sungmin] Inha Univ, Dept Ocean Sci, 100 Inha Ro, Incheon 22212, South Korea</t>
  </si>
  <si>
    <t>Korea Polar Research Institute (KOPRI); Inha University</t>
  </si>
  <si>
    <t>Hong, S (corresponding author), Inha Univ, Dept Ocean Sci, 100 Inha Ro, Incheon 22212, South Korea.</t>
  </si>
  <si>
    <t>hch@kopri.re.kr; heejin@kopri.re.kr; jhkang@kopri.re.kr; hong909@kopri.re.kr; yhan@kopri.re.kr; leekh@kopri.re.kr; sdhur@kopri.re.kr; smhong@inha.ac.kr</t>
  </si>
  <si>
    <t>Han, Yeongcheol/0000-0002-1729-7870</t>
  </si>
  <si>
    <t>Belgium (FNRS-CFB); Belgium (FWO); Canada (NRCan/GSC); China (CAS); Denmark (FIST); France (IPEV); France (CNRS/INSU); France (CEA); France (ANR); Germany (AWI); Iceland (Rannls); Japan (NIPR); Korea (KOPRI); The Netherlands (NOW/ALW); Sweden (VR); Switzerland (SNF); UK (NERC); USA (US NSF, OPP)</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</si>
  <si>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(Rannls); Japan (NIPR); Korea (KOPRI)(Korea Polar Research Institute of Marine Research Placement (KOPRI)); The Netherlands (NOW/ALW)(Netherlands Government); Sweden (VR)(Swedish Research Council); Switzerland (SNF); UK (NERC)(UK Research &amp; Innovation (UKRI)Natural Environment Research Council (NERC)); USA (US NSF, OPP)</t>
  </si>
  <si>
    <t>We wish to thank all personnel involved in sampling during the 2009 NEEM deep ice core drilling campaign. The NEEM project was directed and organized by the Center for Ice and Climate at the Niels Bohr Institute and US NSF, Office of Polar Programs. The project was supported by funding agencies and institutions in Belgium (FNRS-CFB and FWO), Canada (NRCan/GSC), China (CAS), Denmark (FIST), France (IPEV, CNRS/INSU, CEA and ANR), Germany (AWI), Iceland (Rannls), Japan (NIPR), Korea (KOPRI), The Netherlands (NOW/ALW), Sweden (VR), Switzerland (SNF), the UK (NERC), and the USA (US NSF, OPP).</t>
  </si>
  <si>
    <t>1420-3049</t>
  </si>
  <si>
    <t>Molecules</t>
  </si>
  <si>
    <t>10.3390/molecules25112519</t>
  </si>
  <si>
    <t>Biochemistry &amp; Molecular Biology; Chemistry, Multidisciplinary</t>
  </si>
  <si>
    <t>Biochemistry &amp; Molecular Biology; Chemistry</t>
  </si>
  <si>
    <t>MR8RU</t>
  </si>
  <si>
    <t>WOS:000553858800056</t>
  </si>
  <si>
    <t>Bowler, E; Fretwell, PT; French, G; Mackiewicz, M</t>
  </si>
  <si>
    <t>Bowler, Ellen; Fretwell, Peter T.; French, Geoffrey; Mackiewicz, Michal</t>
  </si>
  <si>
    <t>Using Deep Learning to Count Albatrosses from Space: Assessing Results in Light of Ground Truth Uncertainty</t>
  </si>
  <si>
    <t>WorldView-3; convolutional neural network; VHR satellite imagery; wildlife monitoring; observer uncertainty; Wandering Albatross</t>
  </si>
  <si>
    <t>RESOLUTION SATELLITE IMAGERY; UNMANNED AIRCRAFT SYSTEM; ABUNDANCE; DETECT</t>
  </si>
  <si>
    <t>Many wildlife species inhabit inaccessible environments, limiting researchers ability to conduct essential population surveys. Recently, very high resolution (sub-metre) satellite imagery has enabled remote monitoring of certain species directly from space; however, manual analysis of the imagery is time-consuming, expensive and subjective. State-of-the-art deep learning approaches can automate this process; however, often image datasets are small, and uncertainty in ground truth labels can affect supervised training schemes and the interpretation of errors. In this paper, we investigate these challenges by conducting both manual and automated counts of nesting Wandering Albatrosses on four separate islands, captured by the 31 cm resolution WorldView-3 sensor. We collect counts from six observers, and train a convolutional neural network (U-Net) using leave-one-island-out cross-validation and different combinations of ground truth labels. We show that (1) interobserver variation in manual counts is significant and differs between the four islands, (2) the small dataset can limit the networks ability to generalise to unseen imagery and (3) the choice of ground truth labels can have a significant impact on our assessment of network performance. Our final results show the network detects albatrosses as accurately as human observers for two of the islands, while in the other two misclassifications are largely caused by the presence of noise, cloud cover and habitat, which was not present in the training dataset. While the results show promise, we stress the importance of considering these factors for any study where data is limited and observer confidence is variable.</t>
  </si>
  <si>
    <t>[Bowler, Ellen; French, Geoffrey; Mackiewicz, Michal] Univ East Anglia, Sch Comp Sci, Norwich NR4 7TJ, Norfolk, England; [Fretwell, Peter T.] British Antarctic Survey, Mapping &amp; Geog Informat Ctr, Cambridge CB3 0ET, England</t>
  </si>
  <si>
    <t>University of East Anglia; UK Research &amp; Innovation (UKRI); Natural Environment Research Council (NERC); NERC British Antarctic Survey</t>
  </si>
  <si>
    <t>Bowler, E (corresponding author), Univ East Anglia, Sch Comp Sci, Norwich NR4 7TJ, Norfolk, England.</t>
  </si>
  <si>
    <t>e.bowler@uea.ac.uk; ptf@bas.ac.uk; g.french@uea.ac.uk; m.mackiewicz@uea.ac.uk</t>
  </si>
  <si>
    <t>Mackiewicz, Michal/0000-0002-8777-8880; Bowler, Ellen/0000-0002-9681-1355</t>
  </si>
  <si>
    <t>Natural Environmental Research Council through the NEXUSS CDT [NE/N012070/1]; NERC [bas010011] Funding Source: UKRI</t>
  </si>
  <si>
    <t>Natural Environmental Research Council through the NEXUSS CDT; NERC(UK Research &amp; Innovation (UKRI)Natural Environment Research Council (NERC))</t>
  </si>
  <si>
    <t>This research was funded by the Natural Environmental Research Council through the NEXUSS CDT, grant number NE/N012070/1, titled Automated UAV and Satellite Image Analysis for Wildlife Monitoring.</t>
  </si>
  <si>
    <t>10.3390/rs12122026</t>
  </si>
  <si>
    <t>MT1GS</t>
  </si>
  <si>
    <t>WOS:000554717400001</t>
  </si>
  <si>
    <t>Reiser, F; Willmes, S; Heinemann, G</t>
  </si>
  <si>
    <t>Reiser, Fabian; Willmes, Sascha; Heinemann, Guenther</t>
  </si>
  <si>
    <t>A New Algorithm for Daily Sea Ice Lead Identification in the Arctic and Antarctic Winter from Thermal-Infrared Satellite Imagery</t>
  </si>
  <si>
    <t>sea ice; leads; MODIS; Arctic; Antarctic; polar regions; image processing; fuzzy logic; thermal infrared remote sensing</t>
  </si>
  <si>
    <t>OCEAN; CLIMATOLOGY; FRACTION; POLYNYAS</t>
  </si>
  <si>
    <t>The presence of sea ice leads in the sea ice cover represents a key feature in polar regions by controlling the heat exchange between the relatively warm ocean and cold atmosphere due to increased fluxes of turbulent sensible and latent heat. Sea ice leads contribute to the sea ice production and are sources for the formation of dense water which affects the ocean circulation. Atmospheric and ocean models strongly rely on observational data to describe the respective state of the sea ice since numerical models are not able to produce sea ice leads explicitly. For the Arctic, some lead datasets are available, but for the Antarctic, no such data yet exist. Our study presents a new algorithm with which leads are automatically identified in satellite thermal infrared images. A variety of lead metrics is used to distinguish between true leads and detection artefacts with the use of fuzzy logic. We evaluate the outputs and provide pixel-wise uncertainties. Our data yield daily sea ice lead maps at a resolution of 1 km(2)for the winter months November- April 2002/03-2018/19 (Arctic) and April-September 2003-2019 (Antarctic), respectively. The long-term average of the lead frequency distributions show distinct features related to bathymetric structures in both hemispheres. Dataset:10.1594/PANGAEA.917588 Dataset License:CC-BY</t>
  </si>
  <si>
    <t>[Reiser, Fabian; Willmes, Sascha; Heinemann, Guenther] Univ Trier, Dept Environm Meteorol, D-54296 Trier, Germany</t>
  </si>
  <si>
    <t>Universitat Trier</t>
  </si>
  <si>
    <t>Reiser, F (corresponding author), Univ Trier, Dept Environm Meteorol, D-54296 Trier, Germany.</t>
  </si>
  <si>
    <t>reiser@uni-trier.de; willmes@uni-trier.de; heinemann@uni-trier.de</t>
  </si>
  <si>
    <t>Willmes, Sascha/J-5796-2012</t>
  </si>
  <si>
    <t>Reiser, Fabian/0000-0003-1128-8452; Heinemann, Gunther/0000-0002-4831-9016</t>
  </si>
  <si>
    <t>Deutsche Forschungsgemeinschaft (DFG) [HE 2740/22, WI 3314/3]; Federal Ministry of Education and Research (BMBF) [03F0776D, 03F831C]; Open Access Fund of the University of Trier; German Research Foundation (DFG)</t>
  </si>
  <si>
    <t>Deutsche Forschungsgemeinschaft (DFG)(German Research Foundation (DFG)); Federal Ministry of Education and Research (BMBF)(Federal Ministry of Education &amp; Research (BMBF)); Open Access Fund of the University of Trier; German Research Foundation (DFG)(German Research Foundation (DFG))</t>
  </si>
  <si>
    <t>The research was funded by the Deutsche Forschungsgemeinschaft (DFG) in the framework of the priority program Antarctic Research with comparative investigations in Arctic ice areas under Grants HE 2740/22 and WI 3314/3 and it was also supported by the Federal Ministry of Education and Research (BMBF) under grants 03F0776D and 03F831C. The publication was funded by the Open Access Fund of the University of Trier and the German Research Foundation (DFG) within the Open Access Publishing funding program.</t>
  </si>
  <si>
    <t>10.3390/rs12121957</t>
  </si>
  <si>
    <t>MT1DQ</t>
  </si>
  <si>
    <t>Green Accepted, gold, Green Submitted</t>
  </si>
  <si>
    <t>WOS:000554709400001</t>
  </si>
  <si>
    <t>Bavich, CF</t>
  </si>
  <si>
    <t>Formoso Bavich, Christian</t>
  </si>
  <si>
    <t>THE STRAIT OF MAGELLAN AND THE FAMOUS ANTARCTIC REGION: OPENINGS, CLOSINGS AND DISPLACEMENTS IN LA ANTARTICA Y OTROS MITOS BY MIGUEL SERRANO</t>
  </si>
  <si>
    <t>ANALES DE LITERATURA CHILENA</t>
  </si>
  <si>
    <t>Spanish</t>
  </si>
  <si>
    <t>Miguel Serrano; Antarctica; Magallanes; Selk'nam; myth</t>
  </si>
  <si>
    <t>The first references in literature to the Magellan territory as a place of passage, and later as a failed colony, are based on a series of openings, closings, displacements, and blockages. Those aspects are also associated with enormous natural forces, a gigantic indigenous world, and a cult which eventually gives full control of the territory to the Devil. As a result, a series of representations are produced to explain the Spaniard's failure in the territory at the time which are functional to the political project of the Spanish Empire. I argue that La Antcirtica y otros mitos (1948) by Miguel Serrano alludes to such representations of the Southern imaginary and displaces them towards the White Continent, hence finding the nexus between Chile and Antarctica in Magallanes: a place of passage in the national project. Furthermore, myths and legends of the Selk'nam people, territory and Nazism will articulate the cause of the nationalization of Antarctica that stems from a patriotic duty, reestablishing, elevating, and projecting the Chilean being and the West.</t>
  </si>
  <si>
    <t>[Formoso Bavich, Christian] Univ Magallanes, Punta Arenas, Chile</t>
  </si>
  <si>
    <t>Universidad de Magallanes</t>
  </si>
  <si>
    <t>Bavich, CF (corresponding author), Univ Magallanes, Punta Arenas, Chile.</t>
  </si>
  <si>
    <t>christian.formoso@umag.cl</t>
  </si>
  <si>
    <t>PONTIFICIA UNIV CATOLICA CHILE, FAC LETRAS ,</t>
  </si>
  <si>
    <t>SANTIAGO</t>
  </si>
  <si>
    <t>CENTRO ESTUDIOS LITERATURA CHILENA, AV VICUNA MACKENNA 4860, SANTIAGO, 00000, CHILE</t>
  </si>
  <si>
    <t>0717-6058</t>
  </si>
  <si>
    <t>AN LIT CHIL</t>
  </si>
  <si>
    <t>An. Lit. Chil.</t>
  </si>
  <si>
    <t>MR8OC</t>
  </si>
  <si>
    <t>WOS:000553849200008</t>
  </si>
  <si>
    <t>Lu, YX; Wu, TW; Xu, X; Zhang, L; Chu, M</t>
  </si>
  <si>
    <t>Lu, Yixiong; Wu, Tongwen; Xu, Xin; Zhang, Li; Chu, Min</t>
  </si>
  <si>
    <t>Improved Simulation of the Antarctic Stratospheric Final Warming by Modifying the Orographic Gravity Wave Parameterization in the Beijing Climate Center Atmospheric General Circulation Model</t>
  </si>
  <si>
    <t>ATMOSPHERE</t>
  </si>
  <si>
    <t>Antarctic stratospheric final warming; cold-pole bias; Brewer-Dobson circulation; orographic gravity wave parameterization; middle-atmosphere model</t>
  </si>
  <si>
    <t>IN-SITU GENERATION; MIDDLE-ATMOSPHERE; MOMENTUM BUDGET; POLAR VORTEX; DRAG; CMIP5; PROPAGATION; VARIABILITY; MESOSPHERE</t>
  </si>
  <si>
    <t>The Antarctic stratospheric final warming (SFW) is usually simulated with a substantial delay in climate models, and the corresponding temperatures in austral spring are lower than observations, implying insufficient stratospheric wave drag. To investigate the role of orographic gravity wave drag (GWD) in modeling the Antarctic SFW, in this study the orographic GWD parameterization scheme is modified in the middle-atmosphere version of the Beijing Climate Center Atmospheric General Circulation Model. A pair of simulations are conducted to compare two orographic GWD schemes in simulating the breakdown of the stratospheric polar vortex over Antarctica. The control simulation with the default orographic GWD scheme exhibits delayed vortex breakdown and the cold-pole bias seen in most climate models. In the simulation with modified orographic GWD scheme, the simulated vortex breaks down earlier by 8 days, and the associated cold-pole bias is reduced by more than 2 K. The modified scheme provides stronger orographic GWD in the lower stratosphere, which drives an accelerated polar downwelling branch of the Brewer-Dobson circulation and, in turn, produces adiabatic warming. Our study suggests that modifying orographic GWD parameterizations in climate models would be a valid way of improving the SFW simulation over Antarctica.</t>
  </si>
  <si>
    <t>[Lu, Yixiong; Wu, Tongwen; Zhang, Li; Chu, Min] China Meteorol Adm, Beijing Climate Ctr, Beijing 100081, Peoples R China; [Xu, Xin] Nanjing Univ, Sch Atmospher Sci, Key Lab Mesoscale Severe Weather, Minist Educ, Nanjing 210023, Peoples R China</t>
  </si>
  <si>
    <t>China Meteorological Administration; Nanjing University</t>
  </si>
  <si>
    <t>Lu, YX (corresponding author), China Meteorol Adm, Beijing Climate Ctr, Beijing 100081, Peoples R China.</t>
  </si>
  <si>
    <t>luyx@cma.gov.cn; twwu@cma.gov.cn; xinxu@nju.edu.cn; zhangli@cma.gov.cn; chumin@cma.gov.cn</t>
  </si>
  <si>
    <t>Xu, Xin/K-7008-2016</t>
  </si>
  <si>
    <t>Xu, Xin/0000-0002-4495-3677; Lu, Yixiong/0000-0001-9823-9367</t>
  </si>
  <si>
    <t>National Key Research and Development Program of China [2018YFC1407104, 2016YFA0602100]; Numerical Model Development Project of China Meteorological Administration [QHMS2019006]</t>
  </si>
  <si>
    <t>National Key Research and Development Program of China; Numerical Model Development Project of China Meteorological Administration</t>
  </si>
  <si>
    <t>This work was supported by the National Key Research and Development Program of China (2016YFA0602100). Xin Xu was supported by the Numerical Model Development Project of China Meteorological Administration (QHMS2019006). Min Chu was supported by the National Key Research and Development Program of China (2018YFC1407104).</t>
  </si>
  <si>
    <t>2073-4433</t>
  </si>
  <si>
    <t>ATMOSPHERE-BASEL</t>
  </si>
  <si>
    <t>Atmosphere</t>
  </si>
  <si>
    <t>10.3390/atmos11060576</t>
  </si>
  <si>
    <t>MS0HW</t>
  </si>
  <si>
    <t>WOS:000553969100001</t>
  </si>
  <si>
    <t>Rodríguez-Ros, P; Cortés, P; Robinson, CM; Nunes, S; Hassler, C; Royer, SJ; Estrada, M; Sala, MM; Simó, R</t>
  </si>
  <si>
    <t>Rodriguez-Ros, Pablo; Cortes, Pau; Robinson, Charlotte Mary; Nunes, Sdena; Hassler, Christel; Royer, Sarah-Jeanne; Estrada, Marta; Sala, M. Montserrat; Simo, Rafel</t>
  </si>
  <si>
    <t>Distribution and Drivers of Marine Isoprene Concentration across the Southern Ocean</t>
  </si>
  <si>
    <t>isoprene; Southern Ocean; drivers; phytoplankton; blooms; Lagrangian; Antarctic circumnavigation</t>
  </si>
  <si>
    <t>VOLATILE ORGANIC-COMPOUNDS; DIMETHYL SULFIDE; SURFACE SEAWATER; CHLOROPHYLL-A; MIXED-LAYER; PHYTOPLANKTON; EMISSIONS; ATLANTIC; PATTERNS; PACIFIC</t>
  </si>
  <si>
    <t>Isoprene is a biogenic trace gas produced by terrestrial vegetation and marine phytoplankton. In the remote oceans, where secondary aerosols are mostly biogenic, marine isoprene emissions affect atmospheric chemistry and influence cloud formation and brightness. Here, we present the first compilation of new and published measurements of isoprene concentrations in the Southern Ocean and explore their distribution patterns. Surface ocean isoprene concentrations in November through April span 1 to 94 pM. A band of higher concentrations is observed around a latitude of approximate to 40 degrees S and a surface sea temperature of 15 degrees C. High isoprene also occurs in high productivity waters near islands and continental coasts. We use concurrent measurements of physical, chemical, and biological variables to explore the main potential drivers of isoprene concentration by means of paired regressions and multivariate analysis. Isoprene is best explained by phytoplankton-related variables like the concentrations of chlorophyll-a, photoprotective pigments and particulate organic matter, photosynthetic efficiency (influenced by iron availability), and the chlorophyll-a shares of most phytoplankton groups, and not by macronutrients or bacterial abundance. A simple statistical model based on chlorophyll-a concentration and a sea surface temperature discontinuity accounts for half of the variance of isoprene concentrations in surface waters of the Southern Ocean.</t>
  </si>
  <si>
    <t>[Rodriguez-Ros, Pablo; Cortes, Pau; Nunes, Sdena; Estrada, Marta; Sala, M. Montserrat; Simo, Rafel] Inst Ciencies Mar, Passeig Maritim Barceloneta 37-49, Barcelona 08003, Spain; [Robinson, Charlotte Mary] Curtin Univ, Sch Earth &amp; Planetary Sci, Remote Sensing &amp; Satellite Res Grp, Perth, WA 6102, Australia; [Hassler, Christel] Univ Geneva, Dept FA Forel Environm &amp; Aquat Sci, Earth &amp; Environm Sci, CH-1211 Geneva, Switzerland; [Hassler, Christel] Ecole Polytech Fed Lausanne, Swiss Polar Inst, CH-1015 Lausanne, Switzerland; [Royer, Sarah-Jeanne] Scripps Inst Oceanog, San Diego, CA 92093 USA</t>
  </si>
  <si>
    <t>Consejo Superior de Investigaciones Cientificas (CSIC); CSIC - Centro Mediterraneo de Investigaciones Marinas y Ambientales (CMIMA); CSIC - Instituto de Ciencias del Mar (ICM); Curtin University; University of Geneva; Swiss Federal Institutes of Technology Domain; Ecole Polytechnique Federale de Lausanne; University of California System; University of California San Diego; Scripps Institution of Oceanography</t>
  </si>
  <si>
    <t>Simó, R (corresponding author), Inst Ciencies Mar, Passeig Maritim Barceloneta 37-49, Barcelona 08003, Spain.</t>
  </si>
  <si>
    <t>rodriguezrospablo@gmail.com; pau.c.greus@gmail.com; charlotte.robinson@curtin.edu.au; sdena@icm.csic.es; Christel.Hassler@unige.ch; sroyer@ucsd.edu; marta@icm.csic.es; msala@icm.csic.es; rsimo@icm.csic.es</t>
  </si>
  <si>
    <t>, Maria Montserrat/AAW-7487-2021; Estrada, Marta/L-6207-2014; SALA, Maria Montserrat/O-4726-2014; Robinson, Charlotte Mary/O-2953-2017</t>
  </si>
  <si>
    <t>Estrada, Marta/0000-0001-5769-9498; SALA, Maria Montserrat/0000-0002-3804-5680; Rodriguez-Ros, Pablo/0000-0003-0411-0197; Royer, Sarah-Jeanne/0000-0003-1070-8611; Hassler, Christel/0000-0002-8976-5469; Simo, Rafel/0000-0003-3276-7663; Robinson, Charlotte Mary/0000-0001-8519-5641</t>
  </si>
  <si>
    <t>Spanish Ministry of Economy and Competitiveness through project PEGASO [CTM2012-37615]; Swiss Polar Institute; Ferring Pharmaceuticals through project SORPASSO-ACE [8]; Ferring Pharmaceuticals through project ACE [1]; Australian Government through the Australian Research Council [DP160103387]; South African CSIR Parliamentary Grant [SNA2011112600001]; CSIR Southern Ocean Carbon and Climate Observatory (SOCCO) programme [1]; la Caixa Foundation PhD Fellowship (2015-2019)</t>
  </si>
  <si>
    <t>Spanish Ministry of Economy and Competitiveness through project PEGASO; Swiss Polar Institute; Ferring Pharmaceuticals through project SORPASSO-ACE(Ferring Pharmaceuticals); Ferring Pharmaceuticals through project ACE(Ferring Pharmaceuticals); Australian Government through the Australian Research Council(Australian Research Council); South African CSIR Parliamentary Grant; CSIR Southern Ocean Carbon and Climate Observatory (SOCCO) programme; la Caixa Foundation PhD Fellowship (2015-2019)</t>
  </si>
  <si>
    <t>This research was supported by the Spanish Ministry of Economy and Competitiveness through project PEGASO (CTM2012-37615) to R.S., and by the Swiss Polar Institute and Ferring Pharmaceuticals through project SORPASSO-ACE#8 to R.S. and project ACE#1 to David Antoine (Remote Sensing and Satellite Research Group, Curtin University) and Sandy Thomalla (Southern Ocean Carbon and Climate Observatory, Council for Scientific and Industrial Research (CSIR) and Marine Research Institute, University of Cape Town). It was also partially funded by the Australian Government through the Australian Research Council's Discovery Projects funding scheme (project DP160103387) and South African CSIR Parliamentary Grant (SNA2011112600001). Project ACE#1 was also supported by CSIR Southern Ocean Carbon and Climate Observatory (SOCCO) programme. P.R.-R. was supported by a la Caixa Foundation PhD Fellowship (2015-2019).</t>
  </si>
  <si>
    <t>10.3390/atmos11060556</t>
  </si>
  <si>
    <t>MS0LP</t>
  </si>
  <si>
    <t>WOS:000553978800001</t>
  </si>
  <si>
    <t>Kharitonov, VV; Borodkin, VA</t>
  </si>
  <si>
    <t>Kharitonov, Victor V.; Borodkin, Vladimir A.</t>
  </si>
  <si>
    <t>On the results of studying ice ridges in the Shokal'skogo Strait, part I: Morphology and physical parameters in-situ</t>
  </si>
  <si>
    <t>COLD REGIONS SCIENCE AND TECHNOLOGY</t>
  </si>
  <si>
    <t>Ice ridge; Thermal drilling; Internal structure; Ice core; Texture</t>
  </si>
  <si>
    <t>1ST-YEAR; STRENGTH</t>
  </si>
  <si>
    <t>The paper presents information on the studies of the first-year ice ridges conducted by the AARI experts in April-May 2016 in the Shokal'skogo Strait (Severnaya Zemlya Archipelago) using hot water drilling with computer recording of the penetration rate. Boreholes were drilled along the cross-section of the ridge crest at 0.25 m intervals mainly. The results of a detailed study of one of the ice ridges are presented. The sail height varied from 2.5 up to 3.4 m, the keel depth varied from 8.3 up to 10.3 m. The average thickness of the consolidated layer was 2.2-2.4 m. Cross-sectional profiles of the ice ridge are illustrated. Ratio of the mean CL thickness of ice ridge to the mean thickness of level ice was equal 1.7. The distribution of salinity in the upper part of the CL is Z-shaped, and on the scale of the entire ice column, C-shaped. The CL growth rate is approximately twice as high as the growth rate of level ice. It was detected that the ridged ice was slightly stronger than the level ice. The porosity of the ice ridges is investigated in Part II.</t>
  </si>
  <si>
    <t>[Kharitonov, Victor V.; Borodkin, Vladimir A.] State Inst Arctic &amp; Antarctic Res Inst, St Petersburg, Russia</t>
  </si>
  <si>
    <t>Kharitonov, VV (corresponding author), State Inst Arctic &amp; Antarctic Res Inst, St Petersburg, Russia.</t>
  </si>
  <si>
    <t>sogra.kharitonov@mail.ru</t>
  </si>
  <si>
    <t>Kharitonov, Victor/0000-0003-1847-9980</t>
  </si>
  <si>
    <t>0165-232X</t>
  </si>
  <si>
    <t>1872-7441</t>
  </si>
  <si>
    <t>COLD REG SCI TECHNOL</t>
  </si>
  <si>
    <t>Cold Reg. Sci. Tech.</t>
  </si>
  <si>
    <t>10.1016/j.coldregions.2020.103041</t>
  </si>
  <si>
    <t>Engineering, Environmental; Engineering, Civil; Geosciences, Multidisciplinary</t>
  </si>
  <si>
    <t>Engineering; Geology</t>
  </si>
  <si>
    <t>LL3YE</t>
  </si>
  <si>
    <t>WOS:000531491700014</t>
  </si>
  <si>
    <t>Oggier, M; Eicken, H; Wilkinson, J; Petrich, C; O'Sadnick, M</t>
  </si>
  <si>
    <t>Oggier, Marc; Eicken, Hajo; Wilkinson, Jeremy; Petrich, Chris; O'Sadnick, Megan</t>
  </si>
  <si>
    <t>Crude oil migration in sea-ice: Laboratory studies of constraints on oil mobilization and seasonal evolution</t>
  </si>
  <si>
    <t>Sea-ice; Crude oil; Seasonal cycle</t>
  </si>
  <si>
    <t>MICROSTRUCTURE; TEMPERATURE; MODEL</t>
  </si>
  <si>
    <t>Rising Arctic maritime activities and hydrocarbon development increase the risk of an oil spill in and under Arctic sea-ice. Oil spilled under growing sea ice would be encapsulated within the ice cover. During spring and early summer, such trapped oil would migrate upwards, pervading the ice volume and ultimately pooling at the surface. Current gaps in our understanding of these processes have major implications for spill clean-up efforts and habitat damage assessments. Guided by results from three sets of ice-tank experiments, we have developed a semi-empirical multi-stage oil migration and surfacing model to help predict oil in ice behavior relevant to spill response. According to previous studies, upon under-ice release, oil saturates the ice skeletal layer, remaining largely immobile during the growth season. As intrinsic ice permeability increases above 10(-11)m(2) with the onset of surface melt, oil migrates rapidly through the full depth of the ice cover, primarily through the secondary pore space. Then, the ever-increasing connectivity between the pores allows the oil to invade the primary pore space. Finally, as the ice deteriorates, oil occupies most of the pore space. Our stratigraphic analysis revealed that granular ice impedes surfacing of oil in cold ice due to the more tortuous pore space. It also showed that the potential for oil movement during the growth season is constrained by the availability of migration pathways from the oil/ice interface to the surface. In contrast to previous findings, our results indicate that if such oil migration pathways are present, significant oil mobilization can occur in cold ice during the growth season. Thus, we tracked upward oil migration through large brine channels in cold ice (T-ice&lt;-5 degrees C) over vertical distances of up to 30 cm, leading to surfacing of oil, within 24 h after release. During ice melt and deterioration, oil movement is tied to the magnitude of the bulk brine volume fraction and the magnitude of the oil lens reservoir. Development of a predictive oil migration model based on these findings will aid spill response planning, oil detection and damage assessments.</t>
  </si>
  <si>
    <t>[Oggier, Marc; Eicken, Hajo] Univ Alaska Fairbanks, Int Arctic Res Ctr, POB 757320, Fairbanks, AK 99775 USA; [Wilkinson, Jeremy] British Antarctic Survey, Cambridge CB3 0ET, England; [Petrich, Chris; O'Sadnick, Megan] SINTEF Narvik, Postboks 250, Narvik 8504, Norway</t>
  </si>
  <si>
    <t>University of Alaska System; University of Alaska Fairbanks; UK Research &amp; Innovation (UKRI); Natural Environment Research Council (NERC); NERC British Antarctic Survey</t>
  </si>
  <si>
    <t>Oggier, M (corresponding author), Univ Alaska Fairbanks, Int Arctic Res Ctr, POB 757320, Fairbanks, AK 99775 USA.</t>
  </si>
  <si>
    <t>moggier@alaska.edu; heicken@alaska.edu; jpw28@bas.ac.uk; christian.petrich@norut.no; megan@tek.norut.no</t>
  </si>
  <si>
    <t>Oggier, Marc/0000-0003-4679-1103; Petrich, Chris/0000-0003-2226-0789</t>
  </si>
  <si>
    <t>Oil Spill Recovery Institute, Cordova, Alaska; Joint Industry Program on Remote Sensing of Oil in Ice; Bureau of Ocean Energy Management, Alaska via a grant of the Coastal Marine Institute; Research Council of Norway, Norway [243812, 237906]; NERC [bas0100032] Funding Source: UKRI</t>
  </si>
  <si>
    <t>Oil Spill Recovery Institute, Cordova, Alaska; Joint Industry Program on Remote Sensing of Oil in Ice; Bureau of Ocean Energy Management, Alaska via a grant of the Coastal Marine Institute; Research Council of Norway, Norway(Research Council of Norway); NERC(UK Research &amp; Innovation (UKRI)Natural Environment Research Council (NERC))</t>
  </si>
  <si>
    <t>The experiment and analysis of data at CRREL and UAF were supported by the Oil Spill Recovery Institute, Cordova, Alaska with a funding provided by a Joint Industry Program on Remote Sensing of Oil in Ice, and a Graduate Research Fellowships. The experiment and analysis at UAF were supported by the Bureau of Ocean Energy Management, Alaska via a grant of the Coastal Marine Institute. The helpful attitude of technicians at HSVA and CRREL is gratefully acknowledged and contributed to the success of both projects. Special thanks to Kyle Dilliplaine, and the researcher team involved in the Remote Sensing of Oil-in-Ice experiments at CRREL. ANS crude oil was provided by Alyeska Pipeline Company and Troll B Crude oil by Equinor (previously Statoil). The experiments and analysis of data at HSVA were financed by the Research Council of Norway, Norway [grants 243812 (PETROMAKS2 project MOSIDEO) and 237906 (SFI CIRFA)]. The comment of two anonymous reviewers improved this paper.</t>
  </si>
  <si>
    <t>10.1016/j.coldregions.2019.102924</t>
  </si>
  <si>
    <t>WOS:000531491700001</t>
  </si>
  <si>
    <t>Damiani, A; Cordero, RR; Llanillo, PJ; Feron, S; Boisier, JP; Garreaud, R; Rondanelli, R; Irie, H; Watanabe, S</t>
  </si>
  <si>
    <t>Damiani, Alessandro; Cordero, Raul R.; Llanillo, Pedro J.; Feron, Sarah; Boisier, Juan P.; Garreaud, Rene; Rondanelli, Roberto; Irie, Hitoshi; Watanabe, Shingo</t>
  </si>
  <si>
    <t>Connection between Antarctic Ozone and Climate: Interannual Precipitation Changes in the Southern Hemisphere</t>
  </si>
  <si>
    <t>ozone hole; precipitation; climate</t>
  </si>
  <si>
    <t>ANNULAR MODE; DEPLETION; OSCILLATION; TRENDS; HOLE; TEMPERATURE; CIRCULATION; IMPACT</t>
  </si>
  <si>
    <t>In this study, we explored the connection between anomalies in springtime Antarctic ozone and all-year precipitation in the Southern Hemisphere by using observations from 1960-2018 and coupled simulations for 1960-2050. The observations showed that this correlation was enhanced during the last several decades, when a simultaneously increased coupling between ozone and Southern Annular Mode (SAM) anomalies became broader, covering most of the following summer and part of the previous winter. For eastern Australia, the ozone-precipitation connection shows a greater persistence toward the following summer than for other regions. On the other hand, for South America, the ozone-precipitation correlation seems more robust, especially in the early summer. There, the correlation also covers part of the previous winter, suggesting that winter planetary waves could affect both parameters. Further, we estimated the sensitivity of precipitation to changes in Antarctic ozone. In both observations and simulations, we found comparable sensitivity values during the spring-summer period. Overall, our results indicate that ozone anomalies can be understood as a tracer of stratospheric circulation. However, simulations indicate that stratospheric ozone chemistry still contributes to strengthening the interannual relationship between ozone and surface climate. Because simulations reproduced most of the observed connections, we suggest that including ozone variability in seasonal forecasting systems can potentially improve predictions.</t>
  </si>
  <si>
    <t>[Damiani, Alessandro; Irie, Hitoshi] Chiba Univ, Ctr Environm Remote Sensing, Chiba 2638522, Japan; [Cordero, Raul R.; Feron, Sarah] Santiago Univ, Dept Phys, Santiago 9170022, Chile; [Llanillo, Pedro J.] Alfred Wegener Inst, Helmholtz Ctr Polar &amp; Marine Res, D-27515 Bremerhaven, Germany; [Feron, Sarah] Stanford Univ, Sch Earth Energy &amp; Environm Sci, Stanford, CA 94305 USA; [Boisier, Juan P.; Garreaud, Rene; Rondanelli, Roberto] Univ Chile, Dept Geophys, Santiago 6511227, Chile; [Watanabe, Shingo] Japan Agcy Marine Earth Sci &amp; Technol, Yokohama, Kanagawa 2360001, Japan</t>
  </si>
  <si>
    <t>Chiba University; Helmholtz Association; Alfred Wegener Institute, Helmholtz Centre for Polar &amp; Marine Research; Stanford University; Universidad de Chile; Japan Agency for Marine-Earth Science &amp; Technology (JAMSTEC)</t>
  </si>
  <si>
    <t>Damiani, A (corresponding author), Chiba Univ, Ctr Environm Remote Sensing, Chiba 2638522, Japan.;Cordero, RR (corresponding author), Santiago Univ, Dept Phys, Santiago 9170022, Chile.</t>
  </si>
  <si>
    <t>alecarlo.damiani@gmail.com; raul.cordero@usach.cl; pedro.llanillo@awi.de; sferon@stanford.edu; jboisier@dgf.uchile.cl; rgarreau@dgf.uchile.cl; ronda@dgf.uchile.cl; hitoshi.irie@chiba-u.jp; wnabe@jamstec.go.jp</t>
  </si>
  <si>
    <t>Rondanelli, Roberto/A-4717-2012; Irie, Hitoshi/AAW-6024-2021; Garreaud, Rene/JFS-4440-2023; Watanabe, Shingo/L-9689-2014; Llanillo, Pedro/L-5877-2015</t>
  </si>
  <si>
    <t>Rondanelli, Roberto/0000-0002-7440-7810; Watanabe, Shingo/0000-0002-2228-0088; Boisier, Juan Pablo/0000-0003-3872-2538; Llanillo, Pedro/0000-0002-9308-501X; Damiani, Alessandro/0000-0003-3014-6193; Cordero, Raul R./0000-0001-7607-7993; Feron, Sarah/0000-0002-0572-5639</t>
  </si>
  <si>
    <t>Environment Research and Technology Development Fund of the Environmental Restoration and Conservation Agency of Japan [2-1901]; JSPS KAKENHI [JP19H04235]; JST CREST [JPMJCR15K4]; SOUSEI program, MEXT, Japan; Chilean Antarctic Institute (INACH, Preis) [RT_32-15]; Consejo Nacional de Ciencia y Tecnologia (FONDECYT) [1191932, 1171690, 1161460, 3150229]; CORFO [18BPE-93920, 17BPCR-89100, 17BPE-73748]; Universidad de Santiago de Chile (USACH) [Preis USA1555]; JAXA 2nd research announcement on the Earth Observations [19RT000351]</t>
  </si>
  <si>
    <t>Environment Research and Technology Development Fund of the Environmental Restoration and Conservation Agency of Japan; JSPS KAKENHI(Ministry of Education, Culture, Sports, Science and Technology, Japan (MEXT)Japan Society for the Promotion of ScienceGrants-in-Aid for Scientific Research (KAKENHI)); JST CREST(Japan Science &amp; Technology Agency (JST)Core Research for Evolutional Science and Technology (CREST)); SOUSEI program, MEXT, Japan; Chilean Antarctic Institute (INACH, Preis); Consejo Nacional de Ciencia y Tecnologia (FONDECYT); CORFO; Universidad de Santiago de Chile (USACH); JAXA 2nd research announcement on the Earth Observations</t>
  </si>
  <si>
    <t>This research was supported by the Environment Research and Technology Development Fund (2-1901) of the Environmental Restoration and Conservation Agency of Japan, JSPS KAKENHI (grant number JP19H04235), the JAXA 2nd research announcement on the Earth Observations (grant number 19RT000351), and JST CREST (grant number JPMJCR15K4). The MIROC simulations were performed using the Earth Simulator under the support of the SOUSEI program, MEXT, Japan. The support of the Chilean Antarctic Institute (INACH, Preis RT_32-15), Consejo Nacional de Ciencia y Tecnologia (FONDECYT, Preis 1191932, 1171690, 1161460 and 3150229), CORFO (Preis 18BPE-93920, 17BPCR-89100 and 17BPE-73748) and the Universidad de Santiago de Chile (USACH, Preis USA1555) is gratefully acknowledged.</t>
  </si>
  <si>
    <t>10.3390/atmos11060579</t>
  </si>
  <si>
    <t>MR3IQ</t>
  </si>
  <si>
    <t>WOS:000553484400001</t>
  </si>
  <si>
    <t>Yang, K; Yoo, KC; Jung, J</t>
  </si>
  <si>
    <t>Yang, Kiho; Yoo, Kyu-Cheul; Jung, Jaewoo</t>
  </si>
  <si>
    <t>Quantitative Analysis of Asbestos-Containing Materials Using Various Test Methods</t>
  </si>
  <si>
    <t>asbestos; elongate mineral particles; quantitative analysis; mineral identification; powder X-ray diffraction; scanning electron microscopy; transmission electron microscopy</t>
  </si>
  <si>
    <t>TEM; STATE</t>
  </si>
  <si>
    <t>The advantages of X-ray powder diffraction (XRPD) analysis are its non-destructive nature, reliability, fast and easy sample preparation, and low costs. XRPD analysis has been used for mineral identification and the quantitative/qualitative determination of various types of fibrous minerals in asbestos-containing materials (ACMs). In order to test the detection limit of ACMs by XRPDD, standard samples with various concentrations of ACMs (0.1%, 1%, and 3%) were fabricated using three matrix materials (talc, vermiculite, and sepiolite). Asbestiform tremolite and chrysotile were identified in the XRPD profiles of the samples with 1% and 3% ACMs. Their integral intensities were positively correlated with the concentrations. However, the XRPD peak of asbestos was not found in the samples with 0.1% ACMs. Therefore, scanning and transmission electron microscopy were utilized to investigate the samples with a very low concentration of ACMs. Although the ACM concentration (0.1%) was negligible and its direct observation was time-consuming, electron microscopy allowed for the detection of asbestos in several matrix materials. Thus, a combination of XRPD and electron microscopy improve analytical performance and data reliability.</t>
  </si>
  <si>
    <t>[Yang, Kiho] Pusan Natl Univ, Dept Oceanog, Busan 46241, South Korea; [Yoo, Kyu-Cheul; Jung, Jaewoo] Korea Polar Res Inst, Div Polar Paleoenvironm, Incheon 406840, South Korea</t>
  </si>
  <si>
    <t>Pusan National University; Korea Polar Research Institute (KOPRI)</t>
  </si>
  <si>
    <t>Jung, J (corresponding author), Korea Polar Res Inst, Div Polar Paleoenvironm, Incheon 406840, South Korea.</t>
  </si>
  <si>
    <t>kyang@pusan.ac.kr; kcyoo@kopri.re.kr; kcyoo@kopri.re.kr</t>
  </si>
  <si>
    <t>Pusan National University; Antarctic Project of KOPRI [PE20180]</t>
  </si>
  <si>
    <t>Pusan National University(Pusan National University); Antarctic Project of KOPRI(Korea Polar Research Institute of Marine Research Placement (KOPRI))</t>
  </si>
  <si>
    <t>This work was supported by a Pusan National University Research Grant, 2020 to K.Y. and an Antarctic Project of KOPRI (PE20180) to K.-C.Y.</t>
  </si>
  <si>
    <t>10.3390/min10060568</t>
  </si>
  <si>
    <t>MR5AI</t>
  </si>
  <si>
    <t>WOS:000553599900001</t>
  </si>
  <si>
    <t>Lozano, P; Cabrera, O; Peyre, G; Cleef, A; Toulkeridis, T</t>
  </si>
  <si>
    <t>Lozano, Pablo; Cabrera, Omar; Peyre, Gwendolyn; Cleef, Antoine; Toulkeridis, Theofilos</t>
  </si>
  <si>
    <t>Plant Diversity and Composition Changes along an Altitudinal Gradient in the Isolated Volcano Sumaco in the Ecuadorian Amazon</t>
  </si>
  <si>
    <t>DIVERSITY-BASEL</t>
  </si>
  <si>
    <t>altitudinal gradient; endemism; isolated paramo; Sumaco volcano</t>
  </si>
  <si>
    <t>DISTRIBUTION PATTERNS; PARAMO VEGETATION; ANDEAN PARAMO; COMMUNITIES; SERVICES; LAVAS</t>
  </si>
  <si>
    <t>The paramo is a unique and severely threatened ecosystem scattered in the high northern Andes of South America. However, several further, extra-Andean paramos exist, of which a particular case is situated on the active volcano Sumaco, in the northwestern Amazon Basin of Ecuador. We have set an elevational gradient of 600 m (3200-3800 m a.s.l.) and sampled a total of 21 vegetation plots, using the phytosociological method. All vascular plants encountered were typified by their taxonomy, life form and phytogeographic origin. In order to determine if plots may be ensembled into vegetation units and understand what the main environmental factors shaping this pattern are, a non-metric multidimensional scaling (NMDS) analysis was performed. In addition, species turnover was quantified in order to appreciate the quantity and sort of species which are responsible for the similarity or dissimilarity between vegetation units. Therefore, a SIMPER similarity percentage analysis was conducted. We encountered 68 plant species belonging to 54 genera and 31 families, of which three are Ecuadorian endemics. The most frequent life forms were erect herbs, rosette and tussocks, whereas the least were cushions. At genus level, 44% of the Sumaco paramo flora was of tropical origin, followed by temperate (33%) and finally cosmopolitan (22%). The neotropical montane element was the most represented with 15 species, followed by the Austral-Antarctic with ten, wide temperate with another ten and cosmopolitan with seven. Regarding vegetation, four floristically distinct groups were segregated being lower gradient (3250-3500 m a.s.l.) and high altitude (3500-3800 m a.s.l.)</t>
  </si>
  <si>
    <t>[Lozano, Pablo] Univ Estatal Amazon, Herbario ECUAMZ, Km 2 1-2 Via Puyo Tena, Paso Lateral 160150, Puyo, Ecuador; [Cabrera, Omar] Univ Tecn Particular Loja, Dept Ciencias Biol, San Cayetano Alto S-N, Loja 110104, Ecuador; [Peyre, Gwendolyn] Univ Andes, Dept Ingn Civil &amp; Ambiental, Cra 1E 19a-40, Bogota 111711, Colombia; [Cleef, Antoine] Univ Amsterdam, IBED Paleoecol &amp; Landscape Ecol, Sci Pk 904, NL-1098 HX Amsterdam, Netherlands; [Toulkeridis, Theofilos] Univ Fuerzas Armadas ESPE, Av Gen Ruminahui S-N,POB, Sangolqui 1715231B, Ecuador</t>
  </si>
  <si>
    <t>Universidad Tecnica Particular de Loja; Universidad de los Andes (Colombia); University of Amsterdam; Escuela Politecnica Superior del Ejercito</t>
  </si>
  <si>
    <t>Lozano, P (corresponding author), Univ Estatal Amazon, Herbario ECUAMZ, Km 2 1-2 Via Puyo Tena, Paso Lateral 160150, Puyo, Ecuador.</t>
  </si>
  <si>
    <t>plozano@uea.edu.ec; hocabrera@utpl.edu.ec; gf.peyre@uniandes.edu.co; cleef@uva.nl; ttoulkeridis@espe.edu.ec</t>
  </si>
  <si>
    <t>Cabrera, Omar/0000-0002-9265-724X; Peyre, Gwendolyn/0000-0002-1977-7181; Toulkeridis, Theofilos/0000-0003-1903-7914</t>
  </si>
  <si>
    <t>Universidad Estatal Amazonica; Universidad Tecnica Particular de Loja</t>
  </si>
  <si>
    <t>This work was technically and financially supported by Universidad Estatal Amazonica and Universidad Tecnica Particular de Loja.</t>
  </si>
  <si>
    <t>1424-2818</t>
  </si>
  <si>
    <t>Diversity-Basel</t>
  </si>
  <si>
    <t>10.3390/d12060229</t>
  </si>
  <si>
    <t>MO0OU</t>
  </si>
  <si>
    <t>WOS:000551237400001</t>
  </si>
  <si>
    <t>Roberts, JL; Tozer, CR; Ho, M; Kiem, AS; Vance, TR; Jong, LM; McCormack, FS; van Ommen, TD</t>
  </si>
  <si>
    <t>Roberts, J. L.; Tozer, C. R.; Ho, M.; Kiem, A. S.; Vance, T. R.; Jong, L. M.; McCormack, F. S.; van Ommen, T. D.</t>
  </si>
  <si>
    <t>Reconciling Unevenly Sampled Paleoclimate Proxies: A Gaussian Kernel Correlation Multiproxy Reconstruction</t>
  </si>
  <si>
    <t>JOURNAL OF ENVIRONMENTAL INFORMATICS</t>
  </si>
  <si>
    <t>climate; Gaussian kernel correlation; multiproxy; paleoclimate; reconstruction; uneven sampling</t>
  </si>
  <si>
    <t>MURRAY-DARLING BASIN; RAINFALL RECONSTRUCTION; ICE CORE; VARIABILITY; ENSO; AUSTRALIA; CLIMATE; RECORD; RISK; STREAMFLOW</t>
  </si>
  <si>
    <t>Reconstructing past hydroclimatic variability using climate-sensitive paleoclimate proxies provides context to our relatively short instrumental climate records and a baseline from which to assess the impacts of human-induced climate change. However, many approaches to reconstructing climate are limited in their ability to address sampling variability inherent in different climate proxies. We iteratively optimise an ensemble of possible reconstruction data series to maximise the Gaussian kernel correlation of Rehfeld et al. (2011) which reconciles differences in the temporal resolution of both the target variable and proxies or covariates. The reconstruction method is evaluated using synthetic data with different degrees of sampling variability and noise. Two examples using paleoclimate proxy records and a third using instrumental rainfall data with missing values are used to demonstrate the utility of the method. While the Gaussian kernel correlation method is relatively computationally expensive, it is shown to be robust under a range of data characteristics and will therefore be valuable in analyses seeking to employ multiple input proxies or covariates.</t>
  </si>
  <si>
    <t>[Roberts, J. L.; van Ommen, T. D.] Australian Antarctic Div, Kingston, Tas 7050, Australia; [Roberts, J. L.; Vance, T. R.; Jong, L. M.; van Ommen, T. D.] Univ Tasmania, Antarctic Climate &amp; Ecosyst Cooperat Res Ctr, Hobart, Tas 7001, Australia; [Tozer, C. R.] CSIRO, Oceans &amp; Atmosphere, Hobart, Tas 7001, Australia; [Ho, M.] Columbia Univ, Columbia Water Ctr, New York, NY 10027 USA; [Kiem, A. S.] Univ Newcastle, Fac Sci, Callaghan, NSW 2308, Australia; [Jong, L. M.; McCormack, F. S.] Univ Tasmania, Inst Marine &amp; Antarctic Studies, Hobart, Tas 7001, Australia</t>
  </si>
  <si>
    <t>Australian Antarctic Division; University of Tasmania; Antarctic Climate &amp; Ecosystems Cooperative Research Centre (ACE CRC); Commonwealth Scientific &amp; Industrial Research Organisation (CSIRO); Columbia University; University of Newcastle; University of Tasmania</t>
  </si>
  <si>
    <t>Roberts, JL (corresponding author), Australian Antarctic Div, Kingston, Tas 7050, Australia.;Roberts, JL (corresponding author), Univ Tasmania, Antarctic Climate &amp; Ecosyst Cooperat Res Ctr, Hobart, Tas 7001, Australia.</t>
  </si>
  <si>
    <t>Jason.Roberts@aad.gov.au</t>
  </si>
  <si>
    <t>Kiem, Anthony/D-9307-2013; Jong, Lenneke M/AAT-3230-2020; Roberts, Jason L/B-2235-2012; Tozer, Carly R/E-9936-2013; McCormack, Felicity/B-9218-2015; van Ommen, Tas/B-5020-2012</t>
  </si>
  <si>
    <t>Kiem, Anthony/0000-0002-3994-6958; Jong, Lenneke M/0000-0001-6707-570X; Roberts, Jason L/0000-0002-3477-4069; Tozer, Carly R/0000-0001-8605-5907; McCormack, Felicity/0000-0002-2324-2120; Vance, Tessa/0000-0001-6970-8646; Ho, Michelle/0000-0002-1513-8016; van Ommen, Tas/0000-0002-2463-1718</t>
  </si>
  <si>
    <t>Australian Antarctic Division [ASAC 757, 4061]; Australian Government's Cooperative Research Centres Program-me through the Antarctic Climate &amp; Ecosystems Cooperative Research Centre (ACECRC); Australian Research Council's Special Research Initiative for Antarctic Gateway Partnership [SR140300001]; Centre for Water, Climate and Land (CWCL) at the University of Newcastle</t>
  </si>
  <si>
    <t>Australian Antarctic Division; Australian Government's Cooperative Research Centres Program-me through the Antarctic Climate &amp; Ecosystems Cooperative Research Centre (ACECRC)(Australian GovernmentDepartment of Industry, Innovation and ScienceCooperative Research Centres (CRC) Programme); Australian Research Council's Special Research Initiative for Antarctic Gateway Partnership(Australian Research Council); Centre for Water, Climate and Land (CWCL) at the University of Newcastle</t>
  </si>
  <si>
    <t>We thank Janece McDonald(Janece.McDonald@newcastle.edu.au) and Russell Drysdale (rnd@unimelb.edu.au) for input relating to the Wombeyan Cave speleothem. See Ho et al. (2015a) and Ho et al. (2015b) for further details. The Australian Antarctic Division provided funding and logistical support (ASAC 757 and 4061). This work was supported by the Australian Government's Cooperative Research Centres Program-me through the Antarctic Climate &amp; Ecosystems Cooperative Research Centre (ACECRC). This research was supported under Australian Research Council's Special Research Initiative for Antarctic Gateway Partnership (SR140300001). The Centre for Water, Climate and Land (CWCL) at the University of Newcastle provided partial funding for C. R. Tozer's salary.</t>
  </si>
  <si>
    <t>INT SOC ENVIRON INFORM SCI</t>
  </si>
  <si>
    <t>REGINA</t>
  </si>
  <si>
    <t>4246 ALBERT ST, REGINA, SASKATCHEWAN S4S 3R9, CANADA</t>
  </si>
  <si>
    <t>1726-2135</t>
  </si>
  <si>
    <t>1684-8799</t>
  </si>
  <si>
    <t>J ENVIRON INFORM</t>
  </si>
  <si>
    <t>J. Environ. Inform.</t>
  </si>
  <si>
    <t>10.3808/jei.201900420</t>
  </si>
  <si>
    <t>MO7MF</t>
  </si>
  <si>
    <t>WOS:000551704400003</t>
  </si>
  <si>
    <t>Warnock, JP; Krueger, RE</t>
  </si>
  <si>
    <t>Warnock, Jonathan P.; Krueger, Rachel E.</t>
  </si>
  <si>
    <t>A record of diatom preservation from the AND-1B drillcore: The significance of taphofacies on diatom preservation</t>
  </si>
  <si>
    <t>MARINE MICROPALEONTOLOGY</t>
  </si>
  <si>
    <t>Diatoms; Southern Ocean; Taphonomy; Silica cycle; Pliocene</t>
  </si>
  <si>
    <t>BIOGENIC-SILICA DISSOLUTION; ANTARCTIC ICE-SHEET; SOUTHERN-OCEAN; SURFACE SEDIMENTS; GROWTH-RATE; SEA-ICE; CARBON EXPORT; TEMPERATURE; WEST; ASSEMBLAGES</t>
  </si>
  <si>
    <t>The processes affecting diatom dissolution and upper water column silica recycling are understood in modern environments. However, few studies have been undertaken to understand which processes have the greatest impact on diatom preservation in sedimentary archives. Furthermore, variability in diatom dissolution in the upper water column of past oceans is rarely quantified. Here we present a record of diatom dissolution, a proxy for upper water column silica recycling, from the Pliocene of the Ross Sea. Dissolution was quantified utilizing diatoms from the AND-1B core. These data were related to previously published diatom proxies of sea surface conditions. Diatoms were found to be better preserved in intervals dominated by sea ice diatoms than intervals dominated by cosmopolitan open ocean diatoms. However, preservation was not constant in the interval dominated by cosmopolitan diatoms, implying another taphonomic control. An antiphase relationship was found between diatom-inferred water temperature and dissolution; dissolution is less during cold intervals. A weaker positive correlation was found between diatom accumulation and preservation; dissolution is lower during periods of high diatom accumulation. The relationship between diatom accumulation and preservation reflects pore water saturation; individual diatoms contributes less silica to pore water saturation. However, increased growth rate is expected to result in thinner frustules and increased dissolution. These two opposing factors explain the weakness of the observed correlation. Interestingly, these results are different from those found in other Southern Ocean sediment cores. Comparative analysis highlights the importance of taphofacies on diatom preservation in understanding diatom dissolution data.</t>
  </si>
  <si>
    <t>[Warnock, Jonathan P.; Krueger, Rachel E.] Indiana Univ Penn, Dept Geosci, 975 Oakland Ave,137 Weyandt Hall, Indiana, PA 15705 USA</t>
  </si>
  <si>
    <t>Pennsylvania State System of Higher Education (PASSHE); Indiana University of Pennsylvania</t>
  </si>
  <si>
    <t>Warnock, JP (corresponding author), Indiana Univ Penn, Dept Geosci, 975 Oakland Ave,137 Weyandt Hall, Indiana, PA 15705 USA.</t>
  </si>
  <si>
    <t>jwarnock@iup.edu</t>
  </si>
  <si>
    <t>NSF [1443420]; Directorate For Geosciences; Office of Polar Programs (OPP) [1443420] Funding Source: National Science Foundation</t>
  </si>
  <si>
    <t>NSF(National Science Foundation (NSF)); Directorate For Geosciences; Office of Polar Programs (OPP)(National Science Foundation (NSF)NSF - Directorate for Geosciences (GEO))</t>
  </si>
  <si>
    <t>We would like to thank Dr. Matthew Konfirst for sharing data and sample material. Thanks to our reviewer and the guest editor, Dr. Xavier Crosta, for improving this manuscript. This work was funded by NSF grant 1443420.</t>
  </si>
  <si>
    <t>0377-8398</t>
  </si>
  <si>
    <t>1872-6186</t>
  </si>
  <si>
    <t>MAR MICROPALEONTOL</t>
  </si>
  <si>
    <t>Mar. Micropaleontol.</t>
  </si>
  <si>
    <t>10.1016/j.marmicro.2020.101887</t>
  </si>
  <si>
    <t>Paleontology</t>
  </si>
  <si>
    <t>MO2CW</t>
  </si>
  <si>
    <t>WOS:000551341800006</t>
  </si>
  <si>
    <t>Kaushik, T; Thirumalai, M</t>
  </si>
  <si>
    <t>Kaushik, Tushar; Thirumalai, M.</t>
  </si>
  <si>
    <t>FIRST REPORT OF PSAMMOPHAGA SIMPLORA (ARNOLD, 1982), AN ORGANIC-WALLED BENTHIC FORAMINIFER FROM THE WEST COAST OF INDIA, ARABIAN SEA</t>
  </si>
  <si>
    <t>JOURNAL OF THE PALAEONTOLOGICAL SOCIETY OF INDIA</t>
  </si>
  <si>
    <t>Foraminifera; organic-walled; Psammophaga; taxonomy; Arabian Sea</t>
  </si>
  <si>
    <t>SP.</t>
  </si>
  <si>
    <t>An organic-walled benthic foraminifer Psammophaga simplora (Arnold, 1982), is being reported for the first time from the recent intertidal surface sediments of Rajapuri creek, west coast of India, Arabian Sea. The individuals were found in abundance at the studied site and constitute nearly 20% of the total foraminiferal population. The specimens of this species exhibit a characteristic property of concentrated ingested mineral particles in its protoplasm, a feature only displayed by this genus among monothalamous benthic foraminiferans. The discovery of organic-walled foraminifers from the west coast of India, Arabian Sea, extends the known geographic range of Psammophaga, outside Pacific, Atlantic, and Antarctic waters, and to understand the biogeographic distribution and ecological studies.</t>
  </si>
  <si>
    <t>[Kaushik, Tushar; Thirumalai, M.] Agharkar Res Inst, GG Agarkar Marg, Pune 411004, Maharashtra, India</t>
  </si>
  <si>
    <t>Department of Science &amp; Technology (India); Agharkar Research Institute (ARI)</t>
  </si>
  <si>
    <t>Kaushik, T (corresponding author), Agharkar Res Inst, GG Agarkar Marg, Pune 411004, Maharashtra, India.</t>
  </si>
  <si>
    <t>tussharkaushik@gmail.com</t>
  </si>
  <si>
    <t>Kaushik, Tushar/Q-9143-2018</t>
  </si>
  <si>
    <t>Kaushik, Tushar/0000-0003-2727-8566</t>
  </si>
  <si>
    <t>Agharkar Research Institute [BD -04]</t>
  </si>
  <si>
    <t>Agharkar Research Institute(Department of Science &amp; Technology (India))</t>
  </si>
  <si>
    <t>The authors are grateful to the Director of the Agharkar Research Institute (ARI), Pune, India, for providing the facilities and encouragement. The authors are thankful to the editor and an anonymous reviewer for critical comments and suggestions which helped us to improve manuscript significantly. Agharkar Research Institute supported this work (ARI) vide financial grant number BD -04 to TK and research fellowship to TM.</t>
  </si>
  <si>
    <t>PALAEONTOLOGICAL SOC INDIA</t>
  </si>
  <si>
    <t>LUCKNOW UNIV, GEOLOGY DEPT, LUCKNOW, INDIA</t>
  </si>
  <si>
    <t>0552-9360</t>
  </si>
  <si>
    <t>J PALAEONTOL SOC IND</t>
  </si>
  <si>
    <t>J. Palaeontol. Soc. India</t>
  </si>
  <si>
    <t>MN5DF</t>
  </si>
  <si>
    <t>WOS:000550861300009</t>
  </si>
  <si>
    <t>Weaver, CJ; Wu, DL; Bhartia, PK; Labow, GJ; Haffner, DP</t>
  </si>
  <si>
    <t>Weaver, Clark J.; Wu, Dong L.; Bhartia, Pawan K.; Labow, Gordon J.; Haffner, David P.</t>
  </si>
  <si>
    <t>A Long-Term Cloud Albedo Data Record Since 1980 from UV Satellite Sensors</t>
  </si>
  <si>
    <t>SBUV; OMPS; cloud albedo; diurnal cycle; cloud feedback; ENSO; volcanoes</t>
  </si>
  <si>
    <t>ENERGY SYSTEM CERES; ANGULAR-DISTRIBUTION MODELS; RADIATIVE FLUX CALCULATION; INTERANNUAL VARIABILITY; SURFACE OBSERVATIONS; STRATOCUMULUS; REFLECTIVITY; ULTRAVIOLET; DEPENDENCE; STRATUS</t>
  </si>
  <si>
    <t>Black-sky cloud albedo (BCA) is derived from satellite UV 340 nm observations from NOAA and NASA satellites to infer long-term (1980-2018) shortwave cloud albedo variations induced by volcano eruptions, the El Nino-Southern Oscillation, and decadal warming. While the UV cloud albedo has shown no long-term trend since 1980, there are statistically significant reductions over the North Atlantic and over the marine stratocumulus decks off the coast of California; increases in cloud albedo can be seen over Southeast Asia and over cloud decks off the coast of South America. The derived BCA assumes a C-1 water cloud model with varying cloud optical depths and a Cox-Munk surface BRDF over the ocean, using radiances calibrated over the East Antarctic Plateau and Greenland ice sheets during summer.</t>
  </si>
  <si>
    <t>[Weaver, Clark J.] Univ Maryland, Earth Syst Sci Interdisciplinary Ctr ESSIC, College Pk, MD 20742 USA; [Wu, Dong L.] NASA, Climate &amp; Radiat Lab, Goddard Space Flight Ctr, Greenbelt, MD 20771 USA; [Bhartia, Pawan K.] NASA, Atmospher Chem &amp; Dynam Branch, Goddard Space Flight Ctr, Greenbelt, MD 20771 USA; [Labow, Gordon J.; Haffner, David P.] Sci Syst &amp; Applicat SSAI Inc, Lanham, MD 20706 USA</t>
  </si>
  <si>
    <t>University System of Maryland; University of Maryland College Park; National Aeronautics &amp; Space Administration (NASA); NASA Goddard Space Flight Center; National Aeronautics &amp; Space Administration (NASA); NASA Goddard Space Flight Center</t>
  </si>
  <si>
    <t>Weaver, CJ (corresponding author), Univ Maryland, Earth Syst Sci Interdisciplinary Ctr ESSIC, College Pk, MD 20742 USA.</t>
  </si>
  <si>
    <t>clark.j.weaver@nasa.gov; dong.l.wu@nasa.gov; pawan.k.bhartia@nasa.gov; gordon.labow@ssaihq.com; david.haffner@ssaihq.com</t>
  </si>
  <si>
    <t>Wu, Dong L/D-5375-2012; Keyes, Dennis/AAZ-9285-2021; Haffner, David Patrick/O-2929-2013</t>
  </si>
  <si>
    <t>Haffner, David Patrick/0000-0003-1747-634X</t>
  </si>
  <si>
    <t>NASA Making Earth System Data Records for Use in Research Environments (MEaSUREs) Project; NASA Long-term measurement of Ozone program</t>
  </si>
  <si>
    <t>This work was supported by a NASA Making Earth System Data Records for Use in Research Environments (MEaSUREs) Project and the NASA Long-term measurement of Ozone program.</t>
  </si>
  <si>
    <t>10.3390/rs12121982</t>
  </si>
  <si>
    <t>MM7ZI</t>
  </si>
  <si>
    <t>WOS:000550370900001</t>
  </si>
  <si>
    <t>Kiem, AS; Vance, TR; Tozer, CR; Roberts, JL; Pozza, RD; Vitkovsky, J; Smolders, K; Curran, MAJ</t>
  </si>
  <si>
    <t>Kiem, Anthony S.; Vance, Tessa R.; Tozer, Carly R.; Roberts, Jason L.; Pozza, Ramona Dalla; Vitkovsky, John; Smolders, Kate; Curran, Mark A. J.</t>
  </si>
  <si>
    <t>Learning from the past - Using palaeoclimate data to better understand and manage drought in South East Queensland (SEQ), Australia</t>
  </si>
  <si>
    <t>JOURNAL OF HYDROLOGY-REGIONAL STUDIES</t>
  </si>
  <si>
    <t>Palaeoclimate; Drought; Hydroclimatic risk; Climate variability; Climate change</t>
  </si>
  <si>
    <t>DOME ICE CORE; RAINFALL; OSCILLATION; VARIABILITY; ENSO; RESOURCES; IMPACT; RECORD; MODEL; PROXY</t>
  </si>
  <si>
    <t>Study region: South East Queensland (SEQ), Australia. Study focus: Decision makers in the water sector need to deal with uncertainty about the impacts of climate variability and change. Identifying solutions for hydroclimatic risk adaptation strategies that are both optimal and robust in the presence of this uncertainty presents a difficult challenge. The instrumental hydroclimatic record in Australia is short (similar to 60-120 years depending on location and variable), and fails to encompass enough climate variability to allow the calculation of robust statistics around the baseline risk of extreme events (i.e. multi-year droughts, decadal periods with clustering of major flood events). This paper (i) demonstrates how palaeoclimate data can be used to better understand what is possible with respect to drought frequency and duration in South East Queensland (SEQ), Australia and (ii) investigates some implications from palaeoclimate data for drought planning, drought management and water security decision making. New hydrological insights for the region: The instrumental period is not representative of the full range of past climate variability. Droughts worse than those in the instrumental record are not only possible, but likely, and the probability of conditions drier than the worst on instrumental record is not zero. This means that current drought risk estimates are at best misleading and probably convey a false sense of security that is not justified given the insights now available from palaeoclimate data.</t>
  </si>
  <si>
    <t>[Kiem, Anthony S.] Univ Newcastle, Fac Sci, Ctr Water Climate &amp; Land CWCL, Callaghan, NSW 2308, Australia; [Vance, Tessa R.] Univ Tasmania, Inst Marine &amp; Antarct Studies, Hobart, Tas 7004, Australia; [Tozer, Carly R.] CSIRO Oceans &amp; Atmosphere, Hobart, Tas, Australia; [Roberts, Jason L.; Curran, Mark A. J.] Australian Antarctic Div, Kingston, Tas 7050, Australia; [Pozza, Ramona Dalla] Dept Environm Land Water &amp; Planning, Melbourne, Vic 3000, Australia; [Vitkovsky, John] Queensland Hydrol, Dept Environm &amp; Sci, Dutton Pk, Qld 4102, Australia; [Smolders, Kate] Seqwater, Ipswich, Qld 4305, Australia</t>
  </si>
  <si>
    <t>University of Newcastle; University of Tasmania; Commonwealth Scientific &amp; Industrial Research Organisation (CSIRO); Australian Antarctic Division; Melbourne Genomics Health Alliance</t>
  </si>
  <si>
    <t>Kiem, AS (corresponding author), Univ Newcastle, Fac Sci, Ctr Water Climate &amp; Land CWCL, Callaghan, NSW 2308, Australia.</t>
  </si>
  <si>
    <t>anthony.kiem@newcastle.edu.au</t>
  </si>
  <si>
    <t>Roberts, Jason L/B-2235-2012; Kiem, Anthony/D-9307-2013; Tozer, Carly R/E-9936-2013</t>
  </si>
  <si>
    <t>Roberts, Jason L/0000-0002-3477-4069; Kiem, Anthony/0000-0002-3994-6958; Tozer, Carly R/0000-0001-8605-5907; Vance, Tessa/0000-0001-6970-8646</t>
  </si>
  <si>
    <t>Queensland Department of Environment and Science (DES); Australian Research Council [DP180102522]; Australian Research Council Special Research Initiative for Antarctic Gateway Partnership [SR140300001]</t>
  </si>
  <si>
    <t>Queensland Department of Environment and Science (DES); Australian Research Council(Australian Research Council); Australian Research Council Special Research Initiative for Antarctic Gateway Partnership(Australian Research Council)</t>
  </si>
  <si>
    <t>The work conducted to produce this paper was funded by:; Queensland Department of Environment and Science (DES)(which was the Queensland Department of Science, Information Technology and Innovation (DSITI) when this work commenced);; Australian Research Council Discovery Projecton Flooding in Australia - are we properly prepared for how bad it can get? (Project number: DP180102522);; Australian Research Council Special Research Initiative for Antarctic Gateway Partnership(Project number: SR140300001).</t>
  </si>
  <si>
    <t>2214-5818</t>
  </si>
  <si>
    <t>J HYDROL-REG STUD</t>
  </si>
  <si>
    <t>J. Hydrol.-Reg. Stud.</t>
  </si>
  <si>
    <t>10.1016/j.ejrh.2020.100686</t>
  </si>
  <si>
    <t>Water Resources</t>
  </si>
  <si>
    <t>MM5TB</t>
  </si>
  <si>
    <t>WOS:000550217800004</t>
  </si>
  <si>
    <t>Biddle, LC; Swart, S</t>
  </si>
  <si>
    <t>Biddle, L. C.; Swart, S.</t>
  </si>
  <si>
    <t>The Observed Seasonal Cycle of Submesoscale Processes in the Antarctic Marginal Ice Zone</t>
  </si>
  <si>
    <t>Antarctic; Sea ice; Submesoscale processes</t>
  </si>
  <si>
    <t>SEA-ICE; SOUTHERN-OCEAN; MIXED-LAYER; ANTHROPOGENIC CARBON; CMIP5; MESOSCALE; RESTRATIFICATION; CIRCULATION; WATER; STRATIFICATION</t>
  </si>
  <si>
    <t>Submesoscale flows are energetic processes in the upper ocean that occur at scales of a few kilometers. These phenomena are important to climate because they can strongly impact vertical motions of heat, carbon, and biogeochemical properties between the surface and deep ocean. Their presence and magnitude are poorly understood in the Antarctic marginal ice zone (MIZ) and under sea ice due to a lack of observations. We present tagged southern elephant seal hydrographic data from the eastern Weddell Sea, over the austral late summer to spring in 2008, to assess the magnitude and seasonality of submesoscale processes in the Antarctic MIZ. We consider the linkages between sea ice cover, ocean stress variability, and mixed layer depth and how these influence the submesoscale fluxes. We find that there is a strong seasonal cycle in the magnitude of the equivalent heat flux from submesoscale flows (240 Wm(-2)), with peak activity occurring in midwinter. Periods of increased variability in sea ice cover, likely associated with leads, are also linked to restratification through submesoscale fluxes in midwinter. These findings have implications for understanding the magnitude and variability of upper ocean stratification and therefore highlights the importance of developing parameterizations for submesoscale processes in the Antarctic MIZ within global climate models.</t>
  </si>
  <si>
    <t>[Biddle, L. C.; Swart, S.] Univ Gothenburg, Dept Marine Sci, Gothenburg, Sweden; [Swart, S.] Univ Cape Town, Dept Oceanog, Rondebosch, South Africa</t>
  </si>
  <si>
    <t>University of Gothenburg; University of Cape Town</t>
  </si>
  <si>
    <t>Biddle, LC (corresponding author), Univ Gothenburg, Dept Marine Sci, Gothenburg, Sweden.</t>
  </si>
  <si>
    <t>louise.biddle@marine.gu.se</t>
  </si>
  <si>
    <t>; Swart, Sebastiaan/U-5498-2017</t>
  </si>
  <si>
    <t>Biddle, Louise/0000-0002-4785-1959; Swart, Sebastiaan/0000-0002-2251-8826</t>
  </si>
  <si>
    <t>Wallenberg Academy Fellowship [WAF 2015.0186]; Swedish Research Council [VR 2019-04400]; Swedish Research Council [2019-04400] Funding Source: Swedish Research Council</t>
  </si>
  <si>
    <t>Wallenberg Academy Fellowship; Swedish Research Council(Swedish Research Council); Swedish Research Council(Swedish Research Council)</t>
  </si>
  <si>
    <t>LCB and SS are supported by a Wallenberg Academy Fellowship (WAF 2015.0186) and Swedish Research Council grant (VR 2019-04400) of S. Swart. We would like to thank Marcel D. du Plessis and Andrew F. Thompson for constructive discussions on the paper. Seal data are acquired from MEOP (www.meop.net), while the Norwegian Polar Institute (Andrew Lowther) undertook the seal tagging program in 2008 at Bouvet Island. L.C.B. and S.S. thank two anonymous reviewers for their constructive and insightful feedback.</t>
  </si>
  <si>
    <t>e2019JC015587</t>
  </si>
  <si>
    <t>10.1029/2019JC015587</t>
  </si>
  <si>
    <t>MM0EG</t>
  </si>
  <si>
    <t>WOS:000549832900020</t>
  </si>
  <si>
    <t>Gwyther, DE; Spain, EA; King, P; Guihen, D; Williams, GD; Evans, E; Cook, S; Richter, O; Galton-Fenzi, BK; Coleman, R</t>
  </si>
  <si>
    <t>Gwyther, David E.; Spain, Erica A.; King, Peter; Guihen, Damien; Williams, Guy D.; Evans, Eleri; Cook, Sue; Richter, Ole; Galton-Fenzi, Benjamin K.; Coleman, Richard</t>
  </si>
  <si>
    <t>Cold Ocean Cavity and Weak Basal Melting of the Sorsdal Ice Shelf Revealed by Surveys Using Autonomous Platforms</t>
  </si>
  <si>
    <t>Antarctica; ice shelves; AUV; oceanography; basal melting; APRES</t>
  </si>
  <si>
    <t>CIRCUMPOLAR DEEP-WATER; PINE ISLAND BAY; PRYDZ BAY; SEA-ICE; CONTINENTAL-SHELF; EAST ANTARCTICA; VESTFOLD HILLS; SURFACE; OCEANOGRAPHY; VARIABILITY</t>
  </si>
  <si>
    <t>Basal melting of ice shelves is inherently difficult to quantify through direct observations, yet it is a critical factor controlling Antarctic mass balance and global sea-level rise. While much research attention is paid to larger ice shelves and those experiencing the most rapid change, many smaller, unstudied ice shelves offer valuable insights. Here, we investigate the oceanographic conditions and melting beneath the Sorsdal ice shelf, East Antarctica. We present results from the 2018/2019 Sorsdal deployment of the University of Tasmania's autonomous underwater vehiclenupiri muka. Oceanography adjacent to and beneath the ice shelf front shows a cold and relatively saline environment dominated by Winter Water and Dense Shelf Water, while bathymetry measurements show a deep (similar to 1,200 m) trough running into the ice shelf cavity. Two multiyear deployments of Autonomous Phase-sensitive Radar Echo Sounders on the surface of the ice shelf show weak melt rates (average of 1.6 and 2.3 m yr(-1)) with low temporal variability. These observations are supported by numerical ocean model and satellite estimates of melting. We speculate that the presence of a similar to 825 m thick (350 m to at least 1,175 m) homogeneous layer of cold, dense water blocks access from warmer waters that intrude into Prydz Bay from offshore, resulting in weak melt rates. However, the newly identified trough means that the ice shelf is vulnerable to any decrease in polynya activity that allows warm water to enter the cavity. This could lead to increased basal melting and mass loss through this sector of Antarctica.</t>
  </si>
  <si>
    <t>[Gwyther, David E.; Spain, Erica A.; Guihen, Damien; Williams, Guy D.; Evans, Eleri; Cook, Sue; Richter, Ole; Coleman, Richard] Univ Tasmania, Inst Marine &amp; Antartic Studies, Hobart, Tas, Australia; [King, Peter] Univ Tasmania, Australian Maritime Coll, Launceston, Tas, Australia; [Williams, Guy D.; Evans, Eleri; Cook, Sue; Galton-Fenzi, Benjamin K.; Coleman, Richard] Univ Tasmania, Antarctic Climate &amp; Ecosyst Cooperat Res Ctr, Hobart, Tas, Australia; [Galton-Fenzi, Benjamin K.] Australian Antarctic Div, Kingston, Tas, Australia</t>
  </si>
  <si>
    <t>University of Tasmania; University of Tasmania; Australian Maritime College; University of Tasmania; Antarctic Climate &amp; Ecosystems Cooperative Research Centre (ACE CRC); Australian Antarctic Division</t>
  </si>
  <si>
    <t>Gwyther, DE (corresponding author), Univ Tasmania, Inst Marine &amp; Antartic Studies, Hobart, Tas, Australia.</t>
  </si>
  <si>
    <t>david.gwyther@gmail.com</t>
  </si>
  <si>
    <t>Gwyther, David E/Q-2987-2018; Coleman, Richard/H-4425-2012; Cook, Sue/E-8390-2018</t>
  </si>
  <si>
    <t>Gwyther, David E/0000-0002-7218-2785; Galton-Fenzi, Benjamin Keith/0000-0003-1404-4103; Spain, Erica/0000-0002-4689-018X; King, Peter/0000-0001-9436-0936; Evans, Eleri/0000-0003-2393-4271; Coleman, Richard/0000-0002-9731-7498; Cook, Sue/0000-0001-9878-4218</t>
  </si>
  <si>
    <t>Australian Research Council's Special Research Initiative for Antarctic Gateway Partnership [SR140300001]; Antarctic Climate and Ecosystems Cooperative Research Centre (ACE CRC)</t>
  </si>
  <si>
    <t>Australian Research Council's Special Research Initiative for Antarctic Gateway Partnership(Australian Research Council); Antarctic Climate and Ecosystems Cooperative Research Centre (ACE CRC)(Australian GovernmentDepartment of Industry, Innovation and ScienceCooperative Research Centres (CRC) Programme)</t>
  </si>
  <si>
    <t>Research was supported by the Australian Research Council's Special Research Initiative for Antarctic Gateway Partnership (Project ID SR140300001) and by the Antarctic Climate and Ecosystems Cooperative Research Centre (ACE CRC). Analysis and data handling were achieved with the Antarctic Mapping Toolbox (Greene et al., 2017) and the Climate Data Toolbox for MATLAB (Greene et al., 2019). The authors thank the engineering expertise of I. Bowden-Floyd and K. Zurcher; mechanical and plant crew of the Davis Station Summer Team, in particular D. Smith; the expert boat operators G. Johnstone and M. Davidson; oceanography input from S. Jendersie; and glaciological input fromR. Warner.</t>
  </si>
  <si>
    <t>e2019JC015882</t>
  </si>
  <si>
    <t>10.1029/2019JC015882</t>
  </si>
  <si>
    <t>WOS:000549832900028</t>
  </si>
  <si>
    <t>Kranz, SA; Wang, S; Kelly, TB; Stukel, MR; Goericke, R; Landry, MR; Cassar, N</t>
  </si>
  <si>
    <t>Kranz, Sven A.; Wang, Seaver; Kelly, Thomas B.; Stukel, Michael R.; Goericke, Ralf; Landry, Michael R.; Cassar, Nicolas</t>
  </si>
  <si>
    <t>Lagrangian Studies of Marine Production: A Multimethod Assessment of Productivity Relationships in the California Current Ecosystem Upwelling Region</t>
  </si>
  <si>
    <t>gross primary production; long-term ecological research; equilibrium inlet mass spectrometry; carbon export; net community production</t>
  </si>
  <si>
    <t>DISSOLVED ORGANIC-CARBON; PHYTOPLANKTON COMMUNITY COMPOSITION; WESTERN ANTARCTIC PENINSULA; BIOLOGICAL PRODUCTION-RATES; EXPORT PRODUCTION; NITROGEN UPTAKE; NITRATE UPTAKE; EUPHOTIC ZONE; ARABIAN SEA; OCEAN</t>
  </si>
  <si>
    <t>A multimethod process-oriented investigation of diverse productivity measures in the California Current Ecosystem (CCE) Long-Term Ecological Research study region, a complex physical environment, is presented. Seven multiday deployments covering a transition region from high to low productivity were conducted over two field expeditions (spring 2016 and summer 2017). Employing a Lagrangian study design, water parcels were followed over several days, comparing 24-h in situ measurements (C-14 and(15)NO(3)-uptake, dilution estimates of phytoplankton growth, and microzooplankton grazing) with high-resolution productivity measurements by fast repetition rate fluorometry (FRRF) and equilibrium inlet mass spectrometry (EIMS), and integrated carbon export measuremnts using sediment traps. Results show the importance of accounting for temporal and fine spatial scale variability when estimating ecosystem production. FRRF and EIMS measurements resolved diel patterns in gross primary and net community production. Diel productivity changes agreed well with comparably more traditional measurements. While differences in productivity metrics calculated over different time intervals were considerable, as those methods rely on different base assumptions, the data can be used to explain ecosystem processes which would otherwise have gone unnoticed. The processes resolved from this method comparison further understanding of temporal and spatial coupling and decoupling of surface productivity and potential carbon burial in a gradient from coastal to offshore ecosystems.</t>
  </si>
  <si>
    <t>[Kranz, Sven A.; Kelly, Thomas B.; Stukel, Michael R.] Florida State Univ, Dept Earth Ocean &amp; Atmospher Sci, Tallahassee, FL 32306 USA; [Wang, Seaver; Cassar, Nicolas] Duke Univ, Div Earth &amp; Ocean Sci, Durham, NC USA; [Stukel, Michael R.] Florida State Univ, Ctr Ocean Atmospher Predict Studies, Tallahassee, FL USA; [Goericke, Ralf; Landry, Michael R.] Scripps Inst Oceanog, Integrat Oceanog Div, La Jolla, CA USA</t>
  </si>
  <si>
    <t>State University System of Florida; Florida State University; Duke University; State University System of Florida; Florida State University; University of California System; University of California San Diego; Scripps Institution of Oceanography</t>
  </si>
  <si>
    <t>Kranz, SA (corresponding author), Florida State Univ, Dept Earth Ocean &amp; Atmospher Sci, Tallahassee, FL 32306 USA.</t>
  </si>
  <si>
    <t>skranz@fsu.edu</t>
  </si>
  <si>
    <t>Landry, Michael/HGF-1043-2022; Stukel, Michael R/F-9029-2013; Kranz, Sven/ABG-9009-2020; Kelly, Thomas/AAW-5785-2020; Cassar, Nicolas/B-4260-2011</t>
  </si>
  <si>
    <t>Kelly, Thomas/0000-0001-6285-1925; Cassar, Nicolas/0000-0003-0100-3783; Kranz, Sven Alexander/0000-0002-6639-6779; Wang, Seaver/0000-0001-9792-4602</t>
  </si>
  <si>
    <t>US National Science Foundation [OCE-1637632, OCE-1614359]</t>
  </si>
  <si>
    <t>The authors declare no conflict of interest. Data sets for this research can be accessed at the CCE-LTER Datazoo online database (). This study was funded by US National Science Foundation grants OCE-1637632 (CCE-LTER) and OCE-1614359 (RAPID). We appreciate the contributions to shipboard sampling and analyses by Ali Freibott, Belli Valencia, Shonna Dovel and Megan Roadman and Cameron Quackenbush. We also want to thank the captains and the crews of the R/V Sikuliaq and R/V Roger Revelle for their support. We appreciated the help during both cruises by chief scientist Mark Ohman. We also want to thank Kathy Barbeau and Kiefer Forsch for their discussion of their preliminary data on iron limitation during these cruises.</t>
  </si>
  <si>
    <t>e2019JC015984</t>
  </si>
  <si>
    <t>10.1029/2019JC015984</t>
  </si>
  <si>
    <t>WOS:000549832900039</t>
  </si>
  <si>
    <t>Song, XZ</t>
  </si>
  <si>
    <t>Song, Xiangzhou</t>
  </si>
  <si>
    <t>Explaining the Zonal Asymmetry in the Air-Sea Net Heat Flux Climatology Over the Antarctic Circumpolar Current</t>
  </si>
  <si>
    <t>Air-sea heat flux; Antarctic Circumpolar Current; Surface heat budget balance; Air-sea turbulent heat fluxes</t>
  </si>
  <si>
    <t>BULK PARAMETERIZATION; SURFACE CURRENTS; OCEAN; REANALYSIS; VARIABILITY; CIRCULATION; SATELLITE; UNCERTAINTIES; FORMULAS; INPUT</t>
  </si>
  <si>
    <t>Surface heating occurs over the streamline of the Antarctic Circumpolar Current (ACC) and balances the heat transport associated with the global meridional overturning circulation. With a combination of ocean assimilation model output, objectively analyzed products, and atmospheric reanalysis, this paper investigates the mechanism of climatological surface cooling in the Pacific sector with zonal asymmetry. The poleward shift of the ACC path in the Pacific with barotropic potential vorticity conservation was found to account for this cooling. The southward transport of warm/wet surface waters encounters relatively cold/dry air at high latitudes, causing strong turbulent heat fluxes. Sensible heat flux related to the sea-air heat convection plays an equivalent role alongside the sea surface evaporative latent heat flux, both of which dominate the surface cooling in the Pacific sector. Solar radiation decreases with a poleward meandering of the ACC, which aggravates the cooling process. A significant seasonal cycle of the ensemble mean net surface heat flux (Qnet) is demonstrated, that is, approximately half-year heating (cooling) during austral warm (cool) seasons. The estimated magnitude of Qnet over the ACC is approximately 20 W m(-2)by averaging 10 heat flux climatologies and 4 W m(-2)in an ocean state estimate model. However, efforts are still needed to reduce the excess heat flux over the sea surface in the Southern Ocean for the heat flux products.</t>
  </si>
  <si>
    <t>[Song, Xiangzhou] Hohai Univ, Minist Educ MOE, Coll Oceanog, Nanjing, Peoples R China; [Song, Xiangzhou] Hohai Univ, Minist Educ MOE, Key Lab Coastal Disaster &amp; Def, Nanjing, Peoples R China</t>
  </si>
  <si>
    <t>Hohai University; Hohai University</t>
  </si>
  <si>
    <t>Song, XZ (corresponding author), Hohai Univ, Minist Educ MOE, Coll Oceanog, Nanjing, Peoples R China.;Song, XZ (corresponding author), Hohai Univ, Minist Educ MOE, Key Lab Coastal Disaster &amp; Def, Nanjing, Peoples R China.</t>
  </si>
  <si>
    <t>song@ouc.edu.cn</t>
  </si>
  <si>
    <t>e2020JC016215</t>
  </si>
  <si>
    <t>10.1029/2020JC016215</t>
  </si>
  <si>
    <t>WOS:000549832900030</t>
  </si>
  <si>
    <t>Tarakanov, RY; Morozov, EG; Frey, DI</t>
  </si>
  <si>
    <t>Tarakanov, Roman Y.; Morozov, Eugene G.; Frey, Dmitry, I</t>
  </si>
  <si>
    <t>Hydraulic Continuation of the Abyssal Flow From the Vema Channel in the Southwestern Part of the Brazil Basin</t>
  </si>
  <si>
    <t>Vema channel; Antarctic bottom water; hydraulic control flow</t>
  </si>
  <si>
    <t>ANTARCTIC BOTTOM WATER; BOUNDARY</t>
  </si>
  <si>
    <t>In 2013 and 2018, Shirshov Institute of Oceanology performed 12 stations with conductivity-temperature-depth and lowered acoustic Doppler current profiler (LADCP) profiling in the southwestern part of the Brazil Basin in order to find continuations of hydraulic controlled flow of the coldest Antarctic bottom water that propagates along the deepest bed of the Vema Channel. Comparison of these measurements with the historical database and our previous measurements in the Vema Extension region (27 degrees S, 34 degrees W) showed that such a continuation of the flow does not exist in the valley directed to the east, which seemed to be a topographic extension of the Vema Channel. Continuation of the flow was found over the section at 25 degrees 34 ' S across the meridionally oriented channel (depth up to 4,950 m) approximately along 33 degrees 30 ' W north of the Vema Extension region. Northward velocity speeds exceeding 35 cm/s were measured in the bottom flow (100-150 m thick above the bottom), which is displaced to the western slope of the meridional channel. Transport in the high-speed core (velocity speed greater than 10 cm/s, potential temperature less than 0.62 degrees C) in this channel was estimated at 0.150 +/- 0.007 Sv on the basis of the LADCP measurements. There are several indirect indications of the formation of a local spillway (or a cascade of spillways) here in the regime of hydraulic control overflow.</t>
  </si>
  <si>
    <t>[Tarakanov, Roman Y.; Morozov, Eugene G.; Frey, Dmitry, I] Russian Acad Sci, Shirshov Inst Oceanol, Moscow, Russia</t>
  </si>
  <si>
    <t>Russian Academy of Sciences; Shirshov Institute of Oceanology</t>
  </si>
  <si>
    <t>Tarakanov, RY (corresponding author), Russian Acad Sci, Shirshov Inst Oceanol, Moscow, Russia.</t>
  </si>
  <si>
    <t>rtarakanov@gmail.com</t>
  </si>
  <si>
    <t>Morozov, Eugene G/L-3023-2018; Frey, Dmitry/X-9812-2018; Tarakanov, Roman/R-3325-2016; Frey, Dmitry/AAD-3366-2021</t>
  </si>
  <si>
    <t>Tarakanov, Roman/0000-0002-8711-1859; Frey, Dmitry/0000-0001-8141-9513; Morozov, Eugene/0000-0002-0251-3454</t>
  </si>
  <si>
    <t>Russian Science Foundation [16-17-10149]; [0149-2019-0004]; Russian Science Foundation [19-17-13021] Funding Source: Russian Science Foundation</t>
  </si>
  <si>
    <t>Russian Science Foundation(Russian Science Foundation (RSF)); ; Russian Science Foundation(Russian Science Foundation (RSF))</t>
  </si>
  <si>
    <t>We thank H. van Haren and an anonymous second reviewer for their constructive formal reviews of this paper. This work was supported by the Russian Science Foundation (project 16-17-10149; data analysis) and by the State Assignment theme 0149-2019-0004 (field work). Expeditional data set for this research is available from PANGAEA Data Archiving &amp; Publications (https://doi.pangaea.de/10.1594/PANGAEA/903812).</t>
  </si>
  <si>
    <t>e2020JC016232</t>
  </si>
  <si>
    <t>10.1029/2020JC016232</t>
  </si>
  <si>
    <t>WOS:000549832900006</t>
  </si>
  <si>
    <t>Avila-Jimenez, ML; Burns, G; He, ZL; Zhou, JZ; Hodson, A; Avila-Jimenez, JL; Pearce, D</t>
  </si>
  <si>
    <t>Avila-Jimenez, Maria-Luisa; Burns, Gavin; He, Zhili; Zhou, Jizhong; Hodson, Andrew; Avila-Jimenez, Jose-Luis; Pearce, David</t>
  </si>
  <si>
    <t>Functional Associations and Resilience in Microbial Communities</t>
  </si>
  <si>
    <t>MICROORGANISMS</t>
  </si>
  <si>
    <t>resilience; functional diversity; redundancy; Antarctic bacteria; stability</t>
  </si>
  <si>
    <t>DIVERSITY; GYRB; ECOSYSTEMS; REDUNDANCY; SEQUENCES; RESPONSES; ROLES</t>
  </si>
  <si>
    <t>Microbial communities have inherently high levels of metabolic flexibility and functional redundancy, yet the structure of microbial communities can change rapidly with environmental perturbation. To understand whether such changes observed at the taxonomic level translate into differences at the functional level, we analyzed the structure of taxonomic and functional gene distribution across Arctic and Antarctic locations. Taxonomic diversity (in terms of alpha diversity and species richness) differed significantly with location. However, we found that functional genes distributed evenly across bacterial networks and that this functional distribution was also even across different geographic locations. For example, on average 15% of the functional genes were related to carbon cycling across all bacterial networks, slightly over 21% of the genes were stress-related and only 0.5% of the genes were linked to carbon degradation functions. In such a distribution, each bacterial network includes all of the functional groups distributed following the same proportions. However, the total number of functional genes that is included in each bacterial network differs, with some clusters including many more genes than others. We found that the proportion of times a specific gene must occur to be linked to a specific cluster is 8%, meaning the relationship between the total number of genes in the cluster and the number of genes per function follows a linear pattern: smaller clusters require a gene to appear less frequently to get fixed within the cluster, while larger clusters require higher gene frequencies. We suggest that this mechanism of functional association between equally rare or equally abundant genes could have implications for ecological resilience, as non-dominant genes also associate in fully functioning ecological networks, potentially suggesting that there are always pre-existing functional networks available to exploit new ecological niches (where they can become dominant) as they emerge; for example, in the case of rapid or sudden environmental change. Furthermore, this pattern did not correlate with taxonomic distribution, suggesting that bacteria associate based on functionality and this is independent of its taxonomic position. Our analyses based on ecological networks also showed no clear evidence of recent environmental impact on polar marine microbial communities at the functional level, unless all communities analyzed have changed exactly in the same direction and intensity, which is unlikely given we are comparing areas changing at different rates.</t>
  </si>
  <si>
    <t>[Avila-Jimenez, Maria-Luisa] Univ Ctr Svalbard, Biol Dept, N-9171 Longyearbyen, Norway; [Burns, Gavin; Pearce, David] British Antarctic Survey, Cambridge CB3 0ET, England; [He, Zhili; Zhou, Jizhong] Univ Oklahoma, Inst Environm Genom, Dept Microbiol &amp; Plant Sci, Norman, OK 73019 USA; [He, Zhili] Sun Yat Sen Univ, Environm Microbi Res Ctr, Guangzhou 510006, Peoples R China; [He, Zhili] Sun Yat Sen Univ, Sch Environm Sci &amp; Engn, Southern Marine Sci &amp; Engn Guangdong Lab Zhuhai, Guangzhou 510006, Peoples R China; [Hodson, Andrew] Univ Ctr Svalbard, Geol Dept, N-9171 Longyearbyen, Norway; [Hodson, Andrew] Western Norway Univ Appl Sci, Dept Environm Sci, Royrgata 6, N-6856 Sogndal, Norway; [Avila-Jimenez, Jose-Luis] Univ Cordoba, Dept Informat &amp; Numer Anal, Campus Univ Rabanales,Carretera Nacl 4,Km 396, Cordoba 14014, Spain; [Pearce, David] Northumbria Univ Newcastle UK, Fac Hlth &amp; Life Sci, Dept Appl Sci, Ellison Bldg,Northumberland Rd, Newcastle Upon Tyne NE1 8ST, Tyne &amp; Wear, England; [Avila-Jimenez, Maria-Luisa] MAEditingService, Alnwick NE66 1UG, Northd, England</t>
  </si>
  <si>
    <t>University Centre Svalbard (UNIS); UK Research &amp; Innovation (UKRI); Natural Environment Research Council (NERC); NERC British Antarctic Survey; University of Oklahoma System; University of Oklahoma - Norman; Sun Yat Sen University; Southern Marine Science &amp; Engineering Guangdong Laboratory; Southern Marine Science &amp; Engineering Guangdong Laboratory (Zhuhai); Sun Yat Sen University; University Centre Svalbard (UNIS); Western Norway University of Applied Sciences; Universidad de Cordoba</t>
  </si>
  <si>
    <t>Pearce, D (corresponding author), British Antarctic Survey, Cambridge CB3 0ET, England.;Pearce, D (corresponding author), Northumbria Univ Newcastle UK, Fac Hlth &amp; Life Sci, Dept Appl Sci, Ellison Bldg,Northumberland Rd, Newcastle Upon Tyne NE1 8ST, Tyne &amp; Wear, England.</t>
  </si>
  <si>
    <t>mlavilaj@gmail.com; gavinburns@gmail.com; hezhili@mail.sysu.edu.cn; jzhou@ou.edu; Andrew.Hodson@UNIS.no; jlavilaj@gmail.com; david.pearce@northumbria.ac.uk</t>
  </si>
  <si>
    <t>Jimenez, José Luis Ávila/AAU-5342-2021; He, Zhili/C-2879-2012; Zhou, Jizhong/ACC-8029-2022</t>
  </si>
  <si>
    <t>Jimenez, José Luis Ávila/0000-0001-8006-8256; He, Zhili/0000-0001-8225-7333; Zhou, Jizhong/0000-0003-2014-0564; Avila, Maria/0000-0003-2123-2698; Pearce, David/0000-0001-5292-4596; Hodson, Andrew/0000-0002-1255-7987</t>
  </si>
  <si>
    <t>IPY Kinnvika project; Natural Environment Research Council; NERC [bas0100030] Funding Source: UKRI</t>
  </si>
  <si>
    <t>IPY Kinnvika project; Natural Environment Research Council(UK Research &amp; Innovation (UKRI)Natural Environment Research Council (NERC)); NERC(UK Research &amp; Innovation (UKRI)Natural Environment Research Council (NERC))</t>
  </si>
  <si>
    <t>The Arctic fieldwork was partially supported by the IPY Kinnvika project. Antarctic fieldwork was supported by the Natural Environment Research Council, through Long-term Monitoring and Survey at the British Antarctic Survey.</t>
  </si>
  <si>
    <t>2076-2607</t>
  </si>
  <si>
    <t>Microorganisms</t>
  </si>
  <si>
    <t>10.3390/microorganisms8060951</t>
  </si>
  <si>
    <t>ML3CA</t>
  </si>
  <si>
    <t>WOS:000549347100001</t>
  </si>
  <si>
    <t>Rizzo, C; Conte, A; Azzaro, M; Papale, M; Rappazzo, AC; Battistel, D; Roman, M; Lo Giudice, A; Guglielmin, M</t>
  </si>
  <si>
    <t>Rizzo, Carmen; Conte, Antonella; Azzaro, Maurizio; Papale, Maria; Rappazzo, Alessandro C.; Battistel, Dario; Roman, Marco; Lo Giudice, Angelina; Guglielmin, Mauro</t>
  </si>
  <si>
    <t>Cultivable Bacterial Communities in Brines from Perennially Ice-Covered and Pristine Antarctic Lakes: Ecological and Biotechnological Implications</t>
  </si>
  <si>
    <t>brine lenses; Antarctic cultivable bacteria; contaminants; bioprospecting</t>
  </si>
  <si>
    <t>TERRA-NOVA BAY; NORTHERN VICTORIA LAND; POLYCYCLIC AROMATIC-HYDROCARBONS; POLYCHLORINATED-BIPHENYLS PCBS; PERSISTENT ORGANIC POLLUTANTS; MCMURDO DRY VALLEYS; PSYCHROTROPHIC BACTERIA; ANTIBIOTIC-RESISTANCE; ROSS SEA; ANTIMICROBIAL ACTIVITY</t>
  </si>
  <si>
    <t>The diversity and biotechnological potentialities of bacterial isolates from brines of three Antarctic lakes of the Northern Victoria Land (namely Boulder Clay and Tarn Flat areas) were first explored. Cultivable bacterial communities were analysed mainly in terms of bacterial response to contaminants (i.e., antibiotics and heavy metals) and oxidation of contaminants (i.e., aliphatic and aromatic hydrocarbons and polychlorobiphenyls). Moreover, the biosynthesis of biomolecules (antibiotics, extracellular polymeric substances and enzymes) with applications for human health and environmental protection was assayed. A total of 74 and 141 isolates were retrieved from Boulder Clay and Tarn Flat brines, respectively. Based on 16S rRNA gene sequence similarities, bacterial isolates represented three phyla, namely Proteobacteria (i.e., Gamma- and Alphaproteobacteria), Bacteroidetes and Actinobacteria, with differences encountered among brines. At genus level,Rhodobacter,Pseudomonas,PsychrobacterandLeifsoniamembers were dominant. Results obtained from this study on the physiological and enzymatic features of cold-adapted isolates from Antarctic lake brines provide interesting prospects for possible applications in the biotechnological field through future targeted surveys. Finally, findings on contaminant occurrence and bacterial response suggest that bacteria might be used as bioindicators for tracking human footprints in these remote polar areas.</t>
  </si>
  <si>
    <t>[Rizzo, Carmen] Natl Inst Biol, Dept Marine Biotechnol, Stn Zool Anton Dohrn, I-98167 Messina, Italy; [Conte, Antonella; Lo Giudice, Angelina] Univ Messina, Dept Chem Biol Pharmaceut &amp; Environm Sci, I-98166 Messina, Italy; [Azzaro, Maurizio; Papale, Maria; Rappazzo, Alessandro C.; Lo Giudice, Angelina] Natl Res Council ISP CNR, Inst Polar Sci, I-98122 Messina, Italy; [Battistel, Dario; Roman, Marco] Univ Ca Foscari, Dipartimento Sci Ambientali Informat &amp; Stat, I-30123 Venice, Italy; [Guglielmin, Mauro] Univ Insubria, Dipartimento Sci Teor &amp; Applicate, I-21100 Varese, Italy</t>
  </si>
  <si>
    <t>Stazione Zoologica Anton Dohrn di Napoli; University of Messina; Consiglio Nazionale delle Ricerche (CNR); Istituto di Scienze Polari (ISP-CNR); Universita Ca Foscari Venezia; University of Insubria</t>
  </si>
  <si>
    <t>Lo Giudice, A (corresponding author), Univ Messina, Dept Chem Biol Pharmaceut &amp; Environm Sci, I-98166 Messina, Italy.;Lo Giudice, A (corresponding author), Natl Res Council ISP CNR, Inst Polar Sci, I-98122 Messina, Italy.</t>
  </si>
  <si>
    <t>carmen.rizzo@szn.it; conte.antonella@outlook.com; maurizio.azzaro@cnr.it; mpapale@unime.it; rappale@libero.it; dario.battistel@unive.it; marco.roman@unive.it; angelina.logiudice@cnr.it; mauro.guglielmin@uninsubria.it</t>
  </si>
  <si>
    <t>Roman, Marco/HCI-7752-2022; azzaro, Maurizio/AAE-6784-2019; Rizzo, Carmen/AAA-3075-2022; Rizzo, Carmen/S-6285-2019; Roman, Marco/ABC-7022-2020</t>
  </si>
  <si>
    <t>azzaro, Maurizio/0000-0001-7885-2340; Roman, Marco/0000-0003-1289-8236; Battistel, Dario/0000-0003-4225-4394; Papale, Maria/0000-0002-6013-4436</t>
  </si>
  <si>
    <t>National Antarctic Research Program (PNRA), Italian Ministry of Education and Research [PNRA 2013/AZ1.05, PNRA 2016_00194-A1, PNRA 2018_00186-E]</t>
  </si>
  <si>
    <t>National Antarctic Research Program (PNRA), Italian Ministry of Education and Research</t>
  </si>
  <si>
    <t>This work was supported by grants from the National Antarctic Research Program (PNRA), Italian Ministry of Education and Research (Research Projects PNRA 2013/AZ1.05, PNRA 2016_00194-A1, PNRA 2018_00186-E).</t>
  </si>
  <si>
    <t>10.3390/microorganisms8060819</t>
  </si>
  <si>
    <t>ML1CV</t>
  </si>
  <si>
    <t>WOS:000549213900001</t>
  </si>
  <si>
    <t>Ma, TM; Li, L; Shi, GT; Li, YS</t>
  </si>
  <si>
    <t>Ma, Tianming; Li, Li; Shi, Guitao; Li, Yuansheng</t>
  </si>
  <si>
    <t>Acquisition of Post-Depositional Effects on Stable Isotopes (δ18O and δD) of Snow and Firn at Dome A, East Antarctica</t>
  </si>
  <si>
    <t>WATER</t>
  </si>
  <si>
    <t>water stable isotopes; post-depositional process; sublimation-condensation cycle; diffusion; surface snow</t>
  </si>
  <si>
    <t>NEAR-SURFACE SNOW; ZHONGSHAN STATION; EXPLOSIVE VOLCANISM; ACCUMULATION RATE; WATER ISOTOPES; PRECIPITATION; DIFFUSION; TRAVERSE; O-17-EXCESS; CYCLES</t>
  </si>
  <si>
    <t>Water stable isotopes (delta O-18 and delta D) in Antarctic snow pits and ice cores are extensively applied in paleoclimate reconstruction. However, their interpretation varies over some climate change processes that can alter isotope signals after deposition, especially at sites with a low snow accumulation rate (&lt;30 mm w.e. year(-1)). To investigate post-depositional effects during the archival processes of snow isotopes, we first analyzed delta O-18 and delta D variations in summer precipitation, surface snow and snow pit samples collected at Dome A. Then, the effects of individual post-depositional processes were evaluated from the results of field experiments, spectral analysis and modeling simulations. It was found that the sublimation-condensation cycle and isotopic diffusion were likely the dominant processes that modified the delta O-18 at and under the snow-air interface, respectively. The sublimation-condensation cycle can cause no significant isotopic modification of delta O-18 from field experiments with similar to 3 cm snow. The diffusion process can significantly erase the original seasonal variation of delta O-18 driven by atmospheric temperature, leading to an apparent cycle of similar to 20 cm average wavelength present in the delta O-18 profile. Through the comparison with the artificial isotopic profile, the noise input from the diffusion process was the dominant component in the delta O-18 signal. Although some other processes (such as drifting, ventilation and metamorphism) were not fully considered, the quantitative understanding for the sublimation-condensation and diffusion processes will contribute to the paleoclimate construction using the ice core water isotope records at Dome A.</t>
  </si>
  <si>
    <t>[Ma, Tianming; Li, Li] Tongji Univ, Sch Ocean &amp; Earth Sci, State Key Lab Marine Geol, Shanghai 200092, Peoples R China; [Ma, Tianming; Shi, Guitao; Li, Yuansheng] Polar Res Inst China, Shanghai 200136, Peoples R China; [Shi, Guitao] East China Normal Univ, Sch Geog Sci, Key Lab Geog Informat Sci, Minist Educ, Shanghai 200241, Peoples R China; [Shi, Guitao] East China Normal Univ, State Key Lab Estuarine &amp; Coastal Res, Shanghai 200241, Peoples R China</t>
  </si>
  <si>
    <t>Tongji University; Polar Research Institute of China; East China Normal University; East China Normal University</t>
  </si>
  <si>
    <t>Shi, GT; Li, YS (corresponding author), Polar Res Inst China, Shanghai 200136, Peoples R China.;Shi, GT (corresponding author), East China Normal Univ, Sch Geog Sci, Key Lab Geog Informat Sci, Minist Educ, Shanghai 200241, Peoples R China.;Shi, GT (corresponding author), East China Normal Univ, State Key Lab Estuarine &amp; Coastal Res, Shanghai 200241, Peoples R China.</t>
  </si>
  <si>
    <t>matianming@pric.org.cn; lilitju@tongji.edu.cn; gtshi@geo.ecnu.edu.cn; liyuansheng@pric.org.cn</t>
  </si>
  <si>
    <t>Li, Li/IAQ-0885-2023; Li, Li/AEM-3636-2022; LI, LI/GVS-5344-2022; li, li/HII-4157-2022</t>
  </si>
  <si>
    <t>Shi, Guitao/0000-0003-1702-6322; Ma, Tianming/0000-0001-5908-2846</t>
  </si>
  <si>
    <t>National Science Foundation of China [41922046]; Chinese Polar Environment Comprehensive Investigation &amp; Assessment Programmes [CHINARE-02-02]; State Eleventh Five-year Scientific and Technological Support Project [2006BAB18B00]</t>
  </si>
  <si>
    <t>National Science Foundation of China(National Natural Science Foundation of China (NSFC)); Chinese Polar Environment Comprehensive Investigation &amp; Assessment Programmes; State Eleventh Five-year Scientific and Technological Support Project</t>
  </si>
  <si>
    <t>This research was funded by National Science Foundation of China (Grant No. 41922046), Chinese Polar Environment Comprehensive Investigation &amp; Assessment Programmes (Grant No. CHINARE-02-02) and the State Eleventh Five-year Scientific and Technological Support Project (Grant No. 2006BAB18B00).</t>
  </si>
  <si>
    <t>2073-4441</t>
  </si>
  <si>
    <t>WATER-SUI</t>
  </si>
  <si>
    <t>Water</t>
  </si>
  <si>
    <t>10.3390/w12061707</t>
  </si>
  <si>
    <t>Environmental Sciences; Water Resources</t>
  </si>
  <si>
    <t>Environmental Sciences &amp; Ecology; Water Resources</t>
  </si>
  <si>
    <t>ML4NI</t>
  </si>
  <si>
    <t>WOS:000549444300001</t>
  </si>
  <si>
    <t>Burri, L; Heggen, K; Storsve, AB</t>
  </si>
  <si>
    <t>Burri, Lena; Heggen, Knut; Storsve, Andreas Berg</t>
  </si>
  <si>
    <t>Higher omega-3 index after dietary inclusion of omega-3 phospholipids versus omega-3 triglycerides in Alaskan Huskies</t>
  </si>
  <si>
    <t>VETERINARY WORLD</t>
  </si>
  <si>
    <t>dog; fish oil; krill meal; omega-3 index; phospholipids; triglycerides</t>
  </si>
  <si>
    <t>N-3 FATTY-ACIDS; KRILL OIL; DOCOSAHEXAENOIC ACID; ENERGY HOMEOSTASIS; SLED DOGS; FISH-OIL; SUPPLEMENTATION; MEDIATORS; GENDER; SEX</t>
  </si>
  <si>
    <t>Background and Aim: Numerous studies have found benefits of omega-3 polyunsaturated fatty acids (PUFAs), namely, for eicosapentaenoic acid (EPA) and docosahexaenoic acid (DHA) in dogs. The objective of the present study was to assess the efficacy of dietary inclusion of equal amounts of omega-3 FAs in phospholipid (PL) from krill meal to triglyceride structure from fish oil to increase the omega-3 FA profile in red blood cells (RBCs) in dogs. Materials and Methods: Ten adult Alaskan Huskies of both genders were supplemented with daily 1.7 g EPA and DHA from krill meal for 6 weeks, while another ten dogs received 1.7 g EPA and DHA from fish oil. FA and omega-3 index measurements of the two groups were taken after 0, 3, and 6 weeks for comparison. Results: It was mainly the EPA levels that increased in the krill meal group (from 1.84% to 4.42%) compared to the fish oil group (from 1.90% to 2.46%) (p&lt;0.001), which drove the group differences in the omega-3 index. This resulted in the krill meal group having a mean omega-3 index increase from 3.9 at baseline to 6.3%, which was significantly greater than the increase from 3.9% to 4.7% observed in the fish oil group (p&lt;0.001). Concomitantly, omega-6 PUFAs, such as arachidonic acid and linoleic acid, were reduced in RBC membranes and the omega-6 to omega-3 ratio was significantly more reduced in the krill meal compared to the fish oil group. Conclusion: The results showed that krill meal supplementation was associated with a reduction of omega-6 PUFAs, which compensated for the increased omega-3 index, suggesting that PLs are efficient delivery molecules of omega-3 PUFAs.</t>
  </si>
  <si>
    <t>[Burri, Lena; Heggen, Knut; Storsve, Andreas Berg] Aker BioMarine Antarctic AS, Lysaker, Norway</t>
  </si>
  <si>
    <t>Burri, L (corresponding author), Aker BioMarine Antarctic AS, Lysaker, Norway.</t>
  </si>
  <si>
    <t>lena.burri@akerbiomarine.com; knut.heggen@akerbiomarine.com; andreas.storsve@akerbiomarine.com</t>
  </si>
  <si>
    <t>Anjum, S./AAQ-6299-2021; S., Nazir/GLN-8178-2022</t>
  </si>
  <si>
    <t>GUJARAT</t>
  </si>
  <si>
    <t>STAR, GULSHAN PARK, NH-8A, CHANDRAPUR RD, WANKANER, GUJARAT, 363 621, INDIA</t>
  </si>
  <si>
    <t>0972-8988</t>
  </si>
  <si>
    <t>2231-0916</t>
  </si>
  <si>
    <t>VET WORLD</t>
  </si>
  <si>
    <t>Vet. World</t>
  </si>
  <si>
    <t>10.14202/vetworld.2020.1167-1173</t>
  </si>
  <si>
    <t>Agriculture, Dairy &amp; Animal Science; Veterinary Sciences</t>
  </si>
  <si>
    <t>Agriculture; Veterinary Sciences</t>
  </si>
  <si>
    <t>MJ7LL</t>
  </si>
  <si>
    <t>WOS:000548269100021</t>
  </si>
  <si>
    <t>Zhuang, YP; Jin, HY; Chen, JF; Ren, J; Zhang, Y; Lan, MS; Zhang, TZ; He, JF; Tian, J</t>
  </si>
  <si>
    <t>Zhuang, Yanpei; Jin, Haiyan; Chen, Jianfang; Ren, Jian; Zhang, Yang; Lan, Musheng; Zhang, Tianzhen; He, Jianfeng; Tian, Jun</t>
  </si>
  <si>
    <t>Phytoplankton Community Structure at Subsurface Chlorophyll Maxima on the Western Arctic Shelf: Patterns, Causes, and Ecological Importance</t>
  </si>
  <si>
    <t>JOURNAL OF GEOPHYSICAL RESEARCH-BIOGEOSCIENCES</t>
  </si>
  <si>
    <t>deep chlorophyll maximum; size-fractionated pigments; phytoplankton composition; diatoms; nitrate supply; the Bering-Chukchi shelf</t>
  </si>
  <si>
    <t>EAST CHINA SEA; BERING-SEA; CHUKCHI SEA; CLASS ABUNDANCES; CANADA BASIN; SUMMER; ICE; BEAUFORT; DYNAMICS; LAYERS</t>
  </si>
  <si>
    <t>Subsurface chlorophyll maxima (SCM) layers are becoming more important to the Arctic shelf ecosystem as phytoplankton growing season and ice-free water increase. We measured size-fractionated pigments and environmental variables on the western Arctic shelf during the open-water season in 2014, to study the spatial pattern and mechanisms of the phytoplankton community at the SCM. The SCM layers accumulated approximately 50% of the chlorophylla(Chla) standing stock in the water column, and the contribution increased to &gt;70% for high-biomass areas, suggesting the biological importance of the summer SCM in the shelf ecosystem. The spatial difference in phytoplankton biomass was caused mainly by bioavailable nitrogen concentrations, and the spatial difference in diatom size may be the result of differences in predominant species. High biomass and large diatoms dominated in the SCM layers, making the south and north of the Chukchi shelf a biological hotspot for the ecosystem's food chain and benthos of the western Arctic shelf in summer.</t>
  </si>
  <si>
    <t>[Zhuang, Yanpei; Tian, Jun] Tongji Univ, State Key Lab Marine Geol, Shanghai, Peoples R China; [Zhuang, Yanpei; Jin, Haiyan; Chen, Jianfang; Ren, Jian; Zhang, Yang; Zhang, Tianzhen] Minist Nat Resources, Key Lab Marine Ecosyst Dynam, Inst Oceanog 2, Hangzhou, Peoples R China; [Zhuang, Yanpei; Jin, Haiyan] Southern Marine Sci &amp; Engn Guangdong Lab Zhuhai, Zhuhai, Peoples R China; [Jin, Haiyan; Chen, Jianfang] Minist Nat Resources, State Key Lab Satellite Ocean Environm Dynam, Inst Oceanog 2, Hangzhou, Peoples R China; [Lan, Musheng; He, Jianfeng] Minist Nat Resources, Polar Res Inst China, Shanghai, Peoples R China</t>
  </si>
  <si>
    <t>Tongji University; Ministry of Natural Resources of the People's Republic of China; Southern Marine Science &amp; Engineering Guangdong Laboratory; Southern Marine Science &amp; Engineering Guangdong Laboratory (Zhuhai); Ministry of Natural Resources of the People's Republic of China; Polar Research Institute of China; Ministry of Natural Resources of the People's Republic of China</t>
  </si>
  <si>
    <t>Jin, HY (corresponding author), Minist Nat Resources, Key Lab Marine Ecosyst Dynam, Inst Oceanog 2, Hangzhou, Peoples R China.;Jin, HY (corresponding author), Southern Marine Sci &amp; Engn Guangdong Lab Zhuhai, Zhuhai, Peoples R China.;Jin, HY (corresponding author), Minist Nat Resources, State Key Lab Satellite Ocean Environm Dynam, Inst Oceanog 2, Hangzhou, Peoples R China.</t>
  </si>
  <si>
    <t>jinhaiyan@sio.org.cn</t>
  </si>
  <si>
    <t>Ren, Jian/K-6951-2018</t>
  </si>
  <si>
    <t>Ren, Jian/0000-0002-1889-5661; chen, jian fang/0000-0002-6521-0266; Zhuang, Yanpei/0000-0002-1409-5640</t>
  </si>
  <si>
    <t>National Natural Science Foundation of China [41776205, 41976226, 41941013]; Scientific Research Funds of Second Institute of Oceanography, Ministry of Natural Resources, China [QNYC2003]</t>
  </si>
  <si>
    <t>National Natural Science Foundation of China(National Natural Science Foundation of China (NSFC)); Scientific Research Funds of Second Institute of Oceanography, Ministry of Natural Resources, China</t>
  </si>
  <si>
    <t>This work was supported by National Natural Science Foundation of China (41776205, 41976226, and 41941013); Scientific Research Funds of Second Institute of Oceanography, Ministry of Natural Resources, China (QNYC2003). The data used in this work are available in the Data-sharing Platform of Polar Science (http://www.chinare.org.cn:8000/en/index/) maintained by the Chinese National Arctic &amp; Antarctic Data Center (CN-NADC). The fluorescence and potential density data were downloaded from http://www.chinare.org.cn:8000/en/difDetailPublicDataset/?id=7826.The nutrients data are available from http://www.chinare.org.cn:8000/en/difDetailPublicDataset/? id=7725. The size-fractionated pigments data are available (http://www.chinare.org.cn:8000/en/difDetailMeDataset/?id=9860).We greatly appreciate the help from all crew members of the Xuelong icebreaker during the Arctic Expedition. We acknowledge the IOC Working Group TrendsPO for helpful discussions. We also thank two anonymous reviewers for constructive comments and suggestions.</t>
  </si>
  <si>
    <t>2169-8953</t>
  </si>
  <si>
    <t>2169-8961</t>
  </si>
  <si>
    <t>J GEOPHYS RES-BIOGEO</t>
  </si>
  <si>
    <t>J. Geophys. Res.-Biogeosci.</t>
  </si>
  <si>
    <t>e2019JG005570</t>
  </si>
  <si>
    <t>10.1029/2019JG005570</t>
  </si>
  <si>
    <t>MG3OJ</t>
  </si>
  <si>
    <t>WOS:000545943100008</t>
  </si>
  <si>
    <t>Bracegirdle, TJ; Holmes, CR; Hosking, JS; Marshall, GJ; Osman, M; Patterson, M; Rackow, T</t>
  </si>
  <si>
    <t>Bracegirdle, T. J.; Holmes, C. R.; Hosking, J. S.; Marshall, G. J.; Osman, M.; Patterson, M.; Rackow, T.</t>
  </si>
  <si>
    <t>Improvements in Circumpolar Southern Hemisphere Extratropical Atmospheric Circulation in CMIP6 Compared to CMIP5</t>
  </si>
  <si>
    <t>EARTH AND SPACE SCIENCE</t>
  </si>
  <si>
    <t>EDDY-DRIVEN JET; ANNULAR MODE; CLIMATE-CHANGE; WEST ANTARCTICA; AGULHAS LEAKAGE; SENSITIVITY; OCEAN; VARIABILITY; WESTERLIES; TRENDS</t>
  </si>
  <si>
    <t>One of the major globally relevant systematic biases in previous generations of climate models has been an equatorward bias in the latitude of the Southern Hemisphere (SII) mid-latitude tropospheric eddy driven westerly jet. The far-reaching implications of this for Southern Ocean heat and carbon uptake and Antarctic land and sea ice are key reasons why addressing this bias is a high priority. It is therefore of primary importance to evaluate the representation of the Si! westerly jet in the latest generation of global climate and earth system models that comprise the Coupled Model Intercomparison Project Phase 6 (CMIP6). In this paper we assess the representation of major indices of SH extratropical atmospheric circulation in CMIP6 by comparison against both observations and the previous generation of CMIP5 models. Indices assessed are the latitude and speed of the westerly jet, variability of the Southern Annular Mode (SAM), and representation of the Amundsen Sea Low (ASL). These are calculated from the historical forcing simulations of both CMIP5 and CMTP6 for time periods matching available observational and reanalysis data sets. From the 39 CMIP6 models available at the time of writing there is an overall reduction in the equatorward bias of the annual mean westerly jet from 1.9 degrees in CMIP5 to 0.4 degrees in CMIP6 and from a seasonal perspective the reduction is clearest in austral spring and summer. This is accompanied by a halving of the bias of SAM decorrelation timescales compared to CMIP5. However, no such overall improvements arc evident for the ASL. Plain Language Summary Computer models that simulate the position, strength, and spatio-temporal behavior of winds in the Southern Hemisphere around the continent of Antarctica often show typical errors when compared to reality. This can impact answers to very relevant questions, such as how much heat and carbon are taken up by the ocean or how the sea ice cover will evolve in the future. Here we document how the newly available next generation of global climate models that form the basis for the next Assessment Report of the Intergovernmental Panel on Climate Change (IPCC) performs with respect to observed Southern Hemisphere winds. We also analyze potential improvements compared to the previous generation of computer models. Overall, some important differences to observations (biases) are much smaller than in the previous models (by up to 50%). Other diagnostics are, however, virtually unchanged, which indicates that the improvements are rather limited between model generations. However, our study could help to identify possible reasons for the remaining biases and to further reduce errors in upcoming models.</t>
  </si>
  <si>
    <t>[Bracegirdle, T. J.; Holmes, C. R.; Hosking, J. S.; Marshall, G. J.] British Antarctic Survey, Cambridge, England; [Osman, M.] CONICET UBA, CIMA, Ctr Invest Mar &amp; Atmosfera, Buenos Aires, DF, Argentina; [Patterson, M.] Univ Oxford, Atmospher Ocean &amp; Planetary Phys, Oxford, England; [Rackow, T.] Helmholtz Ctr Polar &amp; Marine Res, Alfred Wegener Inst, Bremerhaven, Germany</t>
  </si>
  <si>
    <t>UK Research &amp; Innovation (UKRI); Natural Environment Research Council (NERC); NERC British Antarctic Survey; Consejo Nacional de Investigaciones Cientificas y Tecnicas (CONICET); University of Buenos Aires; University of Oxford; Helmholtz Association; Alfred Wegener Institute, Helmholtz Centre for Polar &amp; Marine Research</t>
  </si>
  <si>
    <t>Bracegirdle, TJ (corresponding author), British Antarctic Survey, Cambridge, England.</t>
  </si>
  <si>
    <t>tjbra@bas.ac.uk</t>
  </si>
  <si>
    <t>Osman, Marisol/AAV-2379-2020; Rackow, Thomas/AAP-2735-2020; Osman, Marisol/CAE-6713-2022; Hosking, Scott/D-3437-2013</t>
  </si>
  <si>
    <t>Osman, Marisol/0000-0002-6275-1454; Rackow, Thomas/0000-0002-5468-575X; Osman, Marisol/0000-0002-6275-1454; Holmes, Caroline/0000-0002-3134-555X; Hosking, Scott/0000-0002-3646-3504; Marshall, Gareth/0000-0001-8887-7314; Bracegirdle, Thomas/0000-0002-8868-4739; Patterson, Matthew/0000-0002-9484-8410</t>
  </si>
  <si>
    <t>U.K. Natural Environment Research Council (NERC) through the British Antarctic Survey research programme Polar Science for Planet Earth; NERC [NE/N01829X/1, NE/L002612/1]; Scientific Committee on Antarctic Research (SCAR) AntClim21 Scientific Research Programme; WMO CliC; NERC [NE/N018486/1, NE/N01829X/1, bas0100032] Funding Source: UKRI</t>
  </si>
  <si>
    <t>U.K. Natural Environment Research Council (NERC) through the British Antarctic Survey research programme Polar Science for Planet Earth; NERC(UK Research &amp; Innovation (UKRI)Natural Environment Research Council (NERC)); Scientific Committee on Antarctic Research (SCAR) AntClim21 Scientific Research Programme; WMO CliC; NERC(UK Research &amp; Innovation (UKRI)Natural Environment Research Council (NERC))</t>
  </si>
  <si>
    <t>We acknowledge the World Climate Research Programme, which, through its Working Group on Coupled Modelling, coordinated and promoted CMIP5 and CMIP6. We thank the climate modeling groups for producing and making available their model output, the Earth System Grid Federation (ESGF) for archiving the data and providing access, and the multiple funding agencies who support CMIP5, CMIP6, and ESGF. T. J. B., C. R. H., J. S. H., and G. J. M. were supported by the U.K. Natural Environment Research Council (NERC) through the British Antarctic Survey research programme Polar Science for Planet Earth. T. J. B. and C. R. H. were additionally supported by NERC grant NE/N01829X/1. Matthew Patterson was funded by the NERC grant NE/L002612/1. Planning for this manuscript was initiated at a workshop funded by the Scientific Committee on Antarctic Research (SCAR) AntClim21 Scientific Research Programme. WMO CliC are thanked for funding participation of Marisol Osman at this workshop.</t>
  </si>
  <si>
    <t>2333-5084</t>
  </si>
  <si>
    <t>EARTH SPACE SCI</t>
  </si>
  <si>
    <t>Earth Space Sci.</t>
  </si>
  <si>
    <t>UNSP e2019EA001065</t>
  </si>
  <si>
    <t>10.1029/2019EA001065</t>
  </si>
  <si>
    <t>Astronomy &amp; Astrophysics; Geosciences, Multidisciplinary</t>
  </si>
  <si>
    <t>Astronomy &amp; Astrophysics; Geology</t>
  </si>
  <si>
    <t>MG0JS</t>
  </si>
  <si>
    <t>WOS:000545722200003</t>
  </si>
  <si>
    <t>Rohr, T; Harrison, C; Long, MC; Gaube, P; Doney, SC</t>
  </si>
  <si>
    <t>Rohr, Tyler; Harrison, Cheryl; Long, Matthew C.; Gaube, Peter; Doney, Scott C.</t>
  </si>
  <si>
    <t>The Simulated Biological Response to Southern Ocean Eddies via Biological Rate Modification and Physical Transport</t>
  </si>
  <si>
    <t>biogeochemistry; phytoplankton; eddies; southern; ocean; simulation</t>
  </si>
  <si>
    <t>MESOSCALE EDDIES; PHYTOPLANKTON GROWTH; SURFACE CHLOROPHYLL; VARIABILITY; DYNAMICS; MODEL; SEA; MECHANISMS; IRRADIANCE; SIGNATURES</t>
  </si>
  <si>
    <t>We examine the structure and drivers of anomalous phytoplankton biomass in Southern Ocean eddies tracked in a global, multiyear, eddy-resolving, 3-D ocean simulation of the Community Earth System Model. We examine how simulated anticyclones and cyclones differentially modify phytoplankton biomass concentrations, growth rates, and physical transport. On average, cyclones induce negative division rate anomalies that drive negative net population growth rate anomalies, reduce dilution across shallower mixed layers, and advect biomass anomalously downward via eddy-induced Ekman pumping. The opposite is true in anticyclones. Lateral transport is dominated by eddy stirring rather than eddy trapping. The net effect on anomalous biomass can exceed 10-20% of background levels at the regional scale, consistent with observations. Moreover, we find a strong seasonality in the sign and magnitude of regional anomalies and the processes that drive them. The most dramatic seasonal cycle is found in the South Pacific Antarctic Circumpolar Current, where physical and biological processes dominate at different times, modifying biomass in different directions throughout the year. Here, in cyclones, during winter, anomalously shallow mixed layer depths first drive positive surface biomass anomalies via reduced dilution, and later drive positive depth-integrated biomass anomalies via reduced light limitation. During spring, reduced iron availability and elevated grazing rates suppress net population growth rates and drive the largest annual negative surface and depth-integrated biomass anomalies. During summer and fall, lateral stirring and eddy-induced Ekman pumping create small negative surface anomalies but positive depth-integrated anomalies. The same mechanisms drive biomass anomalies in the opposite direction in anticyclones.</t>
  </si>
  <si>
    <t>[Rohr, Tyler; Doney, Scott C.] Woods Hole Oceanog Inst, Dept Marine Chem &amp; Geochem, Woods Hole, MA 02543 USA; [Rohr, Tyler] MIT, Dept Earth &amp; Planetary Sci, 77 Massachusetts Ave, Cambridge, MA 02139 USA; [Harrison, Cheryl] Univ Texas Rio Grande Valley, Sch Earth Environm &amp; Marine Sci, Port Isabel, TX USA; [Harrison, Cheryl] Univ Colorado, Inst Arctic &amp; Alpine Res, Boulder, CO 80309 USA; [Harrison, Cheryl; Long, Matthew C.] Natl Ctr Atmospher Res, POB 3000, Boulder, CO 80307 USA; [Gaube, Peter] Univ Washington, Appl Phys Lab, Seattle, WA 98105 USA; [Doney, Scott C.] Univ Virginia, Dept Environm Sci, Clark Hall, Charlottesville, VA 22903 USA</t>
  </si>
  <si>
    <t>Woods Hole Oceanographic Institution; Massachusetts Institute of Technology (MIT); University of Texas System; University of Texas Rio Grande Valley; University of Colorado System; University of Colorado Boulder; National Center Atmospheric Research (NCAR) - USA; University of Washington; University of Washington Seattle; University of Virginia</t>
  </si>
  <si>
    <t>Rohr, T (corresponding author), Woods Hole Oceanog Inst, Dept Marine Chem &amp; Geochem, Woods Hole, MA 02543 USA.;Rohr, T (corresponding author), MIT, Dept Earth &amp; Planetary Sci, 77 Massachusetts Ave, Cambridge, MA 02139 USA.</t>
  </si>
  <si>
    <t>trohr@mit.edu</t>
  </si>
  <si>
    <t>Doney, Scott/F-9247-2010; Harrison, Cheryl Shannon/IWV-0053-2023; Long, Matthew C/H-4632-2016</t>
  </si>
  <si>
    <t>Doney, Scott/0000-0002-3683-2437; Harrison, Cheryl Shannon/0000-0003-4544-947X; Rohr, Tyler/0000-0001-6599-8068; Gaube, Peter/0000-0002-3282-5803; Long, Matthew/0000-0003-1273-2957</t>
  </si>
  <si>
    <t>National Science Foundation; National Center for Atmospheric Research - National Science Foundation [1852977]; National Aeronautics and Space Administration Ocean Biology and Biogeochemistry Program [NNX14AL86G]; National Science Foundation Polar Programs Award (Antarctic Integrated System Science) [1440435]; National Aeronautics and Space Administration Physical Oceanography program [NNX16AH9G]; National Science Foundation [OCE-1558809]; NASA [NNX14AL86G, 679094] Funding Source: Federal RePORTER</t>
  </si>
  <si>
    <t>National Science Foundation(National Science Foundation (NSF)); National Center for Atmospheric Research - National Science Foundation; National Aeronautics and Space Administration Ocean Biology and Biogeochemistry Program; National Science Foundation Polar Programs Award (Antarctic Integrated System Science); National Aeronautics and Space Administration Physical Oceanography program; National Science Foundation(National Science Foundation (NSF)); NASA(National Aeronautics &amp; Space Administration (NASA))</t>
  </si>
  <si>
    <t>The CESM project is supported primarily by the National Science Foundation. This material is based upon work supported by the National Center for Atmospheric Research, which is a major facility sponsored by the National Science Foundation under Cooperative Agreement 1852977. Computing resources were provided by the Climate Simulation Laboratory at NCAR's Computational and Information Systems Laboratory (CISL). T. R. and S. C. D. acknowledge support from the National Aeronautics and Space Administration Ocean Biology and Biogeochemistry Program (NNX14AL86G) and the National Science Foundation Polar Programs Award 1440435 (Antarctic Integrated System Science) to the Palmer LTER program. P. G. acknowledges support from the National Aeronautics and Space Administration Physical Oceanography program (NNX16AH9G) and the National Science Foundation Award OCE-1558809. Thank you to Hajoon Song and Ivy Frenger for their work that inspired and supported this analysis. Complete observational eddy tracks are available online (http://wombat.coas.oregonstate.edu/eddies/index.html).The code used to track eddies in the model domain can be found at https://github.com/jfaghm/OceanEddies with detailed information publicly available on data: DOI: 10.1038/sdata.2015.28. Complete simulated eddy tracks, along with the complete catalogue of environmental variables and anomalies within these eddies, are available in a.mat data structure at osf.io/cw7qt, DOI 10.17605/OSF.IO/CW7QT. The primary scripts used to filter, plot, and analyze this data, in addition to extensive metadata information, can also be found at osf.io/cw7qt, DOI 10.17605/OSF.IO/CW7QT.</t>
  </si>
  <si>
    <t>e2019GB006385</t>
  </si>
  <si>
    <t>10.1029/2019GB006385</t>
  </si>
  <si>
    <t>MG0ZZ</t>
  </si>
  <si>
    <t>WOS:000545764500001</t>
  </si>
  <si>
    <t>Eddy-Modified Iron, Light, and Phytoplankton Cell Division Rates in the Simulated Southern Ocean</t>
  </si>
  <si>
    <t>Biogeochemistry; Phytoplankton; Eddies; Southern; Ocean; Simulated</t>
  </si>
  <si>
    <t>EARTH SYSTEM MODEL; MESOSCALE EDDIES; GLOBAL OCEAN; SATELLITE-OBSERVATIONS; SURFACE WATERS; CHLOROPHYLL; MECHANISMS; PRODUCTIVITY; VARIABILITY; SIGNATURES</t>
  </si>
  <si>
    <t>We examine the effects of Southern Ocean eddies on phytoplankton cell division rates in a global, multiyear, eddy-resolving, 3-D ocean simulation of the Community Earth System Model. We first identify and track eddies in the simulation and validate their distribution and demographics against observed eddy trajectory characteristics. Next, we examine how simulated cyclones and anticyclones differentially modify iron, light, and ultimately population-specific cell division rates. We use an eddy-centric, depth-averaged framework to explicitly examine the dynamics of the phytoplankton population across the entire water column within an eddy. We find that population-averaged iron availability is elevated in anticyclones throughout the year. The dominant mechanism responsible for vertically transporting iron from depth in anticyclones is eddy-induced Ekman upwelling. During winter, in regions with deep climatological mixed layer depths, anticyclones also induce anomalously deep mixed layer depths, which further supply new iron from depth via an increased upward mixing flux. However, this additional contribution comes at the price of deteriorating light availability as biomass is distributed deeper in the water column. Therefore, even though population-averaged specific division rates are elevated in Southern Ocean anticyclones throughout most of the year, in the winter, severe light stress can dominate relieved iron stress and lead to depressed division rates in some anticyclones, particularly in the deep mixing South Pacific Antarctic Circumpolar Current. The opposite is true in cyclones, which exhibit a consistently symmetric physical and biogeochemical response relative to anticyclones.</t>
  </si>
  <si>
    <t>[Rohr, Tyler; Doney, Scott C.] Woods Hole Oceanog Inst, Dept Marine Chem &amp; Geochem, Woods Hole, MA 02543 USA; [Rohr, Tyler] MIT, Dept Earth &amp; Planetary Sci, 77 Massachusetts Ave, Cambridge, MA 02139 USA; [Harrison, Cheryl] Univ Texas Rio Grande Valley, Sch Earth Environm &amp; Marine Sci, Port Isabel Campus, Port Isabel, TX USA; [Harrison, Cheryl] Univ Colorado, Inst Arctic &amp; Alpine Res, Boulder, CO 80309 USA; [Harrison, Cheryl; Long, Matthew C.] Natl Ctr Atmospher Res, POB 3000, Boulder, CO 80307 USA; [Gaube, Peter] Univ Washington, Appl Phys Lab, Seattle, WA 98105 USA; [Doney, Scott C.] Univ Virginia, Dept Environm Sci, Clark Hall, Charlottesville, VA 22903 USA</t>
  </si>
  <si>
    <t>Long, Matthew C/H-4632-2016; Harrison, Cheryl Shannon/IWV-0053-2023; Doney, Scott/F-9247-2010</t>
  </si>
  <si>
    <t>Harrison, Cheryl Shannon/0000-0003-4544-947X; Doney, Scott/0000-0002-3683-2437; Rohr, Tyler/0000-0001-6599-8068; Long, Matthew/0000-0003-1273-2957; Gaube, Peter/0000-0002-3282-5803</t>
  </si>
  <si>
    <t>National Science Foundation; Office of Science (BER) of the U.S. Department of Energy; National Aeronautics and Space Administration Ocean Biology and Biogeochemistry Program [NNX14AL86G]; National Science Foundation Polar Programs award (Antarctic Integrated System Science) [1440435]; National Aeronautics and Space Administration Physical Oceanography Program [NNX16AH9G]; NASA [679094, NNX14AL86G] Funding Source: Federal RePORTER</t>
  </si>
  <si>
    <t>National Science Foundation(National Science Foundation (NSF)); Office of Science (BER) of the U.S. Department of Energy(United States Department of Energy (DOE)); National Aeronautics and Space Administration Ocean Biology and Biogeochemistry Program; National Science Foundation Polar Programs award (Antarctic Integrated System Science); National Aeronautics and Space Administration Physical Oceanography Program; NASA(National Aeronautics &amp; Space Administration (NASA))</t>
  </si>
  <si>
    <t>The CESM project is supported by the National Science Foundation and the Office of Science (BER) of the U.S. Department of Energy. Computing resources were provided by the Climate Simulation Laboratory at NCAR's Computational and Information Systems Laboratory (CISL), sponsored by the National Science Foundation and other agencies. This research was enabled by CISL compute and storage resources. T. R. and S. C. D. acknowledge support from the National Aeronautics and Space Administration Ocean Biology and Biogeochemistry Program (NNX14AL86G) and the National Science Foundation Polar Programs award 1440435 (Antarctic Integrated System Science) to the Palmer LTER program. P. G. acknowledges support from the National Aeronautics and Space Administration Physical Oceanography Program (NNX16AH9G). Complete observational eddy tracks are available at http://wombat.coas.oregonstate.edu/eddies/index.html.The code used to track eddies in the model domain can be found at https://github.com/jfaghm/OceanEddies with detailed information publically available on sdata: https://doi.org/10.1038/sdata.2015.28.Complete simulated eddy tracks, along with the complete catalogue of environmental variables and anomalies within these eddies, are available in a.mat data structure at osf.io/cw7qt, https://doi.org/10.17605/OSF.IO/CW7QT.The primary scripts used to filter, plot, and analyze this data, in addition to extensive metadata information, can also be found at osf.io/cw7qt, https://doi.org/10.17605/OSF.IO/CW7QT.</t>
  </si>
  <si>
    <t>e2019GB006380</t>
  </si>
  <si>
    <t>10.1029/2019GB006380</t>
  </si>
  <si>
    <t>WOS:000545764500005</t>
  </si>
  <si>
    <t>Ovodenko, VB; Klimenko, MV; Zakharenkova, IE; Oinats, AV; Kotova, DS; Nikolaev, AV; Tyutin, IV; Rogov, DD; Ratovsky, KG; Chugunin, DV; Budnikov, PA; Coxon, JC; Anderson, BJ; Chernyshov, AA</t>
  </si>
  <si>
    <t>Ovodenko, V. B.; Klimenko, M. V.; Zakharenkova, I. E.; Oinats, A. V.; Kotova, D. S.; Nikolaev, A. V.; Tyutin, I. V.; Rogov, D. D.; Ratovsky, K. G.; Chugunin, D. V.; Budnikov, P. A.; Coxon, J. C.; Anderson, B. J.; Chernyshov, A. A.</t>
  </si>
  <si>
    <t>Spatial and Temporal Evolution of Different-Scale Ionospheric Irregularities in Central and East Siberia During the 27-28 May 2017 Geomagnetic Storm</t>
  </si>
  <si>
    <t>SPACE WEATHER-THE INTERNATIONAL JOURNAL OF RESEARCH AND APPLICATIONS</t>
  </si>
  <si>
    <t>field-aligned irregularities; radar auroral backscatter; rate of TEC change; field-aligned currents; E layer; HF absorption</t>
  </si>
  <si>
    <t>FIELD-ALIGNED CURRENTS; REGION COHERENT ECHOES; RADIO-AURORA; ASPECT ANGLE; ASPECT SENSITIVITY; STATISTICAL-MODEL; RADAR BACKSCATTER; MAGNETIC ACTIVITY; SUPERDARN; FLUCTUATIONS</t>
  </si>
  <si>
    <t>We present a multi-instrumental study of ionospheric irregularities of different scales (from tens of centimeters to few kilometers) observed over the Central and East Siberia, Russia, during a moderate-to-strong geomagnetic storm on 27-28 May 2017. From high-frequency (HF) and ultrahigh-frequency (UHF) radar data, we observed an intense auroral backscatter developed right after the initial phase of the geomagnetic storm. Additionally, we examined variations of Global Positioning System (GPS)-based ROT (rate of TEC changes, where TEC is total electron content) for available GPS receivers in the region. Ionosondes, HF, and UHF radar data exhibited a presence of intense multi-scale ionospheric irregularities. We revealed a correlation between different-scale Auroral/Farley-Buneman ionospheric irregularities of the E layer during the geomagnetic storm. The combined analysis showed that an area of intense irregularities is well connected and located slightly equatorward to field-aligned currents (FACs) and auroral oval at different stages of the geomagnetic storm. An increase and equatorward displacement of Region 1 (R1)/Region 2 (R2) FACs leads to appearance and equatorward expansion of ionospheric irregularities. During downward (upward) R1 FAC and upward (downward) R2 FAC, the eastward and upward (westward and downward) E x B drift of ionospheric irregularities occurred. Simultaneous disappearance of UHF/HF auroral backscatter and GPS ROT decrease occurred during a prolonged near noon reversal of R1 and R2 FAC directions that accompanied by R1/R2 FAC degradation and disappearance of high-energy auroral precipitation.</t>
  </si>
  <si>
    <t>[Ovodenko, V. B.; Klimenko, M. V.; Zakharenkova, I. E.; Kotova, D. S.; Chugunin, D. V.; Chernyshov, A. A.] RAS, West Dept Pushkov Inst Terr Magnetism Ionosphere, Kaliningrad, Russia; [Oinats, A. V.; Ratovsky, K. G.] RAS, SB, Inst Solar Terr Phys, Irkutsk, Russia; [Kotova, D. S.] Univ Oslo, Dept Phys, Oslo, Norway; [Nikolaev, A. V.; Rogov, D. D.] Arctic &amp; Antarctic Res Inst, St Petersburg, Russia; [Tyutin, I. V.] JSC Sci Res Inst Long Distance Radiocommun, Moscow, Russia; [Chugunin, D. V.; Chernyshov, A. A.] Russian Acad Sci, Space Res Inst, Moscow, Russia; [Budnikov, P. A.] Fedorov Inst Appl Geophys, Moscow, Russia; [Coxon, J. C.] Univ Southampton, Southampton, Hants, England; [Anderson, B. J.] Johns Hopkins Univ, Appl Phys Lab, Laurel, MD USA</t>
  </si>
  <si>
    <t>Russian Academy of Sciences; Irkutsk Science Centre of the Russian Academy of Sciences; Russian Academy of Sciences; Institute of Solar-Terrestrial Physics of the Siberian Branch of the Russian Academy of Sciences; University of Oslo; Arctic &amp; Antarctic Research Institute; Russian Academy of Sciences; Space Research Institute of the Russian Academy of Sciences; University of Southampton; Johns Hopkins University; Johns Hopkins University Applied Physics Laboratory</t>
  </si>
  <si>
    <t>Klimenko, MV (corresponding author), RAS, West Dept Pushkov Inst Terr Magnetism Ionosphere, Kaliningrad, Russia.</t>
  </si>
  <si>
    <t>maksim.klimenko@mail.ru</t>
  </si>
  <si>
    <t>Chugunin, Dmitry V/J-1260-2018; Coxon, John/AAN-9355-2021; Oinats, Alexey Vladimirovich/A-3239-2014; Kotova, Daria/F-3645-2017; Chernyshov, Alexander A/F-1748-2017; Nikolaev, Alexander/M-8355-2016; Klimenko, Maxim/N-4792-2016</t>
  </si>
  <si>
    <t>Coxon, John/0000-0002-0166-6854; Oinats, Alexey Vladimirovich/0000-0002-1120-870X; Kotova, Daria/0000-0001-9862-6084; Chernyshov, Alexander A/0000-0003-4692-9643; Nikolaev, Alexander/0000-0001-5558-9615; Chugunin, Dmitry/0000-0002-5809-0921; Zakharenkova, Irina/0000-0002-7878-7275; Klimenko, Maxim/0000-0002-7103-6612</t>
  </si>
  <si>
    <t>Russian Science Foundation [17-77-20009]; RFBR [18-05-80004]; Research Council of Norway [267408]; Basic Research program II.12; STFC [ST/R000719/1] Funding Source: UKRI</t>
  </si>
  <si>
    <t>Russian Science Foundation(Russian Science Foundation (RSF)); RFBR(Russian Foundation for Basic Research (RFBR)); Research Council of Norway(Research Council of Norway); Basic Research program II.12; STFC(UK Research &amp; Innovation (UKRI)Science &amp; Technology Facilities Council (STFC))</t>
  </si>
  <si>
    <t>We acknowledge the use of GPS data provided by IGS (ftp://cddis.gsfc.nasa. gov). We thank the AMPERE team and AMPERE Science Center for providing Iridium-derived data products. AMPERE data are available online (via http://ampere.jhuapl.edu.We thank NASA/GSFC's Space Physics Data Facility's OMNIWeb service (https://omniweb.gsfc.nasa.gov/ow_min.html).All other data will be available online (at DOI:10.5281/zenodo.3731320). Works of V. Ovodenko, M. Klimenko, I. Zakharenkova, D. Kotova, D. Chugunin, and A. Chernyshov with morphology of different-scale ionospheric irregularities and its explanation were supported by the Russian Science Foundation Grant 17-77-20009. The reported study of auroral particle precipitation performed by A. Nikolaev and D. Rogov was funded by RFBR Project 18-05-80004. Daria Kotova was partially supported by the Research Council of Norway, Grant 267408. The work of A. Oinats and K. Ratovsky was performed with budgetary funding of Basic Research program II.12. The EKB HF radar observational results were obtained using the equipment of Center for Common Use &lt;&lt; Angara &gt;&gt; (http://ckp-rf.ru/ckp/3056/).</t>
  </si>
  <si>
    <t>1542-7390</t>
  </si>
  <si>
    <t>SPACE WEATHER</t>
  </si>
  <si>
    <t>Space Weather</t>
  </si>
  <si>
    <t>e2019SW002378</t>
  </si>
  <si>
    <t>10.1029/2019SW002378</t>
  </si>
  <si>
    <t>Astronomy &amp; Astrophysics; Geochemistry &amp; Geophysics; Meteorology &amp; Atmospheric Sciences</t>
  </si>
  <si>
    <t>MG0AP</t>
  </si>
  <si>
    <t>WOS:000545698500005</t>
  </si>
  <si>
    <t>Hernández-Pajares, M; Lyu, H; Aragón-Angel, A; Monte-Moreno, E; Liu, JB; An, JC; Jiang, H</t>
  </si>
  <si>
    <t>Hernandez-Pajares, Manuel; Lyu, Haixia; Aragon-Angel, Angela; Monte-Moreno, Enric; Liu, Jingbin; An, Jiachun; Jiang, Hu</t>
  </si>
  <si>
    <t>Polar Electron Content From GPS Data-Based Global Ionospheric Maps: Assessment, Case Studies, and Climatology</t>
  </si>
  <si>
    <t>polar ionosphere; Global Navigation Satellite Systems; global ionospheric maps</t>
  </si>
  <si>
    <t>FLUX-TRANSFER EVENTS; MAGNETIC-FIELD; CLUSTER SPACECRAFT; ANNUAL ASYMMETRY; VTEC MAPS; CAP; PATCHES; TEC; IONIZATION</t>
  </si>
  <si>
    <t>The electron content distribution of the north and south polar ionosphere from 2001 to the beginning of 2019 is analyzed by using the UQRG global ionospheric map (GIM) of vertical total electron content (VTEC), computed every 15 min by UPC-IonSAT with a tomographic-kriging combined technique. We first show that the accuracy of UQRG GIM is slightly better than that of the GIMs of other analysis centers on the whole and also over both poles. Second, we show examples of polar VTEC features in UQRG GIM, previously reported by different authors and with higher-resolution techniques. Third, by means of an unsupervised clustering algorithm, learning vector quantization, we characterize the main features of the ionospheric electron content climatology, separately for the north and south polar regions.</t>
  </si>
  <si>
    <t>[Hernandez-Pajares, Manuel; Lyu, Haixia] UPC IonSAT, Barcelona, Spain; [Hernandez-Pajares, Manuel; Lyu, Haixia] IEEC, Barcelona, Spain; [Aragon-Angel, Angela] European Commiss, Joint Res Ctr JRC, Ispra, Italy; [Monte-Moreno, Enric] UPC TALP, Barcelona, Spain; [Liu, Jingbin] Wuhan Univ, State Key Lab Informat Engn Surveying Mapping &amp; R, Wuhan, Peoples R China; [Liu, Jingbin] Wuhan Univ, Collaborat Innovat Ctr Geospatial Technol, Wuhan, Peoples R China; [Liu, Jingbin] Finnish Geospatial Res Inst, Dept Remote Sensing &amp; Photogrammetry, Masala, Finland; [Liu, Jingbin] Finnish Geospatial Res Inst, Ctr Excellence Laser Scanning Res, Masala, Finland; [An, Jiachun; Jiang, Hu] Wuhan Univ, Chinese Antarctic Ctr Surveying &amp; Mapping, Wuhan, Peoples R China</t>
  </si>
  <si>
    <t>Institut d'Estudis Espacials de Catalunya (IEEC); University of Barcelona; European Commission Joint Research Centre; EC JRC ISPRA Site; Wuhan University; Wuhan University; The National Land Survey of Finland; Finnish Geospatial Research Institute (FGI); The National Land Survey of Finland; Finnish Geospatial Research Institute (FGI); Wuhan University</t>
  </si>
  <si>
    <t>Hernández-Pajares, M (corresponding author), UPC IonSAT, Barcelona, Spain.;Hernández-Pajares, M (corresponding author), IEEC, Barcelona, Spain.</t>
  </si>
  <si>
    <t>manuel.hernandez@upc.edu</t>
  </si>
  <si>
    <t>An, Jiachun/ABG-4275-2020; Aragon-Angel, Angela/JNR-7853-2023; Aragon-Angel, Angela/IWM-5642-2023; Liu, Jingbin/AAE-8803-2020; Hernandez-Pajares, Manuel/O-5338-2017; Monte, Enrique/F-8218-2013</t>
  </si>
  <si>
    <t>Aragon-Angel, Angela/0000-0002-8094-8517; Hernandez-Pajares, Manuel/0000-0002-9687-5850; Liu, Jingbin/0000-0001-6216-0956; Monte, Enrique/0000-0002-4907-0494; Lyu, Haixia/0000-0002-6762-0373</t>
  </si>
  <si>
    <t>POLarGIMs project - European Commission Joint Research Centre (JRC)</t>
  </si>
  <si>
    <t>The UQRG GIMs, baseline of this work, are openly accessible from IGS server (ftp://cddis.gsfc.nasa.gov/gps/products/ionex/YEAR/DOY/uqrgDOY0. YYi.Z) and from UPC server (https://chapman.upc.es/tomion/rapid/YEAR/DOY_YYMMDD.15min/uqrgDOY0.YYi.Z) being YEAR and YY the four-and two-digit year identifiers, MM is month number, DD is day of month, and DOY is the day of year, all of them with leading zeros when needed (see, for instance, ftp://cddis.gsfc.nasa.gov/gps/products/ionex/2002/003/uqrg0030.02i.Z and https://chapman.upc.es/tomion/rapid/2002/003_020103.15min/uqrg0030.02i.Z). Any missing file can be requested from the authors, in particular from Manuel Hernandez-Pajares(manuel.hernandez@upc.edu). This work has been supported by the POLarGIMs project funded by European Commission Joint Research Centre (JRC). We thank the National Space Science Data Center (NSSDC), Space Physics Data Facility (SPDF), and Principal Investigator K. W. Ogilvie at GSFC, A. J. Lazarus at MIT, and A. Aran at Universitat de Barcelona (UB), for the access of IMF data. The first author is very thankful as well with Pere Ramos, who preserved a copy of the LVQ source code developed by MHP in the above-mentioned former astronomical studies. The first author would like to dedicate this work to the memory of his mother, Maria Pajares-Nogales.</t>
  </si>
  <si>
    <t>e2019JA027677</t>
  </si>
  <si>
    <t>10.1029/2019JA027677</t>
  </si>
  <si>
    <t>MF9ZQ</t>
  </si>
  <si>
    <t>WOS:000545696000034</t>
  </si>
  <si>
    <t>Yao, ST; Hamrin, M; Shi, QQ; Yao, ZH; Degeling, AW; Zong, QG; Liu, H; Tian, AM; Liu, J; Hu, HQ; Li, B; Bai, SC; Russell, CT; Giles, BL</t>
  </si>
  <si>
    <t>Yao, S. T.; Hamrin, M.; Shi, Q. Q.; Yao, Z. H.; Degeling, A. W.; Zong, Q. -G.; Liu, H.; Tian, A. M.; Liu, J.; Hu, H. Q.; Li, B.; Bai, S. C.; Russell, C. T.; Giles, B. L.</t>
  </si>
  <si>
    <t>Propagating and Dynamic Properties of Magnetic Dips in the Dayside Magnetosheath: MMS Observations</t>
  </si>
  <si>
    <t>MIRROR MODE STRUCTURES; SOLAR-WIND; CLUSTER OBSERVATIONS; FIELD OBSERVATIONS; ELECTRON DYNAMICS; HOLES; PLASMA; WAVES; INSTABILITY; MAGNETOPAUSE</t>
  </si>
  <si>
    <t>The magnetosheath is inherently complex and rich, exhibiting various kinds of structures and perturbations. It is important to understand how these structures propagate and evolve and how they relate to the perturbations. Here we investigate a kind of magnetosheath structure known as a magnetic dip (MD). As far as we are aware, there have been no previous studies concerning the evolution (contracting or expanding) of these types of structures, and their propagation properties cannot be unambiguously determined. In this study, using Magnetospheric MultiScale (MMS) high-temporal resolution data and multispacecraft analysis methods, we obtain the propagation and dynamic features of a set of MDs. Four different types of MDs are identified: frozen-in, expanding, contracting, and stable-propagating. Significantly, a stable-propagation event is observed with a sunward propagation component. This indicates that the source of the structure in this case is closely associated with the magnetopause, which provides strong support to the contention in earlier research. We further reveal the mechanism leading to the MD contraction or expansion. The motion of the MDs boundary is found closely related with the dynamic pressure. The scale of the contracting and expanding events are typically similar to 5-20 rho(i) (ion gyroradius), significantly smaller than that of frozen-in events (similar to 40 rho(i)). The observations could relate large-scale (more than several tens of rho(i)) and kinetic-scale (less than rho(i)) MDs, by revealing an evolution that spans these different scales, and help us better understand the variation and dynamics of magnetosheath structures and plasmas.</t>
  </si>
  <si>
    <t>[Yao, S. T.; Shi, Q. Q.; Degeling, A. W.; Tian, A. M.; Bai, S. C.] Shandong Univ, Inst Space Sci, Sch Space Sci &amp; Phys, Shandong Key Lab Opt Astron &amp; Solar Terr Environm, Weihai, Peoples R China; [Yao, S. T.; Liu, J.] Chinese Acad Sci, Natl Space Sci Ctr, State Key Lab Space Weather, Beijing, Peoples R China; [Yao, S. T.; Hamrin, M.] Umea Univ, Dept Phys, Umea, Sweden; [Yao, Z. H.] Univ Liege, STAR Inst, Lab Phys Atmospher &amp; Planetaire, Liege, Belgium; [Zong, Q. -G.; Liu, H.] Peking Univ, Sch Earth &amp; Space Sci, Beijing, Peoples R China; [Hu, H. Q.] Polar Res Inst China, SOA Key Lab Polar Sci, Shanghai, Peoples R China; [Li, B.] Wuhan Univ, Chinese Antarctic Ctr Surveying &amp; Mapping, Wuhan, Peoples R China; [Russell, C. T.] Univ Calif Los Angeles, Dept Earth Planetary &amp; Space Sci, Los Angeles, CA USA; [Giles, B. L.] NASA, Goddard Space Flight Ctr, Greenbelt, MD USA</t>
  </si>
  <si>
    <t>Shandong University; Chinese Academy of Sciences; National Space Science Center, CAS; Umea University; University of Liege; Peking University; Polar Research Institute of China; Wuhan University; University of California System; University of California Los Angeles; National Aeronautics &amp; Space Administration (NASA); NASA Goddard Space Flight Center</t>
  </si>
  <si>
    <t>Shi, QQ (corresponding author), Shandong Univ, Inst Space Sci, Sch Space Sci &amp; Phys, Shandong Key Lab Opt Astron &amp; Solar Terr Environm, Weihai, Peoples R China.</t>
  </si>
  <si>
    <t>sqq@sdu.edu.cn</t>
  </si>
  <si>
    <t>Yao, Zhonghua/C-3486-2009; Yao, Shutao/ABG-7012-2021; Zong, Qiugang/L-1920-2018; Degeling, Alexander/F-1091-2016; SHI, QUANQI/M-6959-2015; Giles, Barbara L/J-7393-2017; yao, shutao/IUP-1079-2023; Russell, Christopher T/E-7745-2012; MMS, Science Team NASA/J-5393-2013; Yao, Zhonghua/H-8537-2017</t>
  </si>
  <si>
    <t>Zong, Qiugang/0000-0002-6414-3794; SHI, QUANQI/0000-0001-6835-4751; yao, shutao/0000-0002-6059-2963; Hamrin, Maria/0000-0002-2043-4442; Yao, Zhonghua/0000-0001-6826-2486</t>
  </si>
  <si>
    <t>SNSB [77/14, 271/14, 105/14]; National Natural Science Foundation of China [41774153, 41574157, 41961130382, 41431072]; Specialized Research Fund for State Key Laboratories, the International Space Science Institute (ISSI); PRODEX program; Belgian Federal Science Policy Office; Royal Society [NAF\R1\191047]; Swedish National Space Agency (SNSA) [271/14, 105/14, 105/14] Funding Source: Swedish National Space Agency (SNSA)</t>
  </si>
  <si>
    <t>SNSB(Swedish National Space Agency (SNSA)); National Natural Science Foundation of China(National Natural Science Foundation of China (NSFC)); Specialized Research Fund for State Key Laboratories, the International Space Science Institute (ISSI); PRODEX program; Belgian Federal Science Policy Office(Belgian Federal Science Policy Office); Royal Society(Royal Society); Swedish National Space Agency (SNSA)(Swedish National Space Agency (SNSA))</t>
  </si>
  <si>
    <t>We thank J. Zamanian and P. Norqvist for fruitful discussions. M. H. was supported by the SNSB Grants 77/14, 271/14, and 105/14. Q. S. and S. Y. are supported by National Natural Science Foundation of China (Grants 41774153, 41574157, 41961130382, and 41431072). Project supported by the Specialized Research Fund for State Key Laboratories, the International Space Science Institute (ISSI). We thank the MMS teams and the MMS Science Data Center for the data. The data are available online (https://lasp.colorado.edu/mms/sdc/public/). Z.H. Yao is supported by the PRODEX program managed by ESA in collaboration with the Belgian Federal Science Policy Office. QQS is supported by the Royal Society NAF\R1\191047.</t>
  </si>
  <si>
    <t>e2019JA026736</t>
  </si>
  <si>
    <t>10.1029/2019JA026736</t>
  </si>
  <si>
    <t>WOS:000545696000025</t>
  </si>
  <si>
    <t>Kozdon, R; Penman, DE; Kelly, DC; Zachos, JC; Fournelle, JH; Valley, JW</t>
  </si>
  <si>
    <t>Kozdon, Reinhard; Penman, Donald E.; Kelly, D. C.; Zachos, J. C.; Fournelle, John H.; Valley, J. W.</t>
  </si>
  <si>
    <t>Enhanced Poleward Flux of Atmospheric Moisture to the Weddell Sea Region (ODP Site 690) During the Paleocene-Eocene Thermal Maximum</t>
  </si>
  <si>
    <t>EXTREME PRECIPITATION EVENTS; PLANKTONIC-FORAMINIFERA; SURFACE TEMPERATURE; OCEAN ACIDIFICATION; TERRESTRIAL RECORDS; METHANE HYDRATE; CARBON RELEASE; MG/CA; CLIMATE; MODEL</t>
  </si>
  <si>
    <t>Earth's hydrological cycle was profoundly perturbed by massive carbon emissions during an ancient (56 Ma) global warming event referred to as the Paleocene-Eocene thermal maximum (PETM). One approach to gaining valuable insight into the response of the hydrological cycle is to construct sea-surface salinity (SSS) records that can he used to gauge changes in the rates of evaporation and precipitation during the PETM in such climatically sensitive areas as the circum-Antarctic region. Here, we pair oxygen isotope (delta O-18) and magnesium-calcium (Mg/Ca) measurements to reconstruct PETM sea-surface temperatures (SSTs) and delta O-18 composition of seawater (delta O-18(sw)) at austral Site 690 (Weddell Sea). Several discrepancies emerge between the delta O-18- and Mg/Ca-based SST records, with the latter indicating that the earliest PETM was punctuated by a short-lived similar to 4 degrees C increase in local SSTs. Conversion of the delta O-18(sw) values to SSS reveals a similar to 4 ppt decrease similar to 50 ka after peak PETM warming at Site 690. This negative SSS (delta O-18(sw)) anomaly coincides with a prominent minimum in the planktic foraminifer delta O-18 record published for the Site 690 PETM section. Thus, our revised interpretation posits that this delta O-18 minimum signals a decrease in surface-ocean delta O-18(sw) fostered by a transient increase in mean annual precipitation in the Weddell Sea region. The results of this study corroborate the view that the poleward flux of atmospheric moisture temporarily increased during a distinctive stage of the PETM.</t>
  </si>
  <si>
    <t>[Kozdon, Reinhard] Columbia Univ, Lamont Doherty Earth Observ, Palisades, NY USA; [Penman, Donald E.] Yale Univ, Dept Geol &amp; Geophys, New Haven, CT USA; [Kelly, D. C.; Fournelle, John H.] UW Madison, Dept Geosci, Madison, WI USA; [Zachos, J. C.] UC Santa Cruz, Dept Earth &amp; Planetary Sci, Santa Cruz, CA USA; [Valley, J. W.] UW Madison, Dept Geosci, WiscSIMS, Madison, WI USA</t>
  </si>
  <si>
    <t>Columbia University; Yale University; University of Wisconsin System; University of Wisconsin Madison; University of California System; University of California Santa Cruz; University of Wisconsin System; University of Wisconsin Madison</t>
  </si>
  <si>
    <t>Kozdon, R (corresponding author), Columbia Univ, Lamont Doherty Earth Observ, Palisades, NY USA.</t>
  </si>
  <si>
    <t>rkozdon@ldeo.columbia.edu</t>
  </si>
  <si>
    <t>Valley, John W./B-3466-2011; Zachos, James/A-7674-2008</t>
  </si>
  <si>
    <t>Valley, John W./0000-0003-3530-2722; Kelly, Clay/0000-0002-3241-1635; Zachos, James/0000-0001-8439-1886; Fournelle, John/0000-0001-9689-8852</t>
  </si>
  <si>
    <t>NSF [OCE-1131516, EAR-1658823]; Wisconsin Alumni Research Foundation; University of Wisconsin-Madison</t>
  </si>
  <si>
    <t>NSF(National Science Foundation (NSF)); Wisconsin Alumni Research Foundation; University of Wisconsin-Madison</t>
  </si>
  <si>
    <t>This research was supported by NSF OCE-1131516 and the Wisconsin Alumni Research Foundation to D.C.K. This research used samples provided by the International Ocean Discovery Program (IODP). WiscSIMS is supported by NSF EAR-1658823 and the University of Wisconsin-Madison. Sample mounts were prepared by Brian Hess.</t>
  </si>
  <si>
    <t>UNSP e2019PA003811</t>
  </si>
  <si>
    <t>10.1029/2019PA003811</t>
  </si>
  <si>
    <t>MF9GR</t>
  </si>
  <si>
    <t>WOS:000545646500004</t>
  </si>
  <si>
    <t>Ma, RF; Sépulcre, S; Bassinot, F; Haurine, F; Tisnérat-Laborde, N; Colin, C</t>
  </si>
  <si>
    <t>Ma, Ruifang; Sepulcre, Sophie; Bassinot, Franck; Haurine, Frederic; Tisnerat-Laborde, Nadine; Colin, Christophe</t>
  </si>
  <si>
    <t>North Indian Ocean Circulation Since the Last Deglaciation as Inferred From New Elemental Ratio Records for Benthic ForaminiferaHoeglundina elegans</t>
  </si>
  <si>
    <t>carbonate ion concentration; benthic elemental ratios; AAIW; deglaciation; atmospheric CO2; North Indian Ocean</t>
  </si>
  <si>
    <t>ANTARCTIC INTERMEDIATE WATER; CARBONATE ION; DEEP-OCEAN; GLACIAL MAXIMUM; SOUTHERN-OCEAN; CIBICIDOIDES-WUELLERSTORFI; MG/CA-PALEOTHERMOMETRY; ATLANTIC CLIMATE; OXYGEN ISOTOPES; TEMPERATURE</t>
  </si>
  <si>
    <t>The evolution of intermediate circulation in the northern Indian Ocean since the last deglaciation has been reconstructed from two marine cores located at intermediate depths off the southern tip of India (MD77-191) and in the northern Bay of Bengal (BoB) (MD77-176). Benthic foraminiferal delta C-13, seawater carbonate ion concentration ([CO32-]) estimated from the Sr/Ca, and paleotemperature reconstructed on the basis of the Mg/Li of aragonite benthic speciesHoeglundina eleganswere used to trace the evolution of past intermediate-deepwater masses and to constrain ocean-atmosphere exchanges during the two-stage increase in atmospheric CO(2)across the last deglaciation. The intermediate water [CO32-] was mainly affected by changes in the ocean alkalinity inventory, associated with the modulation of atmospheric CO(2)on glacial-interglacial timescales. Higher benthic foraminiferal delta C-13, depleted [CO32-], and decreased benthic-planktonic(14)C age offsets at intermediate water depths suggest a release of deep-sea CO(2)to the atmosphere through the Antarctic Intermediate Water (AAIW) in the Southern Ocean during the 17-15.2 and 12.6-10.5 cal kyr BP time intervals. In addition, the decreasedH. elegansMg/Li record seems to reflect an increased contribution of cold water mass during the 17-15.2 and 12.6-11.9 cal kyr BP intervals and throughout the Holocene. In contrast, two warm events occurred in the 15-13.3 and 11-10.3 cal kyr BP time intervals. During the late Holocene, a decrease in the intermediate water [CO32-] indicates a contribution to atmospheric CO(2)rise since 8 cal kyr BP, due to the depleted global ocean alkalinity and/or the variations in surface productivity (at least for MD77-191).</t>
  </si>
  <si>
    <t>[Ma, Ruifang; Sepulcre, Sophie; Haurine, Frederic; Colin, Christophe] Univ Paris Saclay, Univ Paris Sud, GEOPS, CNRS, Rue Belvedere, Orsay, France; [Bassinot, Franck; Tisnerat-Laborde, Nadine] CEA CNRS UVSQ, LSCE, IPSL, Gif Sur Yvette, France</t>
  </si>
  <si>
    <t>Universite Paris Cite; Centre National de la Recherche Scientifique (CNRS); Universite Paris Saclay; CEA; Centre National de la Recherche Scientifique (CNRS); Universite Paris Saclay; Universite Paris Cite</t>
  </si>
  <si>
    <t>Ma, RF (corresponding author), Univ Paris Saclay, Univ Paris Sud, GEOPS, CNRS, Rue Belvedere, Orsay, France.</t>
  </si>
  <si>
    <t>maruifang89@hotmail.com</t>
  </si>
  <si>
    <t>Tisnerat Laborde, Nadine/0000-0002-7697-3605; Colin, Christophe/0000-0002-3934-5191; Ma, Ruifang/0000-0002-3873-1445</t>
  </si>
  <si>
    <t>French National Research Agency (Agence Nationale de la Recherche) L-IPSL Project [ANR-10-LABX-0018]; INSU-LEFE-IMAGO-CITRON GLACE project</t>
  </si>
  <si>
    <t>French National Research Agency (Agence Nationale de la Recherche) L-IPSL Project(Agence Nationale de la Recherche (ANR)); INSU-LEFE-IMAGO-CITRON GLACE project</t>
  </si>
  <si>
    <t>The authors wish to thank the reviewers for useful suggestions and discussions during the revision process. The research was funded by the French National Research Agency (Agence Nationale de la Recherche) L-IPSL Project (Grant ANR-10-LABX-0018) and the INSU-LEFE-IMAGO-CITRON GLACE project. Data generated by this study are available at the PANGAEA database (). In addition, ICP-MS settings for elemental ratio determinations are given in Data Set</t>
  </si>
  <si>
    <t>UNSP e2019PA003801</t>
  </si>
  <si>
    <t>10.1029/2019PA003801</t>
  </si>
  <si>
    <t>WOS:000545646500007</t>
  </si>
  <si>
    <t>Lee, B; Haran, M; Fuller, RW; Pollard, D; Keller, K</t>
  </si>
  <si>
    <t>Lee, Ben Seiyon; Haran, Murali; Fuller, Robert W.; Pollard, David; Keller, Klaus</t>
  </si>
  <si>
    <t>A FAST PARTICLE-BASED APPROACH FOR CALIBRATING A 3-D MODEL OF THE ANTARCTIC ICE SHEET</t>
  </si>
  <si>
    <t>ANNALS OF APPLIED STATISTICS</t>
  </si>
  <si>
    <t>Antarctic ice sheet model; computer model calibration; paleoclimate; sequential Monte Carlo; uncertainty quantification</t>
  </si>
  <si>
    <t>SEQUENTIAL MONTE-CARLO; SEA-LEVEL RISE; LATIN HYPERCUBE; PARAMETER-ESTIMATION; INVERSE PROBLEMS; COMPUTER; PLIOCENE; STATE; SENSITIVITY; INFERENCE</t>
  </si>
  <si>
    <t>We consider the scientifically challenging and policy-relevant task of understanding the past and projecting the future dynamics of the Antarctic ice sheet. The Antarctic ice sheet has shown a highly nonlinear threshold response to past climate forcings. Triggering such a threshold response through anthropogenic greenhouse gas emissions would drive drastic and potentially fast sea level rise with important implications for coastal flood risks. Previous studies have combined information from ice sheet models and observations to calibrate model parameters. These studies have broken important new ground but have either adopted simple ice sheet models or have limited the number of parameters to allow for the use of more complex models. These limitations are largely due to the computational challenges posed by calibration as models become more computationally intensive or when the number of parameters increases. Here, we propose a method to alleviate this problem: a fast sequential Monte Carlo method that takes advantage of the massive parallelization afforded by modern high-performance computing systems. We use simulated examples to demonstrate how our sample-based approach provides accurate approximations to the posterior distributions of the calibrated parameters. The drastic reduction in computational times enables us to provide new insights into important scientific questions, for example, the impact of Pliocene era data and prior parameter information on sea level projections. These studies would be computationally prohibitive with other computational approaches for calibration such as Markov chain Monte Carlo or emulation-based methods. We also find considerable differences in the distributions of sea level projections when we account for a larger number of uncertain parameters. For example, based on the same ice sheet model and data set, the 99th percentile of the Antarctic ice sheet contribution to sea level rise in 2300 increases from 6.5 m to 13.1 m when we increase the number of calibrated parameters from three to 11. With previous calibration methods, it would be challenging to go beyond five parameters. This work provides an important next step toward improving the uncertainty quantification of complex, computationally intensive and decision-relevant models.</t>
  </si>
  <si>
    <t>[Lee, Ben Seiyon; Haran, Murali] Penn State Univ, Dept Stat, University Pk, PA 16802 USA; [Fuller, Robert W.; Keller, Klaus] Penn State Univ, Dept Geosci, University Pk, PA 16802 USA; [Pollard, David] Penn State Univ, Earth &amp; Environm Syst Inst, University Pk, PA 16802 USA</t>
  </si>
  <si>
    <t>Lee, B (corresponding author), Penn State Univ, Dept Stat, University Pk, PA 16802 USA.</t>
  </si>
  <si>
    <t>skl5261@psu.edu; mharan@stat.psu.edu; rwf136@psu.edu; pollard@essc.psu.edu; klaus@psu.edu</t>
  </si>
  <si>
    <t>Keller, Klaus/A-6742-2013</t>
  </si>
  <si>
    <t>U.S. Department of Energy, Office of Science, Biological and Environmental Research Program, Earth and Environmental Systems Modeling, MultiSector Dynamics [DE-SC0016162]; National Science Foundation through the Network for Sustainable Climate Risk Management (SCRiM) under NSF cooperative agreement [GEO-1240507]; Penn State Center for Climate Risk Management; Cheyenne; National Science Foundation</t>
  </si>
  <si>
    <t>U.S. Department of Energy, Office of Science, Biological and Environmental Research Program, Earth and Environmental Systems Modeling, MultiSector Dynamics(United States Department of Energy (DOE)); National Science Foundation through the Network for Sustainable Climate Risk Management (SCRiM) under NSF cooperative agreement; Penn State Center for Climate Risk Management; Cheyenne; National Science Foundation(National Science Foundation (NSF))</t>
  </si>
  <si>
    <t>We would like to thank Don Richards, Daniel Gilford, Bob Kopp, Kelsey Ruckert, Vivek Srikrishnans, Robert Ceres, Kristina Rolph, Mahkameh Zarekarizi and Casey Hegelson for useful discussions. This work was partially supported by the U.S. Department of Energy, Office of Science, Biological and Environmental Research Program, Earth and Environmental Systems Modeling, MultiSector Dynamics, Contract No. DE-SC0016162 and by the National Science Foundation through the Network for Sustainable Climate Risk Management (SCRiM) under NSF cooperative agreement GEO-1240507. This study was also cosupported by the Penn State Center for Climate Risk Management. We would like to acknowledge high-performance computing support from Cheyenne (doi:10.5065/D6RX99HX) provided by NCAR's Computational and Information Systems Laboratory, sponsored by the National Science Foundation. Any opinions, findings and conclusions or recommendations expressed in this material are those of the authors and do not necessarily reflect the views of the Department of Energy, the National Science Foundation or other funding entities. Any errors and opinions are, of course, those of the authors. We are not aware of any real or perceived conflicts of interest for any authors.</t>
  </si>
  <si>
    <t>INST MATHEMATICAL STATISTICS</t>
  </si>
  <si>
    <t>CLEVELAND</t>
  </si>
  <si>
    <t>3163 SOMERSET DR, CLEVELAND, OH 44122 USA</t>
  </si>
  <si>
    <t>1932-6157</t>
  </si>
  <si>
    <t>ANN APPL STAT</t>
  </si>
  <si>
    <t>Ann. Appl. Stat.</t>
  </si>
  <si>
    <t>10.1214/19-AOAS1305</t>
  </si>
  <si>
    <t>Statistics &amp; Probability</t>
  </si>
  <si>
    <t>Mathematics</t>
  </si>
  <si>
    <t>MF4UG</t>
  </si>
  <si>
    <t>Green Submitted, Bronze</t>
  </si>
  <si>
    <t>WOS:000545338700005</t>
  </si>
  <si>
    <t>Cunen, C; Walloe, L; Hjort, NL</t>
  </si>
  <si>
    <t>Cunen, Celine; Walloe, Lars; Hjort, Nils Lid</t>
  </si>
  <si>
    <t>FOCUSED MODEL SELECTION FOR LINEAR MIXED MODELS WITH AN APPLICATION TO WHALE ECOLOGY</t>
  </si>
  <si>
    <t>Antarctic minke whale; focused information criterion; FIC plot; linear mixed effects models; model selection</t>
  </si>
  <si>
    <t>BALAENOPTERA-BONAERENSIS; AKAIKE INFORMATION; VARIABLE SELECTION; ENERGY-STORAGE; INFERENCE; CRITERION; DECLINE</t>
  </si>
  <si>
    <t>A central point of disagreement, in certain long-standing discussions about a particular whaling dataset in the Scientific Committee of the International Whaling Commission, has directly involved model selection issues for linear mixed effect models. The biological question under discussion is associated with a clearly defined parameter of primary interest, a focus parameter, which makes model selection with the Focused Information Criterion (FIC) more appropriate than other selection methods. Since the existing FIC methodology has not covered the case of linear mixed effects models, this article sets up the required framework and develops the necessary formulae for the relevant FIC. Our new criterion requires the asymptotic distribution of estimators derived for a given candidate linear mixed model but with behaviour examined under a wider linear mixed model. These results, needed here to build our FIC, also have independent interest.</t>
  </si>
  <si>
    <t>[Cunen, Celine; Hjort, Nils Lid] Univ Oslo, Dept Math, Oslo, Norway; [Walloe, Lars] Univ Oslo, Inst Basic Med Sci, Oslo, Norway</t>
  </si>
  <si>
    <t>University of Oslo; University of Oslo</t>
  </si>
  <si>
    <t>Cunen, C (corresponding author), Univ Oslo, Dept Math, Oslo, Norway.</t>
  </si>
  <si>
    <t>cmlcunen@math.uio.no; lars.walloe@medisin.uio.no; nils@math.uio.no</t>
  </si>
  <si>
    <t>Norwegian Research Council</t>
  </si>
  <si>
    <t>Norwegian Research Council(Research Council of Norway)</t>
  </si>
  <si>
    <t>The work reported on here has been partially funded via the Norwegian Research Council's five-year project FocuStat: Focused Statistical Inference With Complex Data (2014-2018), led by Hjort. The authors thank Kenji Konishi and the other scientists at the Institute of Cetacean Research for obtaining the body condition data of Antarctic minke whale and the IWC Scientific Committee's Data Availability Group (DAG) for facilitating the access to the data. We are also deeply grateful for the comments from several anonymous reviewers.</t>
  </si>
  <si>
    <t>INST MATHEMATICAL STATISTICS-IMS</t>
  </si>
  <si>
    <t>1941-7330</t>
  </si>
  <si>
    <t>10.1214/20-AOAS1331</t>
  </si>
  <si>
    <t>WOS:000545338700016</t>
  </si>
  <si>
    <t>Mackay, M; Yamazaki, S; Lyle, JM; Ogier, EM</t>
  </si>
  <si>
    <t>Mackay, Mary; Yamazaki, Satoshi; Lyle, Jeremy M.; Ogier, Emily M.</t>
  </si>
  <si>
    <t>Determining management preferences in a multimethod consumptive recreational fishery</t>
  </si>
  <si>
    <t>ECOLOGY AND SOCIETY</t>
  </si>
  <si>
    <t>discrete choice experiment; management preferences; recreational fishers</t>
  </si>
  <si>
    <t>CONTINGENT VALUATION; ECOSYSTEM SERVICES; MARINE; SPECIALIZATION</t>
  </si>
  <si>
    <t>Understanding behavioral responses of recreational fishers to management changes is fundamental for effective policy making. However, given the diverse motivations and nonmarket nature of recreational fishing, evaluating fishers' preferences is nontrivial. This study examined fishers' management preferences toward different management tools (i.e., a new measure or a change in the setting for an existing measure) in a highly consumptive recreational fishery. A combination of a discrete choice experiment and an opinion-based survey explored the potential heterogeneity in management preferences in the Tasmanian Rock Lobster fishery. Although the fishery has extensive management in place, further restrictions are required to limit recreational harvest in support of a strategy to achieve a stock rebuilding target. As a diverse fishery, with various fishing methods and a range of activity levels, it is expected that the perceptions of management changes vary across fisher subgroups. A phone survey was used to ask fishers' opinions on how effective different management tools are at restricting catch and if they supported or opposed the tool. Additionally, a discrete choice experiment was used to assess if fishers' utility is associated with a management tool and to what extent fishers are willing to trade a change in one management tool for a change in another. Results show that there are both homogenous and heterogeneous management preferences in the fishery across fisher subgroups. There was consensual aversion by all fisher subgroups toward changes in management settings that directly limit the catch of lobster, including a reduction in daily bag limit and shortened season length. Other changes to management settings, such as an increase in the minimum size limit, have less consensus in preference between fisher groups, and any changes in these tools could differentially impact fisher subgroups. The results from this research can support managers in identifying whether and to what extent intra-sector separation for the purposes of designing and implementing new management measures and settings is warranted, on the basis that it can increase effectiveness of achieving management and the likelihood of maximizing net utility within a fishery.</t>
  </si>
  <si>
    <t>[Mackay, Mary; Yamazaki, Satoshi] Univ Tasmania, Tasmanian Sch Business &amp; Econ, Hobart, Tas, Australia; [Mackay, Mary; Yamazaki, Satoshi; Ogier, Emily M.] Univ Tasmania, Ctr Marine Socioecol, Hobart, Tas, Australia; [Lyle, Jeremy M.; Ogier, Emily M.] Univ Tasmania, Inst Marine &amp; Antarctic Studies, Hobart, Tas, Australia</t>
  </si>
  <si>
    <t>Mackay, M (corresponding author), Univ Tasmania, Tasmanian Sch Business &amp; Econ, Hobart, Tas, Australia.;Mackay, M (corresponding author), Univ Tasmania, Ctr Marine Socioecol, Hobart, Tas, Australia.</t>
  </si>
  <si>
    <t>Lyle, Jeremy M/J-7170-2014; Yamazaki, Satoshi/J-7538-2014</t>
  </si>
  <si>
    <t>Yamazaki, Satoshi/0000-0003-1279-2706; Ogier, Emily/0000-0001-6157-5279</t>
  </si>
  <si>
    <t>Australian Government through the Fisheries Research and Development Corporation; Institute for Marine and Antarctic Studies, University of Tasmania</t>
  </si>
  <si>
    <t>Australian Government through the Fisheries Research and Development Corporation(Fisheries R&amp;D Corp); Institute for Marine and Antarctic Studies, University of Tasmania</t>
  </si>
  <si>
    <t>We thank the recreational fishers for taking part in the phone and discrete choice experiment survey and Fiona Ewing for data management and logistics. Funding for this study was provided by the Australian Government through the Fisheries Research and Development Corporation and the Institute for Marine and Antarctic Studies, University of Tasmania. All data collection was carried out following the guidelines and with the approval of UTAS Human Research Ethics Committee (H0017285).</t>
  </si>
  <si>
    <t>RESILIENCE ALLIANCE</t>
  </si>
  <si>
    <t>WOLFVILLE</t>
  </si>
  <si>
    <t>ACADIA UNIV, BIOLOGY DEPT, WOLFVILLE, NS B0P 1X0, CANADA</t>
  </si>
  <si>
    <t>1708-3087</t>
  </si>
  <si>
    <t>ECOL SOC</t>
  </si>
  <si>
    <t>Ecol. Soc.</t>
  </si>
  <si>
    <t>10.5751/ES-11602-250222</t>
  </si>
  <si>
    <t>Ecology; Environmental Studies</t>
  </si>
  <si>
    <t>MF0IT</t>
  </si>
  <si>
    <t>WOS:000545036900026</t>
  </si>
  <si>
    <t>Santos-Pirath, IM; Walter, LO; Maioral, MF; Philippus, AC; Zatelli, GA; Horta, PA; Colepicolo, P; Falkenberg, MD; Santos-Silva, MC</t>
  </si>
  <si>
    <t>Santos-Pirath, Iris Mattos; Walter, Laura Otto; Maioral, Mariana Franzoni; Philippus, Ana Claudia; Zatelli, Gabriele Andressa; Horta, Paulo Antunes; Colepicolo, Pio; Falkenberg, Miriam De Barcellos; Santos-Silva, Maria Claudia</t>
  </si>
  <si>
    <t>Apoptotic events induced by a natural plastoquinone from the marine alga Desmarestia menziesii in lymphoid neoplasms</t>
  </si>
  <si>
    <t>EXPERIMENTAL HEMATOLOGY</t>
  </si>
  <si>
    <t>NF-KAPPA-B; BROWN-ALGA; INHIBITOR NVP-BKM120; INTERRUPT EXECUTION; DRUG DISCOVERY; CELL-DEATH; DERIVATIVES; PRODUCTS; TOOLS</t>
  </si>
  <si>
    <t>There exists an urgent need for the development of new drugs for the treatment of lymphoid neoplasms. The aim of this study was to evaluate the cytotoxic effect of the marine plastoquinone 9'-hydroxysargaquinone (9'-HSQ), focusing on investigation of the mechanism by which it causes death in lymphoid neoplastic cells. This particular plastoquinone reduced the cell viability of different hematological tumor cell lines in a time-dependent and concentration-dependent manner. Intrinsic apoptosis occurred with time-dependent reduction of mitochondrial membrane potential (42.3 +/- 1.1% of Daudi cells and 18.6 +/- 5.6% of Jurkat cells maintained mitochondrial membrane integrity) and apoptosis-inducing factor release (Daudi: 133.3 +/- 8.1%, Jurkat: 125.7 +/- 6.9%). Extrinsic apoptosis also occurred, as reflected by increased FasR expression (Daudi: 139.5 +/- 7.1%, Jurkat: 126.0 +/- 1.0%). Decreases were observed in the expression of Ki-67 proliferation marker (Daudi: 67.5 +/- 2.5%, Jurkat: 84.3 +/- 3.8%), survivin (Daudi: 66.0 +/- 9.9%, Jurkat: 63.1 +/- 6.0%), and NF-kappa B (0.7 +/- 0.04% in Jurkat cells). Finally, 9 0 -HSQ was cytotoxic to neoplastic cells from patients with different lymphoid neoplasms (IC50 : 4.9 +/- 0.6 to 34.2 +/- 0.4 mmol/L). These results provide new information on the apoptotic mechanisms of 90-HSQ and suggest that it might be a promising alternative for the treatment of lymphoid neoplasms. (c) 2020 ISEH - Society for Hematology and Stem Cells. Published by Elsevier Inc. All rights reserved.</t>
  </si>
  <si>
    <t>[Santos-Pirath, Iris Mattos; Walter, Laura Otto; Maioral, Mariana Franzoni; Santos-Silva, Maria Claudia] Univ Fed Santa Catarina, Clin Anal Dept, Expt Oncol &amp; Hemopath Lab, Florianopolis, SC, Brazil; [Santos-Pirath, Iris Mattos; Walter, Laura Otto; Maioral, Mariana Franzoni; Philippus, Ana Claudia; Zatelli, Gabriele Andressa; Falkenberg, Miriam De Barcellos; Santos-Silva, Maria Claudia] Univ Fed Santa Catarina, Hlth Sci Ctr, Postgrad Program Pharmaceut Sci, Florianopolis, SC, Brazil; [Philippus, Ana Claudia; Horta, Paulo Antunes; Falkenberg, Miriam De Barcellos] Univ Fed Santa Catarina, Dept Pharmaceut Sci, Res Grp Nat &amp; Synthet Marine Prod, Florianopolis, SC, Brazil; [Colepicolo, Pio] Univ Sao Paulo, Dept Chem, Sao Paulo, SP, Brazil</t>
  </si>
  <si>
    <t>Universidade Federal de Santa Catarina (UFSC); Universidade Federal de Santa Catarina (UFSC); Universidade Federal de Santa Catarina (UFSC); Universidade de Sao Paulo</t>
  </si>
  <si>
    <t>Santos-Silva, MC (corresponding author), Univ Fed Santa Catarina, Expt Oncol &amp; Hemopath Lab, BR-88040900 Florianopolis, SC, Brazil.</t>
  </si>
  <si>
    <t>maria.claudia.silva@ufsc.br</t>
  </si>
  <si>
    <t>Horta, Paulo A/L-3092-2015; Walter, Laura Otto/HTP-0740-2023; Santos-Silva, Maria Claudia/N-6564-2013</t>
  </si>
  <si>
    <t>Otto Walter, Laura/0000-0003-3957-619X; Santos-Silva, Maria Claudia/0000-0003-3916-6473</t>
  </si>
  <si>
    <t>Brazilian Antarctic Program (ProAntar); CAPES (Coordenacao de Aperfeicoamento de Pessoal de Nivel Superior-Brazil); CNPq (National Counsel of Technological and Scientific Development-Brazil)</t>
  </si>
  <si>
    <t>Brazilian Antarctic Program (ProAntar); CAPES (Coordenacao de Aperfeicoamento de Pessoal de Nivel Superior-Brazil)(Coordenacao de Aperfeicoamento de Pessoal de Nivel Superior (CAPES)); CNPq (National Counsel of Technological and Scientific Development-Brazil)(Conselho Nacional de Desenvolvimento Cientifico e Tecnologico (CNPQ))</t>
  </si>
  <si>
    <t>We thank the researchers from the Brazilian Antarctic Program (ProAntar) for collaboration and specific funding. Grants and fellowships from CAPES (Coordenacao de Aperfeicoamento de Pessoal de Nivel SuperiorBrazil) supported this study. MCSS is recipient of a Research Fellowship from CNPq (National Counsel of Technological and Scientific Development-Brazil). The results presented are part of the doctorate degree in Pharmacy of IMSP Santos-Pirath.</t>
  </si>
  <si>
    <t>0301-472X</t>
  </si>
  <si>
    <t>1873-2399</t>
  </si>
  <si>
    <t>EXP HEMATOL</t>
  </si>
  <si>
    <t>Exp. Hematol.</t>
  </si>
  <si>
    <t>10.1016/j.exphem.2020.05.003</t>
  </si>
  <si>
    <t>Hematology; Medicine, Research &amp; Experimental</t>
  </si>
  <si>
    <t>Hematology; Research &amp; Experimental Medicine</t>
  </si>
  <si>
    <t>MF9YB</t>
  </si>
  <si>
    <t>WOS:000545691900007</t>
  </si>
  <si>
    <t>Eriksen, M; Borgogno, F; Villarrubia-Gómez, P; Anderson, E; Box, C; Trenholm, N</t>
  </si>
  <si>
    <t>Eriksen, Marcus; Borgogno, Franco; Villarrubia-Gomez, Patricia; Anderson, Emily; Box, Carolynn; Trenholm, Nicole</t>
  </si>
  <si>
    <t>Mitigation strategies to reverse the rising trend of plastics in Polar Regions</t>
  </si>
  <si>
    <t>Arctic; Antarctic; Polar; Microplastic; Marine debris; Plastic</t>
  </si>
  <si>
    <t>SEA-ICE; DEBRIS; WASTE; MICROPLASTICS; MANAGEMENT; INGESTION; FISHERIES; IMPACTS; LITTER; GEAR</t>
  </si>
  <si>
    <t>Plastic marine pollution in the Arctic today illustrates the global distribution of plastic waste of all sizes traveling by wind and waves, entering food chains, and presenting challenges to management and mitigation. While currents move plastics from lower latitudes into the Arctic, significant waste is also generated by remote communities, as well as maritime activities, such as shipping, fishing and tourism, which are increasing their activities as seasonal sea ice diminishes. Mitigation strategies may include monitoring programs of plastic waste abundance and distribution, improved waste management in Arctic communities, Extended Producer Responsibility (EPR) to reverse the transport of waste plastics and packaging from remote communities, incentivized gear recovery of abandoned, lost and discarded fishing gear (ALDFG), gear tagging and tracking, and restricting tourism and employing leave no trace policies. Here we report how these mitigation strategies are employed in the Arctic to minimize plastic waste impacts, and move Arctic communities toward better materials management and circular economic practices. The evidence of harm from waste plastics exacerbated by the ubiquity of plastic marine pollution in all biomes, and the rapid reporting of ecological and social costs, together suggest that we know enough to act quickly to manage and mitigate plastics from all sources to the Arctic.</t>
  </si>
  <si>
    <t>[Eriksen, Marcus; Villarrubia-Gomez, Patricia; Box, Carolynn] 5 Gyres Inst, 5792 Jefferson Blvd, Los Angeles, CA USA; [Borgogno, Franco] European Res Inst, Turin, Italy; [Anderson, Emily] Univ Toronto, Toronto, ON, Canada; [Eriksen, Marcus] Leap Lab, 2122 S Spaulding Ave, Los Angeles, CA 90019 USA; [Trenholm, Nicole] Univ Maryland Baltimore Cty, Baltimore, MD 21228 USA; [Trenholm, Nicole] Ocean Res Project Inc, Annapolis, MD USA</t>
  </si>
  <si>
    <t>University of Toronto; University System of Maryland; University of Maryland Baltimore County</t>
  </si>
  <si>
    <t>Eriksen, M (corresponding author), Leap Lab, 2122 S Spaulding Ave, Los Angeles, CA 90019 USA.</t>
  </si>
  <si>
    <t>marcus@5gyres.org; b.franco@eri.net.in; patty.villarrubia@gmail.com; em.anderson@mail.utoronto.ca; nicolet3@umbc.edu</t>
  </si>
  <si>
    <t>Baum Foundation</t>
  </si>
  <si>
    <t>Financial support throughout this project has been provided by the Baum Foundation to support expeditions, sample collection and analysis (http://thebaumfoundation.org).</t>
  </si>
  <si>
    <t>10.1016/j.envint.2020.105704</t>
  </si>
  <si>
    <t>ME8EI</t>
  </si>
  <si>
    <t>WOS:000544885700009</t>
  </si>
  <si>
    <t>Chen, YM; Zhou, CX; Ai, ST; Liang, Q; Zheng, L; Liu, RX; Lei, HB</t>
  </si>
  <si>
    <t>Chen, Yiming; Zhou, Chunxia; Ai, Songtao; Liang, Qi; Zheng, Lei; Liu, Ruixi; Lei, Haobo</t>
  </si>
  <si>
    <t>Dynamics of Dalk Glacier in East Antarctica Derived from Multisource Satellite Observations Since 2000</t>
  </si>
  <si>
    <t>glacier dynamic; glacier velocity; terminus position; ice rumple; multisource satellite data; Dalk Glacier; Antarctica</t>
  </si>
  <si>
    <t>AMERY ICE SHELF; GROUNDING LINE; OUTLET GLACIER; TOTTEN GLACIER; VELOCITIES; MODEL; BENEATH</t>
  </si>
  <si>
    <t>Monitoring variability in outlet glaciers can improve the understanding of feedbacks associated with calving, ocean thermal forcing, and climate change. In this study, we present a remote-sensing investigation of Dalk Glacier in East Antarctica to analyze its dynamic changes. Terminus positions and surface ice velocities were estimated from Landsat and Sentinel-1 data, and the high-precision Worldview digital elevation model (DEM) was generated to determine the location of the potential ice rumple. We detected the cyclic behavior of glacier terminus changes and similar periodic increases in surface velocity since 2000. The terminus retreated in 2006, 2009, 2010, and 2016 and advanced in other years. The surface velocity of Dalk Glacier has a 5-year cycle with interannual speed-ups in 2007, 2012, and 2017. Our observations show the relationship between velocity changes and terminus variations, as well as the driving role of the ice rumple. Ice velocity often increases after calving events and continuous retreats. The loss of buttressing provided by an ice rumple may be a primary factor for increases in ice velocity. Given the restriction of the ice rumple, the surface velocity remains relatively stable when the glacier advances. The calving events may be linked to the unstable terminus caused by the ice rumple.</t>
  </si>
  <si>
    <t>[Chen, Yiming; Zhou, Chunxia; Ai, Songtao; Liang, Qi; Zheng, Lei; Liu, Ruixi; Lei, Haobo] Wuhan Univ, Chinese Antarctic Ctr Surveying &amp; Mapping, Wuhan 430079, Peoples R China; [Chen, Yiming; Zhou, Chunxia; Ai, Songtao; Liang, Qi; Zheng, Lei; Liu, Ruixi; Lei, Haobo] Minist Nat Resources Peoples Republ China, Key Lab Polar Surveying &amp; Mapping, Wuhan 430079, Peoples R China</t>
  </si>
  <si>
    <t>Wuhan University; Ministry of Natural Resources of the People's Republic of China</t>
  </si>
  <si>
    <t>Zhou, CX (corresponding author), Wuhan Univ, Chinese Antarctic Ctr Surveying &amp; Mapping, Wuhan 430079, Peoples R China.;Zhou, CX (corresponding author), Minist Nat Resources Peoples Republ China, Key Lab Polar Surveying &amp; Mapping, Wuhan 430079, Peoples R China.</t>
  </si>
  <si>
    <t>yimingch@whu.edu.cn; zhoucx@whu.edu.cn; ast@whu.edu.cn; qliang@whu.edu.cn; zhenglei007@whu.edu.cn; liuruixi1113@163.com; nillei@whu.edu.cn</t>
  </si>
  <si>
    <t>ZHOU, Chunxia/AAU-2909-2020; Liang, Qi/AAI-4973-2020; Zheng, Lei/AAU-3788-2020</t>
  </si>
  <si>
    <t>Chen, Yiming/0000-0002-6886-1179; Liang, Qi/0000-0002-6766-9361; Ai, Songtao/0000-0001-6677-3899</t>
  </si>
  <si>
    <t>National Natural Science Foundation of China [41776200, 41531069, 41941010]; National Key Research and Development Program of China [2018YFC1406102]</t>
  </si>
  <si>
    <t>National Natural Science Foundation of China(National Natural Science Foundation of China (NSFC)); National Key Research and Development Program of China</t>
  </si>
  <si>
    <t>This work was funded by the National Natural Science Foundation of China (No. 41776200, 41531069 and 41941010), and the National Key Research and Development Program of China (2018YFC1406102).</t>
  </si>
  <si>
    <t>10.3390/rs12111809</t>
  </si>
  <si>
    <t>MC6LX</t>
  </si>
  <si>
    <t>WOS:000543397000114</t>
  </si>
  <si>
    <t>Watanabe, YY; Ito, K; Kokubun, N; Takahashi, A</t>
  </si>
  <si>
    <t>Watanabe, Yuuki Y.; Ito, Kentaro; Kokubun, Nobuo; Takahashi, Akinori</t>
  </si>
  <si>
    <t>Foraging behavior links sea ice to breeding success in Antarctic penguins</t>
  </si>
  <si>
    <t>SCIENCE ADVANCES</t>
  </si>
  <si>
    <t>LUTZOW-HOLM BAY; ADELIE PENGUINS; POPULATION-CHANGES; MARINE ECOSYSTEM; GROWTH; FOOD</t>
  </si>
  <si>
    <t>Population trends and breeding success variability of Addle penguins, a bioindicator of Antarctic environments, have been attributed to changing sea-ice extents; however, causative mechanisms remain unclear. By electronically tagging 175 penguins in four seasons with contrasting sea-ice conditions, we show that ice-free environments enhance, not deteriorate, foraging efficiencies and breeding success. In an ice-free season, penguins traveled by swimming rather than walking, leading to larger foraging areas, shorter trip durations, and lower energy expenditure than three ice-covered seasons. Freed from the need to find cracks for breathing, dive durations decreased, and more krill were captured per unit dive time, which may also be associated with phytoplankton blooms and increased krill density in the sunlit ice-free water. Consequently, adult body mass, chick growth rates, and breeding success increased. Our findings explain the regional population trends and demonstrate a key link among sea ice, foraging behavior, and reproductive success in this iconic species.</t>
  </si>
  <si>
    <t>[Watanabe, Yuuki Y.; Kokubun, Nobuo; Takahashi, Akinori] Natl Inst Polar Res, Tachikawa, Tokyo 1908518, Japan; [Watanabe, Yuuki Y.; Ito, Kentaro; Kokubun, Nobuo; Takahashi, Akinori] Grad Univ Adv Studies, SOKENDAI, Dept Polar Sci, Tachikawa, Tokyo 1908518, Japan</t>
  </si>
  <si>
    <t>Research Organization of Information &amp; Systems (ROIS); National Institute of Polar Research (NIPR) - Japan; Graduate University for Advanced Studies - Japan</t>
  </si>
  <si>
    <t>Watanabe, YY (corresponding author), Natl Inst Polar Res, Tachikawa, Tokyo 1908518, Japan.;Watanabe, YY (corresponding author), Grad Univ Adv Studies, SOKENDAI, Dept Polar Sci, Tachikawa, Tokyo 1908518, Japan.</t>
  </si>
  <si>
    <t>watanabe.yuuki@nipr.ac.jp</t>
  </si>
  <si>
    <t>Ito, Kentaro/0000-0001-9254-0968</t>
  </si>
  <si>
    <t>JARE; National Institute of Polar Research (NIPR) [KP309]; Japan Society for the Promotion of Science (JSPS) [20310016]; Grants-in-Aid for Scientific Research [20310016] Funding Source: KAKEN</t>
  </si>
  <si>
    <t>JARE; National Institute of Polar Research (NIPR)(National Institute of Polar Research (NIPR) - Japan);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</si>
  <si>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funded by JARE, National Institute of Polar Research (NIPR) Project Research (KP309), and Grants-in-Aids for Scientific Research from the Japan Society for the Promotion of Science (JSPS) (20310016).</t>
  </si>
  <si>
    <t>2375-2548</t>
  </si>
  <si>
    <t>SCI ADV</t>
  </si>
  <si>
    <t>Sci. Adv.</t>
  </si>
  <si>
    <t>eaba4828</t>
  </si>
  <si>
    <t>10.1126/sciadv.aba4828</t>
  </si>
  <si>
    <t>MC8BB</t>
  </si>
  <si>
    <t>WOS:000543504100026</t>
  </si>
  <si>
    <t>Bryson, JFJ; Weiss, BP; Biersteker, JB; King, AJ; Russell, SS</t>
  </si>
  <si>
    <t>Bryson, James F. J.; Weiss, Benjamin P.; Biersteker, John B.; King, Ashley J.; Russell, Sara S.</t>
  </si>
  <si>
    <t>Constraints on the Distances and Timescales of Solid Migration in the Early Solar System from Meteorite Magnetism</t>
  </si>
  <si>
    <t>Meteorites; Magnetic fields; Primordial magnetic fields; Asteroid belt; Kuiper Belt; Protoplanetary disks; Chondrules; Chondrites</t>
  </si>
  <si>
    <t>OXYGEN-ISOTOPE SYSTEMATICS; PROGRESSIVE AQUEOUS ALTERATION; CARBONACEOUS CHONDRITES CI; TAGISH LAKE METEORITE; THERMAL METAMORPHISM; PARENT BODY; ISOLATED FORSTERITE; MODAL MINERALOGY; ORGANIC-MATTER; OLIVINE GRAINS</t>
  </si>
  <si>
    <t>The migrations of solid objects throughout the solar system are thought to have played key roles in disk evolution and planet formation. However, our understanding of these migrations is limited by a lack of quantitative constraints on their timings and distances recovered from laboratory measurements of meteorites. The protoplanetary disk supported a magnetic field that decreased in intensity with heliocentric distance. As such, the formation distances of the parent asteroids of ancient meteorites can potentially be constrained by paleointensity measurements of these samples. Here, we find that the WIS 91600 ungrouped C2 chondrite experienced an ancient field intensity of 4.4 2.8 mu T. Combined with the thermal history of this meteorite, magnetohydrodynamical models suggest the disk field reached 4.4 mu T at similar to 9.8 au, indicating that the WIS 91600 parent body formed in the distal solar system. Because WIS 91600 likely came to Earth from the asteroid belt, our recovered formation distance argues that this body previously traveled from similar to 10 au to 2-3 au, supporting the migration of asteroid-sized bodies throughout the solar system. WIS 91600 also contains chondrules, calcium-aluminum-rich inclusions and amoeboid olivine aggregates, indicating that some primitive millimeter-sized solids that formed in the innermost solar system migrated outward to similar to 10 au within similar to 3-4 Myr of solar system formation. Moreover, the oxygen isotopic compositions of proposed distal meteorites (WIS 91600, Tagish Lake and CI chondrites) argue that the CM, CO, and CR chondrites contain micrometer-scale dust and ice that originated in the distal solar system.</t>
  </si>
  <si>
    <t>[Bryson, James F. J.] Univ Cambridge, Dept Earth Sci, Downing St, Cambridge CB2 3EQ, England; [Bryson, James F. J.; Weiss, Benjamin P.; Biersteker, John B.] MIT, Dept Earth Atmospher &amp; Planetary Sci, 77 Massachusetts Ave, Cambridge, MA 02139 USA; [Bryson, James F. J.] Univ Oxford, Dept Earth Sci, South Parks Rd, Oxford OX1 3AN, England; [King, Ashley J.] Open Univ, Dept Phys Sci, Planetary &amp; Space Sci, Milton Keynes MK7 6AA, Bucks, England; [Russell, Sara S.] Nat Hist Museum, Dept Earth Sci, Cromwell Rd, London SW7 5BD, England</t>
  </si>
  <si>
    <t>University of Cambridge; Massachusetts Institute of Technology (MIT); University of Oxford; Open University - UK; Natural History Museum London</t>
  </si>
  <si>
    <t>Bryson, JFJ (corresponding author), Univ Cambridge, Dept Earth Sci, Downing St, Cambridge CB2 3EQ, England.;Bryson, JFJ (corresponding author), MIT, Dept Earth Atmospher &amp; Planetary Sci, 77 Massachusetts Ave, Cambridge, MA 02139 USA.;Bryson, JFJ (corresponding author), Univ Oxford, Dept Earth Sci, South Parks Rd, Oxford OX1 3AN, England.</t>
  </si>
  <si>
    <t>jfjb2@cam.ac.uk</t>
  </si>
  <si>
    <t>Biersteker, John/0000-0001-5243-241X; Russell, Sara/0000-0001-5531-7847; Bryson, James/0000-0002-5675-8545</t>
  </si>
  <si>
    <t>St. John's College, University of Cambridge; NASA Emerging Worlds program [NNX15AH72G]; NSF; NASA</t>
  </si>
  <si>
    <t>St. John's College, University of Cambridge; NASA Emerging Worlds program; NSF(National Science Foundation (NSF)); NASA(National Aeronautics &amp; Space Administration (NASA))</t>
  </si>
  <si>
    <t>J.F.J.B. acknowledges St. John's College, University of Cambridge for funding. J.F.J.B. and B.P.W. thank the NASA Emerging Worlds program (grant #NNX15AH72G) and Thomas F. Peterson, Jr. for support. We also thank an anonymous reviewer for constructive comments that improved the quality of this manuscript. We would like to thank R. Harrison for assistance in interpreting the FORC diagrams.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paleomagnetic data presented in this paper can be found on the MagIC database (https://www2.earthref.org/MagIC).</t>
  </si>
  <si>
    <t>10.3847/1538-4357/ab91ab</t>
  </si>
  <si>
    <t>MC5WW</t>
  </si>
  <si>
    <t>Green Submitted, Green Published, Bronze</t>
  </si>
  <si>
    <t>WOS:000543357900001</t>
  </si>
  <si>
    <t>Defrance, D; Catry, T; Rajaud, A; Dessay, N; Sultan, B</t>
  </si>
  <si>
    <t>Defrance, Dimitri; Catry, Thibault; Rajaud, Amelie; Dessay, Nadine; Sultan, Benjamin</t>
  </si>
  <si>
    <t>Impacts of Greenland and Antarctic Ice Sheet melt on future Koppen climate zone changes simulated by an atmospheric and oceanic general circulation model</t>
  </si>
  <si>
    <t>APPLIED GEOGRAPHY</t>
  </si>
  <si>
    <t>Climate modeling; Ice sheet melting; Climate change; Koppen classification; IPSL-CM5A-LR</t>
  </si>
  <si>
    <t>MARINE-TERMINATING GLACIERS; SEA-LEVEL RISE; NORTH-ATLANTIC; CMIP5; SHIFTS; PRECIPITATION; PALEOCLIMATE; VARIABILITY; SENSITIVITY; PHYSICS</t>
  </si>
  <si>
    <t>Climate change studies in recent decades have been based on Global Climate Models (GCMs), and the changes in the distribution of climatic regions over time extracted from these models can be represented using the Koppen climatic classification system, which predicts the global distribution of biomes based on monthly precipitation and average temperatures. In this study, the Koppen classification is used to evaluate the impacts of the melting of the Greenland and Antarctic Ice Sheets on GCM simulation results, on regional and global scales. To assess the impacts of accelerated ice sheet melting, an approach is utilized which is based on numerical simulations from the IPSL-CM5A-LR GCM; here, freshwater is introduced near the ice sheets and is superimposed on the RCP8.5 scenario. The changes in the distribution of the Koppen climatic regions under various scenarios (a historical run from observations, RCP8.5, and various examples of polar ice sheet melting) and comparisons between them reveal that major changes will occur on the global scale during the period 2041-2060. The analysis of group shifts within the Koppen classification system reveals that when freshwater from Greenland or Antarctica is introduced into the ocean, the inter-tropical belt undergoes greater change than it does under the RCP8.5 scenario. A focus on sub-group shifts within the Koppen classification system shows that changes in precipitation have major impacts on the climate in the Southern Hemisphere. Further, the changes are more drastic if the freshwater originates from Greenland than from Antarctica or from both locations. However, changes in temperature strongly impact the climate in the Northern Hemisphere and are significantly affected by the melting of the Greenland Ice Sheet. This study highlights the importance of considering ice sheet melting in the modeling of future global climate.</t>
  </si>
  <si>
    <t>[Defrance, Dimitri] Univ Montpellier, INRAE UMR ABsys, 2 Pl Pierre Viala,Batiment 27, F-34060 Montpellier, France; [Defrance, Dimitri; Catry, Thibault; Dessay, Nadine; Sultan, Benjamin] Univ Montpellier, Univ Antilles, Univ Guyane, Univ Reunion,IRD,ESPACE DEV,Maison Teledetect, 500 Rue Jean Francois Breton, F-34090 Montpellier, France; [Rajaud, Amelie] Sorbonne Univ, IPSL, 4 Pl Jussieu, F-75005 Paris, France</t>
  </si>
  <si>
    <t>Universite de Montpellier; INRAE; Institut de Recherche pour le Developpement (IRD); Universite de Montpellier; University of La Reunion; Universite Paris Cite; Sorbonne Universite</t>
  </si>
  <si>
    <t>Defrance, D (corresponding author), Univ Montpellier, SYST, INRA, Montpellier SupAgro,CIRAD,CIHEAM, 2 Pl Pierre Viala,Batiment 27, F-34060 Montpellier, France.</t>
  </si>
  <si>
    <t>dimitri.defrance@ird.fr</t>
  </si>
  <si>
    <t>Sultan, Benjamin/C-8957-2012; Dessay, Nadine/J-9856-2016; Defrance, Dimitri/G-9988-2019</t>
  </si>
  <si>
    <t>Dessay, Nadine/0000-0003-0526-3531; Defrance, Dimitri/0000-0003-1371-294X</t>
  </si>
  <si>
    <t>0143-6228</t>
  </si>
  <si>
    <t>1873-7730</t>
  </si>
  <si>
    <t>APPL GEOGR</t>
  </si>
  <si>
    <t>Appl. Geogr.</t>
  </si>
  <si>
    <t>10.1016/j.apgeog.2020.102216</t>
  </si>
  <si>
    <t>MA4EG</t>
  </si>
  <si>
    <t>WOS:000541867800001</t>
  </si>
  <si>
    <t>Lecomte, KL; Echegoyen, CV; Vignoni, PA; Kopalova, K; Kohler, TJ; Coria, SH; Lirio, JM</t>
  </si>
  <si>
    <t>Lecomte, Karina L.; Echegoyen, Cecilia V.; Vignoni, Paula A.; Kopalova, Katerina; Kohler, Tyler J.; Coria, Silvia H.; Lirio, Juan M.</t>
  </si>
  <si>
    <t>Data set of dissolved major and trace elements from the lacustrine systems of Clearwater Mesa, Antarctica</t>
  </si>
  <si>
    <t>DATA IN BRIEF</t>
  </si>
  <si>
    <t>Water chemistry; Pristine environments; Dissolved trace elements; High latitude lakes</t>
  </si>
  <si>
    <t>This article presents analytical observations on physicochemical parameters and major and trace element concentrations of water, ice, and sediment samples from the lake systems of Clearwater Mesa (CWM), northeast Antarctic Peninsula. Geo-chemical analyses include inductively coupled plasma mass spectrometry (ICP-MS) for cations and trace elements and ion chromatography for anions. Some figures are included (i.e. Piper and Gibbs diagrams) which indicate water classification type and rock-water interactions in CWM, respectively. It also contains PHREEQC software output, listing the chemical speciation for dissolved elements, Saturation Indexes (SI), and modelling outputs. Each lake SI are also illustrated in a figure. Finally, total organic and inorganic carbon (TOC and TIC, respectively) were determined for bottom lake sediments and marginal salt samples. This information will be useful for future research assessing the impacts of anthropogenic pollution and the effects of climate change, providing insights into naturally occurring geochemical processes in a pristine environment, and evaluating geochemical behaviour of dissolved elements in high-latitude hydrological systems. These data correspond to the research article Dissolved major and trace geochemical dynamics in Antarctic Lacustrine Systems [1]. (C) 2020 The Authors. Published by Elsevier Inc.</t>
  </si>
  <si>
    <t>[Lecomte, Karina L.; Echegoyen, Cecilia V.] Univ Nacl Cordoba, CONICET, Ctr Invest Ciencias Tierra CICTERRA, Ave Velez Sarsfield 1611,X5016CGA, Cordoba, Argentina; [Lecomte, Karina L.; Echegoyen, Cecilia V.; Vignoni, Paula A.] Univ Nacl Cordoba, Fac Ciencias Exactas Fis &amp; Nat, Ave Velez Sarsfield 1611,X5016CGA, Cordoba, Argentina; [Vignoni, Paula A.] Potsdam Univ, Inst Geosci, Karl Liebknecht Str 24-25, D-14476 Potsdam, Germany; [Vignoni, Paula A.] German Res Ctr Geosci GFZ, Climate Dynam &amp; Landscape Evolut, D-14473 Potsdam, Germany; [Kopalova, Katerina; Kohler, Tyler J.] Charles Univ Prague, Dept Ecol, Fac Sci, Vinicna 7, Prague 12844 2, Czech Republic; [Coria, Silvia H.; Lirio, Juan M.] Inst Antartico Argentino, 25 Mayo 1143, San Martin, Buenos Aires, Argentina; [Kohler, Tyler J.] Ecole Polytech Fed Lausanne, Stream Biofilm &amp; Ecosyst Res Lab, Sch Architecture Civil &amp; Environm Engn, CH-1015 Lausanne, Switzerland</t>
  </si>
  <si>
    <t>Consejo Nacional de Investigaciones Cientificas y Tecnicas (CONICET); National University of Cordoba; National University of Cordoba; University of Potsdam; Helmholtz Association; Helmholtz-Center Potsdam GFZ German Research Center for Geosciences; Charles University Prague; Instituto Antartico Argentino; Swiss Federal Institutes of Technology Domain; Ecole Polytechnique Federale de Lausanne</t>
  </si>
  <si>
    <t>Lecomte, KL (corresponding author), Univ Nacl Cordoba, CONICET, Ctr Invest Ciencias Tierra CICTERRA, Ave Velez Sarsfield 1611,X5016CGA, Cordoba, Argentina.;Lecomte, KL (corresponding author), Univ Nacl Cordoba, Fac Ciencias Exactas Fis &amp; Nat, Ave Velez Sarsfield 1611,X5016CGA, Cordoba, Argentina.</t>
  </si>
  <si>
    <t>karina.lecomte@unc.edu.ar</t>
  </si>
  <si>
    <t>Kopalová, Kateřina/M-6207-2017; Kohler, Tyler Joe/IUO-5352-2023; Lecomte, Karina/KHD-3796-2024</t>
  </si>
  <si>
    <t>Kohler, Tyler Joe/0000-0001-5137-4844; Vignoni, Paula/0000-0002-9681-4986; Echegoyen, Cecilia/0000-0003-1212-7271; LECOMTE, KARINA LETICIA/0000-0001-6901-0918</t>
  </si>
  <si>
    <t>Instituto Antartico Argentino (IIA) in Antarctica; Agencia Nacional de Promocion Cientifica y Tecnologica (ANPCYT) [PICTO-2010-0096, PICT 2017e2026]; Consejo Nacional de Investigaciones Cientificas y Tecnicas (CONICET, Argentina) [PIP 11220170100088CO]; Universidad Nacional de Cordoba (SeCyT) [336-20180100385-CB]; Charles University Research Centre program [204069]; Direccion Nacional del Antartico (DNA); Consejo Nacional de Investigaciones Cientificas y Tecnicas (CONICET, Argentina, project PUE-CICTERRA 2016)</t>
  </si>
  <si>
    <t>Instituto Antartico Argentino (IIA) in Antarctica; Agencia Nacional de Promocion Cientifica y Tecnologica (ANPCYT)(ANPCyTSpanish Government); Consejo Nacional de Investigaciones Cientificas y Tecnicas (CONICET, Argentina)(Consejo Nacional de Investigaciones Cientificas y Tecnicas (CONICET)); Universidad Nacional de Cordoba (SeCyT)(Secretaria de Ciencia y Tecnologia (SECYT)); Charles University Research Centre program; Direccion Nacional del Antartico (DNA); Consejo Nacional de Investigaciones Cientificas y Tecnicas (CONICET, Argentina, project PUE-CICTERRA 2016)</t>
  </si>
  <si>
    <t>The authors wish to thank Direccion Nacional del Antartico (DNA) and Instituto Antartico Argentino (IIA) for the financial and logistical support in Antarctica. This work was supported by Agencia Nacional de Promocion Cientifica y Tecnologica (ANPCYT projects PICTO-2010-0096 and PICT 2017e2026), by the Consejo Nacional de Investigaciones Cientificas y Tecnicas (CONICET, Argentina, projects PIP 11220170100088CO and PUE-CICTERRA 2016), and by the Universidad Nacional de Cordoba (SeCyT, project 336-20180100385-CB). Authors TJK and KK were further supported by Charles University Research Centre program No. 204069.</t>
  </si>
  <si>
    <t>2352-3409</t>
  </si>
  <si>
    <t>DATA BRIEF</t>
  </si>
  <si>
    <t>Data Brief</t>
  </si>
  <si>
    <t>10.1016/j.dib.2020.105438</t>
  </si>
  <si>
    <t>MA5SW</t>
  </si>
  <si>
    <t>WOS:000541973900037</t>
  </si>
  <si>
    <t>Khan, I; Zhang, HB; Liu, W; Zhang, LP; Peng, F; Chen, YC; Zhang, QB; Zhang, GT; Zhang, WM; Zhang, CS</t>
  </si>
  <si>
    <t>Khan, Imran; Zhang, Haibo; Liu, Wei; Zhang, Liping; Peng, Fang; Chen, Yuchan; Zhang, Qingbo; Zhang, Guangtao; Zhang, Weimin; Zhang, Changsheng</t>
  </si>
  <si>
    <t>Identification and bioactivity evaluation of secondary metabolites from Antarctic-derived Penicillium chrysogenum CCTCC M 2020019</t>
  </si>
  <si>
    <t>RSC ADVANCES</t>
  </si>
  <si>
    <t>MARINE NATURAL-PRODUCTS; A-F; FUNGUS</t>
  </si>
  <si>
    <t>Extracts from Antarctic-derived Penicillium chrysogenum CCTCC M 2020019 showed potent antibacterial bioactivities. We report herein the isolation of chrysonin (1), a new compound containing a pair of enantiomers 6S- and 6R-chrysonin (1a and 1b) featuring an unprecedented eight-membered heterocycle fused with a benzene ring. Compound 2, a mixture consisting of a new zwitterionic compound chrysomamide (2a) and N-[2-trans-(4-hydroxyphenyl) ethenyl] formamide (2b) in a ratio around 1 : 2.8, was isolated together with seven known compounds 3-9. Chemical structures of all compounds were determined by comprehensive spectroscopic analyses. The isolated compounds were evaluated for antimicrobial, cytotoxic and alpha-glucosidase inhibition activities. Chrysonin (1) showed moderate alpha-glucosidase inhibitory activity. The dominant product xanthocillin X (4) displayed potent inhibition activities against Gram-negative pathogens Acinetobacter baumannii, Klebsiella pneumoniae, and Pseudomonas aeruginosa with MIC values at 0.125 mu g mL(-1). Xanthocillins X (4) and Y1 (5) also showed significant cytotoxicities against four cancer cell lines with IC50 values ranging from 0.26 to 5.04 mu M. This study highlights that microorganisms from polar regions are emerging as a new resource for the discovery of natural products combating human pathogens.</t>
  </si>
  <si>
    <t>[Khan, Imran; Zhang, Haibo; Liu, Wei; Zhang, Liping; Zhang, Qingbo; Zhang, Guangtao; Zhang, Changsheng] Chinese Acad Sci, Key Lab Trop Marine Bioresources &amp; Ecol, Guangdong Key Lab Marine Mat Med, RNAM Ctr Marine Microbiol,South China Sea Inst Oc, 164 West Xingang Rd, Guangzhou 510301, Peoples R China; [Khan, Imran] Univ Chinese Acad Sci, Beijing 100049, Peoples R China; [Zhang, Haibo; Zhang, Liping; Zhang, Qingbo; Zhang, Guangtao; Zhang, Changsheng] Southern Marine Sci &amp; Engn Guangdong Lab Guangzho, 1119 Haibin Rd, Guangzhou 511458, Peoples R China; [Liu, Wei] Sun Yat Sen Univ, Sch Marine Sci, South China Sea Resource Exploitat &amp; Protect Coll, Guangzhou 510006, Peoples R China; [Peng, Fang] Wuhan Univ, China Ctr Type Culture Collect, Wuhan 430072, Peoples R China; [Chen, Yuchan; Zhang, Weimin] Guangdong Inst Microbiol, State Key Lab Appl Microbiol Southern China, 100 Cent Xianlie Rd, Guangzhou 510070, Peoples R China</t>
  </si>
  <si>
    <t>Chinese Academy of Sciences; South China Sea Institute of Oceanology, CAS; Chinese Academy of Sciences; University of Chinese Academy of Sciences, CAS; Hong Kong Branch of the Southern Marine Science &amp; Engineering Guangdong Laboratory (Guangzhou); Sun Yat Sen University; Wuhan University; Guangdong Academy of Sciences; Institute of Microbiology, Guangdong Academy of Sciences</t>
  </si>
  <si>
    <t>Zhang, HB; Zhang, CS (corresponding author), Chinese Acad Sci, Key Lab Trop Marine Bioresources &amp; Ecol, Guangdong Key Lab Marine Mat Med, RNAM Ctr Marine Microbiol,South China Sea Inst Oc, 164 West Xingang Rd, Guangzhou 510301, Peoples R China.;Zhang, HB; Zhang, CS (corresponding author), Southern Marine Sci &amp; Engn Guangdong Lab Guangzho, 1119 Haibin Rd, Guangzhou 511458, Peoples R China.</t>
  </si>
  <si>
    <t>zhanghb@scsio.ac.cn; czhang2006@gmail.com</t>
  </si>
  <si>
    <t>Khan, Imran/HZL-1713-2023; Zhang, Chang/HTO-2939-2023; Zhang, Haibo/HLP-9266-2023; Zhang, Guangtao/HIR-5956-2022; Zhang, Changsheng/B-5965-2012</t>
  </si>
  <si>
    <t>Khan, Imran/0000-0003-1256-2679; Zhang, Guangtao/0000-0002-4396-5975; Zhang, Haibo/0000-0003-3796-5095; Zhang, Changsheng/0000-0003-2349-3138</t>
  </si>
  <si>
    <t>National Key Research &amp; Development Program of China [2018YFC1406705, 2018YFC1406704]; National Natural Science Foundation of China (NSFC) [81872778, 41406183]; Key Special Project for Introduced Talents Team of Southern Marine Science and Engineering Guangdong Laboratory (Guangzhou) [GML2019ZD0406]</t>
  </si>
  <si>
    <t>National Key Research &amp; Development Program of China; National Natural Science Foundation of China (NSFC)(National Natural Science Foundation of China (NSFC)); Key Special Project for Introduced Talents Team of Southern Marine Science and Engineering Guangdong Laboratory (Guangzhou)</t>
  </si>
  <si>
    <t>This work was partially supported by the National Key Research &amp; Development Program of China (2018YFC1406705, 2018YFC1406704), National Natural Science Foundation of China (NSFC) (81872778, 41406183), and Key Special Project for Introduced Talents Team of Southern Marine Science and Engineering Guangdong Laboratory (Guangzhou) (GML2019ZD0406). I. K. is an awardee of the UCAS Scholarship for International Students. We thank Professor T. Kurtan (University of Debrecen) for his valuable discussions. We are grateful to Z. Xiao, C. Li, A. Sun, Y. Zhang and X. Ma in analytical facilities of SCSIO for recording spectroscopic data.</t>
  </si>
  <si>
    <t>ROYAL SOC CHEMISTRY</t>
  </si>
  <si>
    <t>THOMAS GRAHAM HOUSE, SCIENCE PARK, MILTON RD, CAMBRIDGE CB4 0WF, CAMBS, ENGLAND</t>
  </si>
  <si>
    <t>2046-2069</t>
  </si>
  <si>
    <t>RSC ADV</t>
  </si>
  <si>
    <t>RSC Adv.</t>
  </si>
  <si>
    <t>JUN 1</t>
  </si>
  <si>
    <t>10.1039/d0ra03529g</t>
  </si>
  <si>
    <t>LY5CR</t>
  </si>
  <si>
    <t>WOS:000540547000036</t>
  </si>
  <si>
    <t>Jun, SY; Kim, JH; Choi, J; Kim, SJ; Kim, BM; An, SI</t>
  </si>
  <si>
    <t>Jun, Sang-Yoon; Kim, Joo-Hong; Choi, Jung; Kim, Seong-Joong; Kim, Baek-Min; An, Soon-Il</t>
  </si>
  <si>
    <t>The internal origin of the west-east asymmetry of Antarctic climate change</t>
  </si>
  <si>
    <t>SEA-ICE TRENDS; SOUTHERN-HEMISPHERE; VARIABILITY; SURFACE; OCEAN; PENINSULA; IMPACTS; NORTH</t>
  </si>
  <si>
    <t>Recent Antarctic surface climate change has been characterized by greater warming trends in West Antarctica than in East Antarctica. Although this asymmetric feature is well recognized, its origin remains poorly understood. Here, by analyzing observation data and multimodel results, we show that a west-east asymmetric internal mode amplified in austral winter originates from the harmony of the atmosphere-ocean coupled feedback off West Antarctica and the Antarctic terrain. The warmer ocean temperature over the West Antarctic sector has positive feedback, with an anomalous upper-tropospheric anticyclonic circulation response centered over West Antarctica, in which the strength of the feedback is controlled by the Antarctic topographic layout and the annual cycle. The current west-east asymmetry of Antarctic surface climate change is undoubtedly of natural origin because no external factors (e.g., orbital or anthropogenic factors) contribute to the asymmetric mode.</t>
  </si>
  <si>
    <t>[Jun, Sang-Yoon; Kim, Joo-Hong; Kim, Seong-Joong] Korea Polar Res Inst, Incheon, South Korea; [Choi, Jung] Seoul Natl Univ, Seoul, South Korea; [Kim, Baek-Min] Pukyong Natl Univ, Busan, South Korea; [An, Soon-Il] Yonsei Univ, Seoul, South Korea</t>
  </si>
  <si>
    <t>Korea Polar Research Institute (KOPRI); Seoul National University (SNU); Pukyong National University; Yonsei University</t>
  </si>
  <si>
    <t>Kim, SJ (corresponding author), Korea Polar Res Inst, Incheon, South Korea.</t>
  </si>
  <si>
    <t>seongjkim@kopri.re.kr</t>
  </si>
  <si>
    <t>AN, SOON-IL/CWF-6596-2022</t>
  </si>
  <si>
    <t>Kim, Seong-joong/0000-0002-6232-8082; Jun, Sang-Yoon/0000-0003-2829-0081</t>
  </si>
  <si>
    <t>Korea Polar Research Institute [PE20070]; National Research Foundation of Korea (NRF) - Korea government (MSIT) [NRF-2018R1A5A1024958]; National Research Foundation of Korea (NRF) - Korea government (MEST) [2019R1A2C1005460]</t>
  </si>
  <si>
    <t>Korea Polar Research Institute(Korea Polar Research Institute of Marine Research Placement (KOPRI)); National Research Foundation of Korea (NRF) - Korea government (MSIT)(National Research Foundation of KoreaMinistry of Science, ICT &amp; Future Planning, Republic of KoreaMinistry of Science &amp; ICT (MSIT), Republic of Korea); National Research Foundation of Korea (NRF) - Korea government (MEST)(Ministry of Education, Science &amp; Technology (MEST), Republic of KoreaNational Research Foundation of KoreaKorean Government)</t>
  </si>
  <si>
    <t>S.-Y.J., J.-H.K., and S.-J.K. were supported by the project PE20070 of the Korea Polar Research Institute. J.C. and S.-I.A. were supported by the National Research Foundation of Korea (NRF) grant funded by the Korea government (MSIT) (NRF-2018R1A5A1024958). B.-M.K. was supported by the National Research Foundation of Korea (NRF) grant funded by the Korea government (MEST) (2019R1A2C1005460).</t>
  </si>
  <si>
    <t>eaaz1490</t>
  </si>
  <si>
    <t>10.1126/sciadv.aaz1490</t>
  </si>
  <si>
    <t>MB0IB</t>
  </si>
  <si>
    <t>WOS:000542291800015</t>
  </si>
  <si>
    <t>Clark, MS</t>
  </si>
  <si>
    <t>Clark, Melody S.</t>
  </si>
  <si>
    <t>Molecular mechanisms of biomineralization in marine invertebrates</t>
  </si>
  <si>
    <t>JOURNAL OF EXPERIMENTAL BIOLOGY</t>
  </si>
  <si>
    <t>Calcification; Calcium carbonate; Climate change; Coral; Mollusc; Urchin</t>
  </si>
  <si>
    <t>CARBONATE SATURATION STATE; SKELETAL ORGANIC MATRIX; PURPLE SEA-URCHIN; OCEAN ACIDIFICATION; CLIMATE-CHANGE; PEARL OYSTER; GLOBAL CONTRIBUTION; KEY MACROMOLECULE; CORAL RESILIENCE; GENE FAMILY</t>
  </si>
  <si>
    <t>Much recent marine research has been directed towards understanding the effects of anthropogenic-induced environmental change on marine biodiversity, particularly for those animals with heavily calcified exoskeletons, such as corals, molluscs and urchins. This is because life in our oceans is becoming more challenging for these animals with changes in temperature, pH and salinity. In the future, it will be more energetically expensive to make marine skeletons and the increasingly corrosive conditions in seawater are expected to result in the dissolution of these external skeletons. However, initial predictions of wide-scale sensitivity are changing as we understand more about the mechanisms underpinning skeletal production (biomineralization). These studies demonstrate the complexity of calcification pathways and the cellular responses of animals to these altered conditions. Factors including parental conditioning, phenotypic plasticity and epigenetics can significantly impact the production of skeletons and thus future population success. This understanding is paralleled by an increase in our knowledge of the genes and proteins involved in biomineralization, particularly in some phyla, such as urchins, molluscs and corals. This Review will provide a broad overview of our current understanding of the factors affecting skeletal production in marine invertebrates. It will focus on the molecular mechanisms underpinning biomineralization and how knowledge of these processes affects experimental design and our ability to predict responses to climate change. Understanding marine biomineralization has many tangible benefits in our changing world, including improvements in conservation and aquaculture and exploitation of natural calcified structure design using biomimicry approaches that are aimed at producing novel biocomposites.</t>
  </si>
  <si>
    <t>[Clark, Melody S.] British Antarctic Survey, Nat Environm Res Council, Madingley Rd, Cambridge CB3 0ET, England</t>
  </si>
  <si>
    <t>Clark, MS (corresponding author), British Antarctic Survey, Nat Environm Res Council, Madingley Rd, Cambridge CB3 0ET, England.</t>
  </si>
  <si>
    <t>Clark, Melody/D-7371-2014</t>
  </si>
  <si>
    <t>Clark, Melody/0000-0002-3442-3824</t>
  </si>
  <si>
    <t>Natural Environment Research Council-UK Research and Innovation (NERC-UKRI); EU-funded CACHE Initial Training Network (ITN) - People Programme (Marie Sklodowska-Curie Actions) of the European Union's Seventh Framework programme FP7/2007-2013/under REA grant [[605051]13]; NERC [bas0100036] Funding Source: UKRI</t>
  </si>
  <si>
    <t>Natural Environment Research Council-UK Research and Innovation (NERC-UKRI); EU-funded CACHE Initial Training Network (ITN) - People Programme (Marie Sklodowska-Curie Actions) of the European Union's Seventh Framework programme FP7/2007-2013/under REA grant; NERC(UK Research &amp; Innovation (UKRI)Natural Environment Research Council (NERC))</t>
  </si>
  <si>
    <t>M.S.C. was supported by core funding to the British Antarctic Survey by Natural Environment Research Council-UK Research and Innovation (NERC-UKRI) and the EU-funded CACHE Initial Training Network (ITN) (https://www.cache-itn.eu/) funded by the People Programme (Marie Sklodowska-Curie Actions) of the European Union's Seventh Framework programme FP7/2007-2013/under REA grant agreement no. [605051]13. Deposited in PMC for immediate release.</t>
  </si>
  <si>
    <t>COMPANY BIOLOGISTS LTD</t>
  </si>
  <si>
    <t>BIDDER BUILDING, STATION RD, HISTON, CAMBRIDGE CB24 9LF, ENGLAND</t>
  </si>
  <si>
    <t>0022-0949</t>
  </si>
  <si>
    <t>1477-9145</t>
  </si>
  <si>
    <t>J EXP BIOL</t>
  </si>
  <si>
    <t>J. Exp. Biol.</t>
  </si>
  <si>
    <t>jeb206961</t>
  </si>
  <si>
    <t>10.1242/jeb.206961</t>
  </si>
  <si>
    <t>MA3WS</t>
  </si>
  <si>
    <t>WOS:000541848100001</t>
  </si>
  <si>
    <t>Kalra, I; Wang, X; Cvetkovska, M; Jeong, J; McHargue, W; Zhang, R; Hüner, N; Yuan, JS; Morgan-Kiss, R</t>
  </si>
  <si>
    <t>Kalra, Isha; Wang, Xin; Cvetkovska, Marina; Jeong, Jooyeon; McHargue, William; Zhang, Ru; Huner, Norman; Yuan, Joshua S.; Morgan-Kiss, Rachael</t>
  </si>
  <si>
    <t>Chlamydomonassp. UWO 241 Exhibits High Cyclic Electron Flow and Rewired Metabolism under High Salinity1[OPEN]</t>
  </si>
  <si>
    <t>PHOTOSYSTEM-I; ANTARCTIC PSYCHROPHILE; GREEN-ALGA; CHLOROPHYLL FLUORESCENCE; ENERGY-DISTRIBUTION; PHOTOSYNTHESIS; ACCLIMATION; LIGHT; RAUDENSIS; PLASTICITY</t>
  </si>
  <si>
    <t>High cyclic electron flow is associated with photoprotection, up-regulation of carbon fixation, and shikimate pathways in the halotolerant psychrophile, Chlamydomonas sp. UWO 241. The Antarctic green algaChlamydomonassp. UWO 241 (UWO 241) is adapted to permanent low temperatures, hypersalinity, and extreme shade. One of the most striking phenotypes of UWO 241 is an altered PSI organization and constitutive PSI cyclic electron flow (CEF). To date, little attention has been paid to CEF during long-term stress acclimation, and the consequences of sustained CEF in UWO 241 are not known. In this study, we combined photobiology, proteomics, and metabolomics to understand the underlying role of sustained CEF in high-salinity stress acclimation. High salt-grown UWO 241 exhibited increased thylakoid proton motive flux and an increased capacity for nonphotochemical quenching. Under high salt, a significant proportion of the up-regulated enzymes were associated with the Calvin-Benson-Bassham cycle, carbon storage metabolism, and protein translation. Two key enzymes of the shikimate pathway, 3-deoxy-d-arabinoheptulosonate 7-phosphate synthase and chorismate synthase, were also up-regulated, as well as indole-3-glycerol phosphate synthase, an enzyme involved in the biosynthesis ofl-Trp and indole acetic acid. In addition, several compatible solutes (glycerol, Pro, and Suc) accumulated to high levels in high salt-grown UWO 241 cultures. We suggest that UWO 241 maintains constitutively high CEF through the associated PSI-cytochromeb(6)fsupercomplex to support robust growth and strong photosynthetic capacity under a constant growth regime of low temperatures and high salinity.</t>
  </si>
  <si>
    <t>[Kalra, Isha; Wang, Xin; Morgan-Kiss, Rachael] Miami Univ, Dept Microbiol, Oxford, OH 45056 USA; [Cvetkovska, Marina] Univ Ottawa, Dept Biol, Ottawa, ON K1N 6N5, Canada; [Jeong, Jooyeon; McHargue, William; Zhang, Ru] Donald Danforth Plant Sci Ctr, St Louis, MO 63132 USA; [Huner, Norman] Univ Western Ontario, Dept Biol, London, ON N6A 3K7, Canada; [Huner, Norman] Univ Western Ontario, Biotron Ctr Expt Climate Change, London, ON N6A 3K7, Canada; [Yuan, Joshua S.] Texas A&amp;M Univ, Dept Plant Pathol &amp; Microbiol, College Stn, TX 77840 USA</t>
  </si>
  <si>
    <t>University System of Ohio; Miami University; University of Ottawa; Donald Danforth Plant Science Center; Western University (University of Western Ontario); Western University (University of Western Ontario); Texas A&amp;M University System; Texas A&amp;M University College Station</t>
  </si>
  <si>
    <t>Morgan-Kiss, R (corresponding author), Miami Univ, Dept Microbiol, Oxford, OH 45056 USA.</t>
  </si>
  <si>
    <t>morganr2@miamioh.edu</t>
  </si>
  <si>
    <t>Zhang, Ru/Q-1313-2016; Wang, Xin/B-6258-2015</t>
  </si>
  <si>
    <t>WANG, XIN/0000-0002-7174-3042; Huner, Norman/0000-0001-8723-6961; Jeong, Jooyeon/0009-0008-6882-8396; Morgan-kiss, Rachael/0000-0003-4783-5358; Kalra, Isha/0000-0002-6185-9893; McHargue, William/0000-0001-5411-0473; Cvetkovska, Marina/0000-0002-7080-8203</t>
  </si>
  <si>
    <t>National Science Foundation [1637708]; U.S. Department of Energy [DE-SC0019138, DE-SC0019464]; Donald Danforth Plant Science Center startup fund; U.S. Department of Energy (DOE) [DE-SC0019138, DE-SC0019464] Funding Source: U.S. Department of Energy (DOE)</t>
  </si>
  <si>
    <t>National Science Foundation(National Science Foundation (NSF)); U.S. Department of Energy(United States Department of Energy (DOE)); Donald Danforth Plant Science Center startup fund; U.S. Department of Energy (DOE)(United States Department of Energy (DOE))</t>
  </si>
  <si>
    <t>This work was supported by the National Science Foundation (grant no. 1637708 to R.M.-K. and I.K.), the U.S. Department of Energy (grant no. DE-SC0019138 to R.M.-K., I.K., and X.W. and grant no. DE-SC0019464 to J.J., W.M., and R.Z.), and the Donald Danforth Plant Science Center startup fund (to R.Z.).</t>
  </si>
  <si>
    <t>10.1104/pp.19.01280</t>
  </si>
  <si>
    <t>WOS:000541865100029</t>
  </si>
  <si>
    <t>Boreddy, SKR; Hegde, P; Aswini, AR; Girach, IA; Koushik, N; Nalini, K</t>
  </si>
  <si>
    <t>Boreddy, Suresh K. R.; Hegde, Prashant; Aswini, A. R.; Girach, I. A.; Koushik, N.; Nalini, K.</t>
  </si>
  <si>
    <t>Impact of ice -free oases on particulate matter over the East Antarctic: Inferences from the carbonaceous, water-soluble species and trace metals Cheok u ales</t>
  </si>
  <si>
    <t>POLAR SCIENCE</t>
  </si>
  <si>
    <t>SEA-SALT SULFATE; SEGREGATED AEROSOL COMPOSITION; DURVILLE COASTAL ANTARCTICA; MCMURDO DRY VALLEYS; LARSEMANN HILLS; BOUNDARY-LAYER; ATMOSPHERIC AEROSOLS; SEASONAL VARIABILITY; CHEMICAL-COMPOSITION; ROUND RECORDS</t>
  </si>
  <si>
    <t>[Boreddy, Suresh K. R.; Hegde, Prashant; Aswini, A. R.; Girach, I. A.; Koushik, N.; Nalini, K.] Vikram Sarabhai Space Ctr, Space Phys Lab, Thiruvananthapuram 695022, Kerala, India; [Nalini, K.] Lab Sci Climat &amp; Environm, F-91190 Gif Sur Yvette, France</t>
  </si>
  <si>
    <t>Department of Space (DoS), Government of India; Indian Space Research Organisation (ISRO); Vikram Sarabhai Space Center (VSSC); CEA; Centre National de la Recherche Scientifique (CNRS); Universite Paris Saclay</t>
  </si>
  <si>
    <t>Hegde, P (corresponding author), Vikram Sarabhai Space Ctr, Space Phys Lab, Thiruvananthapuram 695022, Kerala, India.</t>
  </si>
  <si>
    <t>hegdeprashant@yahoo.com</t>
  </si>
  <si>
    <t>Girach, Imran/AHD-4916-2022; Boreddy, Suresh Kumar Reddy/C-9713-2012; N, Koushik/R-4848-2019</t>
  </si>
  <si>
    <t>Girach, Imran/0000-0002-8354-1173; N, Koushik/0000-0002-6770-0349; Krishnankutty, Nalini/0000-0003-4553-5781; A R, Aswini/0000-0002-9324-3890</t>
  </si>
  <si>
    <t>ISRO</t>
  </si>
  <si>
    <t>This work has been done as part of 36th ISEA, conducted by the National Centre for Antarctic and Ocean Research (NCAOR), Goa. The authors thank the Director, NCAOR and his team for arranging necessary logistics and support for conducting the sampling at Bharati. The authors greatly acknowledge NOAA Air Resources Laboratory for free access of the HYSPLIT transport dispersion model from the website, http://www.arl.noaa.gov/HYSPLIT.php.The authors thank Mr. Santosh Muralidharan for his help with aerosol sampling. The authors kindly acknowledge Dr. Prabha R Nair for her scientific discussion during the manuscript preparation. Dr. Boreddy is thankful to ISRO for his research fellowship. All the data presented in this paper are available up on a request to the corresponding author.</t>
  </si>
  <si>
    <t>1873-9652</t>
  </si>
  <si>
    <t>1876-4428</t>
  </si>
  <si>
    <t>POLAR SCI</t>
  </si>
  <si>
    <t>Polar Sci.</t>
  </si>
  <si>
    <t>10.1016/j.polar.2020.100520</t>
  </si>
  <si>
    <t>LZ1VK</t>
  </si>
  <si>
    <t>WOS:000541017300013</t>
  </si>
  <si>
    <t>Fatras, C; Fernandez-Palma, BF; Martillo, C</t>
  </si>
  <si>
    <t>Fatras, Christophe; Fajardo Fernandez-Palma, Beatriz; Martillo, Carlos</t>
  </si>
  <si>
    <t>Estimating ice retreat on Greenwich island-Antarctica between 1956 and 2019 using optical and SAR imagery</t>
  </si>
  <si>
    <t>SOUTHERN ANNULAR MODE; SEA-LEVEL RISE; GLACIER ZONES; PENINSULA; TRENDS; SHELVES; CAP</t>
  </si>
  <si>
    <t>[Fatras, Christophe; Fajardo Fernandez-Palma, Beatriz; Martillo, Carlos] ESPOL Polytech Univ, Escuela Super Politecn Litoral, ESPOL, FICT FIMCM GEMAC, Campus Gustavo Galindo Km 30-5,Via Perimetral, Guayaquil, Ecuador</t>
  </si>
  <si>
    <t>Escuela Superior Politecnica del Litoral</t>
  </si>
  <si>
    <t>Fatras, C (corresponding author), ESPOL Polytech Univ, Escuela Super Politecn Litoral, ESPOL, FICT FIMCM GEMAC, Campus Gustavo Galindo Km 30-5,Via Perimetral, Guayaquil, Ecuador.</t>
  </si>
  <si>
    <t>cfatras@espol.edu.ec</t>
  </si>
  <si>
    <t>Martillo Bustamante, Carlos/0000-0002-6041-0648; Fatras, Christophe/0000-0001-9059-9878</t>
  </si>
  <si>
    <t>ESPOL Polytechnic University - Ecuadorian National Antarctic Institute (INAE); ESPOL Polytechnic University</t>
  </si>
  <si>
    <t>This research was funded by ESPOL Polytechnic University. The participation to Ecuantar XXII expedition was funded by the Ecuadorian National Antarctic Institute (INAE) and ESPOL Polytechnic University.</t>
  </si>
  <si>
    <t>10.1016/j.polar.2020.100526</t>
  </si>
  <si>
    <t>WOS:000541017300003</t>
  </si>
  <si>
    <t>Shabudin, AFA; Rahim, RA; Jamil, H</t>
  </si>
  <si>
    <t>Shabudin, Ahmad Firdaus Ahmad; Rahim, Rashidah Abdul; Jamil, Hazri</t>
  </si>
  <si>
    <t>Evaluating governance of national Antarctic programme: Universities? role in influencing the evolution of Malaysia?s engagement on cross -border research of the Antarctic</t>
  </si>
  <si>
    <t>Article; Proceedings Paper</t>
  </si>
  <si>
    <t>7th Malaysian International Seminar on Antarctica (MISA) - Connectivity between Polar and Equatorial Climate and Biosphere - From the Poles to the Tropics</t>
  </si>
  <si>
    <t>AUG 15-17, 2017</t>
  </si>
  <si>
    <t>Kuala Terengganu, MALAYSIA</t>
  </si>
  <si>
    <t>[Shabudin, Ahmad Firdaus Ahmad; Jamil, Hazri] Univ Sains Malaysia, Natl Higher Educ Res Inst, George Town 11900, Malaysia; [Rahim, Rashidah Abdul] Univ Sains Malaysia, Sch Biol Sci, George Town 11800, Malaysia</t>
  </si>
  <si>
    <t>Universiti Sains Malaysia; Universiti Sains Malaysia</t>
  </si>
  <si>
    <t>Shabudin, AFA (corresponding author), Univ Sains Malaysia, Natl Higher Educ Res Inst, George Town 11900, Malaysia.</t>
  </si>
  <si>
    <t>as_firdaus@usm.my; rshidah@usm.my; hazri@usm.my</t>
  </si>
  <si>
    <t>Long-Term Research Grant Scheme, Ministry of Higher Education, Malaysia (Assessment of Institutional AMP; Policy Framework to Strengthen Malaysian Antarctic Research Programme); Short-term Grant, Universiti Sains Malaysia (International research collaboration in addressing sustainability challenges of the polar regions (Antarctic and Arctic): Malaysian universities strategy) [PO5101-2020/0241-304/CIPPTN/6315306]</t>
  </si>
  <si>
    <t>Long-Term Research Grant Scheme, Ministry of Higher Education, Malaysia (Assessment of Institutional AMP; Policy Framework to Strengthen Malaysian Antarctic Research Programme); Short-term Grant, Universiti Sains Malaysia (International research collaboration in addressing sustainability challenges of the polar regions (Antarctic and Arctic): Malaysian universities strategy)</t>
  </si>
  <si>
    <t>This work was supported by the Long-Term Research Grant Scheme, Ministry of Higher Education, Malaysia (Assessment of Institutional &amp; Policy Framework to Strengthen Malaysian Antarctic Research Programme) and Short-term Grant, Universiti Sains Malaysia (International research collaboration in addressing sustainability challenges of the polar regions (Antarctic and Arctic): Malaysian universities strategy) (PO5101-2020/0241-304/CIPPTN/6315306)</t>
  </si>
  <si>
    <t>10.1016/j.polar.2020.100527</t>
  </si>
  <si>
    <t>Science Citation Index Expanded (SCI-EXPANDED); Social Science Citation Index (SSCI); Conference Proceedings Citation Index - Science (CPCI-S)</t>
  </si>
  <si>
    <t>WOS:000541017300007</t>
  </si>
  <si>
    <t>Loh, TY; Brito, MP; Bose, N; Xu, JJ; Tenekedjiev, K</t>
  </si>
  <si>
    <t>Tzu Yang Loh; Brito, Mario P.; Bose, Neil; Xu, Jingjing; Tenekedjiev, Kiril</t>
  </si>
  <si>
    <t>Human Error in Autonomous Underwater Vehicle Deployment: A System Dynamics Approach</t>
  </si>
  <si>
    <t>RISK ANALYSIS</t>
  </si>
  <si>
    <t>AUV; human error; risk analysis framework; risk of loss; systems-based</t>
  </si>
  <si>
    <t>RISK; RETENTION; BENEATH</t>
  </si>
  <si>
    <t>The use of autonomous underwater vehicles (AUVs) for various applications have grown with maturing technology and improved accessibility. The deployment of AUVs for under-ice marine science research in the Antarctic is one such example. However, a higher risk of AUV loss is present during such endeavors due to the extremities in the Antarctic. A thorough analysis of risks is therefore crucial for formulating effective risk control policies and achieving a lower risk of loss. Existing risk analysis approaches focused predominantly on the technical aspects, as well as identifying static cause and effect relationships in the chain of events leading to AUV loss. Comparatively, the complex interrelationships between risk variables and other aspects of risk such as human errors have received much lesser attention. In this article, a systems-based risk analysis framework facilitated by system dynamics methodology is proposed to overcome existing shortfalls. To demonstrate usefulness of the framework, it is applied on an actual AUV program to examine the occurrence of human error during Antarctic deployment. Simulation of the resultant risk model showed an overall decline in human error incident rate with the increase in experience of the AUV team. Scenario analysis based on the example provided policy recommendations in areas of training, practice runs, recruitment policy, and setting of risk tolerance level. The proposed risk analysis framework is pragmatically useful for risk analysis of future AUV programs to ensure the sustainability of operations, facilitating both better control and monitoring of risk.</t>
  </si>
  <si>
    <t>[Tzu Yang Loh; Tenekedjiev, Kiril] Univ Tasmania, Australian Maritime Coll, 1 Maritime Way, Launceston, Tas 7250, Australia; [Brito, Mario P.] Univ Southampton, Southampton Business Sch, Ctr Risk Res, Southampton, Hants, England; [Bose, Neil] Mem Univ Newfoundland, St John, NF, Canada; [Xu, Jingjing] Univ Plymouth, Plymouth Business Sch, Plymouth, Devon, England; [Tenekedjiev, Kiril] Nikola Vaptsarov Naval Acad, Varna, Bulgaria</t>
  </si>
  <si>
    <t>University of Tasmania; Australian Maritime College; Solent University; University of Southampton; Memorial University Newfoundland; University of Plymouth; Nikola Vaptsarov Naval Academy</t>
  </si>
  <si>
    <t>Loh, TY (corresponding author), Univ Tasmania, Australian Maritime Coll, 1 Maritime Way, Launceston, Tas 7250, Australia.</t>
  </si>
  <si>
    <t>Tzuyang.loh@Utas.edu.au</t>
  </si>
  <si>
    <t>Tenekedjiev, Kiril/D-8141-2012; Bose, Neil/AAG-6329-2019</t>
  </si>
  <si>
    <t>Tenekedjiev, Kiril/0000-0003-3549-0671; Bose, Neil/0000-0002-6444-0756</t>
  </si>
  <si>
    <t>Antarctic Gateway Partnership [SR140300001] Funding Source: Medline</t>
  </si>
  <si>
    <t>Antarctic Gateway Partnership</t>
  </si>
  <si>
    <t>0272-4332</t>
  </si>
  <si>
    <t>1539-6924</t>
  </si>
  <si>
    <t>RISK ANAL</t>
  </si>
  <si>
    <t>Risk Anal.</t>
  </si>
  <si>
    <t>10.1111/risa.13467</t>
  </si>
  <si>
    <t>Public, Environmental &amp; Occupational Health; Mathematics, Interdisciplinary Applications; Social Sciences, Mathematical Methods</t>
  </si>
  <si>
    <t>Public, Environmental &amp; Occupational Health; Mathematics; Mathematical Methods In Social Sciences</t>
  </si>
  <si>
    <t>LZ4XQ</t>
  </si>
  <si>
    <t>WOS:000541229400012</t>
  </si>
  <si>
    <t>Samchyshyna, L; Gromova, Y; Zorina-Sakharova, K</t>
  </si>
  <si>
    <t>Samchyshyna, Larysa; Gromova, Yulia; Zorina-Sakharova, Kateryna</t>
  </si>
  <si>
    <t>RECENT DISTRIBUTION OF EURYTEMORA VELOX (LILLJEBORG, 1853) (COPEPODA, CALANOIDA) IN BRACKISH AND FRESH WATERS OF UKRAINE</t>
  </si>
  <si>
    <t>CRUSTACEANA</t>
  </si>
  <si>
    <t>Eurytemora International Conference</t>
  </si>
  <si>
    <t>MAY 13-17, 2019</t>
  </si>
  <si>
    <t>St Petersburg, RUSSIA</t>
  </si>
  <si>
    <t>CRUSTACEA</t>
  </si>
  <si>
    <t>The brackish water calanoid copepod Eurytemora velox has become a widespread species in inland fresh waters of Ukraine. Nowadays it is one of the dominant crustacean species in the littoral zooplankton of the main Ukrainian rivers: Dnieper, Danube and Pivdenny Buh. We present a survey on E. velox localities in, mainly, fresh waters of Ukraine, data on some quite isolated populations of E. velox in the Carpathian region, as well as new records of the species in the upper parts of some rivers. These data will provide a more complete view of the inland distribution of E. velox in Ukraine.</t>
  </si>
  <si>
    <t>[Samchyshyna, Larysa] Minist Educ &amp; Sci Ukraine, State Inst Natl Antarctic Sci Ctr, Tarasa Shevchenka Blvd 16, UA-01601 Kiev, Ukraine; [Gromova, Yulia; Zorina-Sakharova, Kateryna] Natl Acad Sci Ukraine, Inst Hydrobiol, Heroiv Stalingradu 12, UA-04210 Kiev, Ukraine; [Samchyshyna, Larysa] Inst Fisheries &amp; Marine Ecol, Konsulska Str 8, UA-71118 Berdiansk, Ukraine</t>
  </si>
  <si>
    <t>Ministry of Education &amp; Science of Ukraine; State Institution National Antarctic Scientific Center; National Academy of Sciences Ukraine; Institute of Hydrobiology of the National Academy of Sciences of Ukraine</t>
  </si>
  <si>
    <t>Samchyshyna, L (corresponding author), Minist Educ &amp; Sci Ukraine, State Inst Natl Antarctic Sci Ctr, Tarasa Shevchenka Blvd 16, UA-01601 Kiev, Ukraine.;Samchyshyna, L (corresponding author), Inst Fisheries &amp; Marine Ecol, Konsulska Str 8, UA-71118 Berdiansk, Ukraine.</t>
  </si>
  <si>
    <t>larysa.samchyshyna@gmail.com</t>
  </si>
  <si>
    <t>Zorina-Sakharova, Kateryna/D-1019-2017; Samchyshyna, Larysa/AAE-9152-2021</t>
  </si>
  <si>
    <t>Zorina-Sakharova, Kateryna/0000-0001-6159-2642; Samchyshyna, Larysa/0000-0002-3816-2641; Barinova, Sophia/0000-0001-9915-2503; Hromova, Yuliia/0000-0003-4684-6864</t>
  </si>
  <si>
    <t>group of technical hydrobiology [6541230, 0118U002287]</t>
  </si>
  <si>
    <t>group of technical hydrobiology</t>
  </si>
  <si>
    <t>The Khmelnitsky nuclear power plant cooling pond zooplankton samples were investigated through courtesy of Prof. O. Protasov (IHB AN), and the abundance data were kindly provided by the group of technical hydrobiology. Sampling campaigns at the Danube Delta were funded by Program 6541230 (No. 0118U002287) of the IHB AN. Existing preserved samples were provided by the depository of IZAN, for processing.</t>
  </si>
  <si>
    <t>BRILL</t>
  </si>
  <si>
    <t>PLANTIJNSTRAAT 2, P O BOX 9000, 2300 PA LEIDEN, NETHERLANDS</t>
  </si>
  <si>
    <t>0011-216X</t>
  </si>
  <si>
    <t>1568-5403</t>
  </si>
  <si>
    <t>Crustaceana</t>
  </si>
  <si>
    <t>3-5</t>
  </si>
  <si>
    <t>10.1163/15685403-00003992</t>
  </si>
  <si>
    <t>Science Citation Index Expanded (SCI-EXPANDED); Conference Proceedings Citation Index - Science (CPCI-S)</t>
  </si>
  <si>
    <t>LY8MC</t>
  </si>
  <si>
    <t>WOS:000540781400004</t>
  </si>
  <si>
    <t>Li, YF; Zeng, QH; Liu, G; Chen, XW; Zhu, YH; Liu, HQ; Zhao, Y; Wang, JJ</t>
  </si>
  <si>
    <t>Li, Yufeng; Zeng, Qiao-Hui; Liu, Guang; Chen, Xiaowei; Zhu, Yongheng; Liu, Haiquan; Zhao, Yong; Wang, Jing Jing</t>
  </si>
  <si>
    <t>Food-grade emulsions stabilized by marine Antarctic krill (Euphausia superba) proteins with long-term physico-chemical stability</t>
  </si>
  <si>
    <t>LWT-FOOD SCIENCE AND TECHNOLOGY</t>
  </si>
  <si>
    <t>Antarctic krill proteins; Emulsions; Amino acids composition; Long-term stability</t>
  </si>
  <si>
    <t>IN-WATER EMULSIONS; EMULSIFYING PROPERTIES; RHEOLOGICAL PROPERTIES; PICKERING STABILIZERS; OXIDATIVE STABILITY; CROSS-LINKING; PEA PROTEIN; HMW 1DX5; PH; EMULSIFICATION</t>
  </si>
  <si>
    <t>The amino acids composition, secondary structure and aggregation profiles of Antarctic krill proteins were characterized. Ability of the proteins to stabilize sunflower oil-based emulsions was firstly evaluated, and further the effects of NaCl concentration, pH values and storage temperatures on their stabilization were investigated. Results showed that the krill proteins contained much balanced essential amino acids compared to some plant proteins, and hydrophobic interactions and disulfide bonds greatly contributed to the development and stabilization of the protein aggregates. Antarctic krill proteins formed emulsions with their particle size less than 20 mu m under 3%-4% protein and oil/water ratios of 3:7-5:5. Moreover, higher krill proteins content (&gt;= 3%), lower NaCl concentration (&lt;= 100 mM) or higher temperatures (&gt;= 40 degrees C) greatly favored the formation of gel-like networks of emulsions. Notably, the emulsions stabilized by 3% Antarctic krill proteins and oil/water ratio of 3:7 could resist the fluctuation of pH (3-9), salt concentration (50-400 mM) and temperatures (4-60 degrees C). Meanwhile, the emulsions exhibited a comparable long-term stability after 30 days storage compared to the existing proteins or biopolymers-stabilized emulsions. This study expends the knowledges of constructing novel Antarctic krill proteins-stabilized emulsions to unlock the high value-added utilization of marine protein resources in food industry.</t>
  </si>
  <si>
    <t>[Li, Yufeng; Zhu, Yongheng; Liu, Haiquan; Zhao, Yong; Wang, Jing Jing] Shanghai Ocean Univ, Coll Food Sci &amp; Technol, Shanghai 201306, Peoples R China; [Zeng, Qiao-Hui; Wang, Jing Jing] Foshan Univ, Dept Food Sci, Foshan 528000, Peoples R China; [Liu, Guang] Guangdong Acad Agr Sci, Sericultural &amp; Agrifood Res Inst, Minist Agr &amp; Rural Affairs, Guangdong Key Lab Agr Prod Proc,Key Lab Funct Foo, Guangzhou 510610, Peoples R China; [Chen, Xiaowei] Henan Univ Technol, Dept Food Sci, Zhengzhou 450001, Peoples R China; [Zhu, Yongheng; Liu, Haiquan; Zhao, Yong; Wang, Jing Jing] Minist Agr, Lab Qual &amp; Safety Risk Assessment Aquat Prod Stor, Shanghai 201306, Peoples R China</t>
  </si>
  <si>
    <t>Shanghai Ocean University; Foshan University; Ministry of Agriculture &amp; Rural Affairs; Guangdong Academy of Agricultural Sciences; Henan University of Technology; Ministry of Agriculture &amp; Rural Affairs</t>
  </si>
  <si>
    <t>Zhao, Y; Wang, JJ (corresponding author), Shanghai Ocean Univ, Coll Food Sci &amp; Technol, Shanghai 201306, Peoples R China.</t>
  </si>
  <si>
    <t>yzhao@shou.edu.cn; jjwang@shou.edu.cn</t>
  </si>
  <si>
    <t>Yan, Jun/IXD-7801-2023; Liu, Guang/AAB-9356-2022; Chen, Hao/JHT-2948-2023; wang, jiahui/IXD-1197-2023; Li, yu/HHZ-5236-2022; liang, liang/IAO-8518-2023</t>
  </si>
  <si>
    <t>Chen, Hao/0009-0001-6480-7976; Wang, Jing Jing/0000-0002-1341-2034</t>
  </si>
  <si>
    <t>National Key R&amp;D Program of China [2018YFC1602205]; National Natural Science Foundation of China [31571917]; Key Project of Shanghai Agriculture Prosperity through Science and Technology [2019-02-08-00-15-F01147]; Shanghai Agriculture Applied Technology Development Program [T20170404]</t>
  </si>
  <si>
    <t>National Key R&amp;D Program of China; National Natural Science Foundation of China(National Natural Science Foundation of China (NSFC)); Key Project of Shanghai Agriculture Prosperity through Science and Technology; Shanghai Agriculture Applied Technology Development Program</t>
  </si>
  <si>
    <t>This research was supported by the National Key R&amp;D Program of China (2018YFC1602205), the National Natural Science Foundation of China (31571917), Key Project of Shanghai Agriculture Prosperity through Science and Technology (2019-02-08-00-15-F01147), Shanghai Agriculture Applied Technology Development Program (T20170404).</t>
  </si>
  <si>
    <t>0023-6438</t>
  </si>
  <si>
    <t>1096-1127</t>
  </si>
  <si>
    <t>LWT-FOOD SCI TECHNOL</t>
  </si>
  <si>
    <t>LWT-Food Sci. Technol.</t>
  </si>
  <si>
    <t>10.1016/j.lwt.2020.109492</t>
  </si>
  <si>
    <t>LY1NZ</t>
  </si>
  <si>
    <t>WOS:000540290000049</t>
  </si>
  <si>
    <t>Lin, LJ; Chan, TO; Ge, EJ; Wang, XW; Zhao, YQ; Yang, YJ; Ning, GC; Zeng, ZL; Luo, M</t>
  </si>
  <si>
    <t>Lin, Lijie; Chan, Ting On; Ge, Erjia; Wang, Xianwei; Zhao, Yongquan; Yang, Yuanjian; Ning, Guicai; Zeng, Zhaoliang; Luo, Ming</t>
  </si>
  <si>
    <t>Effects of urban land expansion on decreasing atmospheric moisture in Guangdong, South China</t>
  </si>
  <si>
    <t>URBAN CLIMATE</t>
  </si>
  <si>
    <t>YANGTZE-RIVER DELTA; SURFACE HUMIDITY; RELATIVE-HUMIDITY; RURAL HUMIDITY; CLIMATE-CHANGE; URBANIZATION; TRENDS; TEMPERATURE; HEAT; IMPACT</t>
  </si>
  <si>
    <t>[Lin, Lijie] Guangdong Univ Technol, Sch Management, Guangzhou 510520, Guangdong, Peoples R China; [Chan, Ting On; Wang, Xianwei; Luo, Ming] Sun Yat Sen Univ, Sch Geog &amp; Planning, Guangdong Key Lab Urbanizat &amp; Geosimulat, Guangzhou 510275, Peoples R China; [Ge, Erjia] Univ Toronto, Dalla Lana Sch Publ Hlth, Toronto, ON, Canada; [Zhao, Yongquan] Ohio State Univ, Dept Geog, Columbus, OH 43210 USA; [Yang, Yuanjian] Nanjing Univ Informat Sci &amp; Technol, Sch Atmospher Phys, Nanjing, Peoples R China; [Ning, Guicai; Luo, Ming] Chinese Univ Hong Kong, Inst Environm Energy &amp; Sustainabil, Sha Tin, Hong Kong, Peoples R China; [Zeng, Zhaoliang] Wuhan Univ, Chinese Antarctic Ctr Surveying &amp; Mapping, Wuhan, Peoples R China</t>
  </si>
  <si>
    <t>Guangdong University of Technology; Sun Yat Sen University; University of Toronto; University System of Ohio; Ohio State University; Nanjing University of Information Science &amp; Technology; Chinese University of Hong Kong; Wuhan University</t>
  </si>
  <si>
    <t>Luo, M (corresponding author), Sun Yat Sen Univ, Sch Geog &amp; Planning, Guangzhou 510275, Peoples R China.</t>
  </si>
  <si>
    <t>luo.ming@hotmail.com</t>
  </si>
  <si>
    <t>Zeng, Zhaoliang/AAV-8359-2021; Luo, Ming/IUQ-1554-2023; yang, yang/HGT-7999-2022; Luo, Ming/AAE-8527-2021; yang, yang/GWB-9426-2022</t>
  </si>
  <si>
    <t>Luo, Ming/0000-0002-5474-3892; Luo, Ming/0000-0002-5474-3892; Zeng, Zhaoliang/0000-0002-9108-8575; Zhao, Yongquan/0000-0002-8360-6731</t>
  </si>
  <si>
    <t>Natural Science Foundation of Guangdong Province, China [2019A1515011025]; National Natural Science Foundation of China [41871029, 41401052]; National Key R&amp;D Program of China [2019YFC1510400]; Chinese Academy of Sciences</t>
  </si>
  <si>
    <t>Natural Science Foundation of Guangdong Province, China(National Natural Science Foundation of Guangdong Province); National Natural Science Foundation of China(National Natural Science Foundation of China (NSFC)); National Key R&amp;D Program of China; Chinese Academy of Sciences(Chinese Academy of Sciences)</t>
  </si>
  <si>
    <t>This study is partially funded by the Natural Science Foundation of Guangdong Province, China (no. 2019A1515011025), the National Natural Science Foundation of China (no. 41871029, 41401052), and the National Key R&amp;D Program of China (no. 2019YFC1510400). Daily weather observations were provided by the China Meteorological Data Service Center (http://data.cma.cn).Time-varying land use/land cover maps were collected from the Data Center for Resources and Environmental Sciences, the Chinese Academy of Sciences (http://www.resdc.cn).The authors are thankful for four anonymous reviewers for their valuable comments and suggestion that greatly improved the quality of this paper.</t>
  </si>
  <si>
    <t>2212-0955</t>
  </si>
  <si>
    <t>URBAN CLIM</t>
  </si>
  <si>
    <t>Urban CLim.</t>
  </si>
  <si>
    <t>10.1016/j.uclim.2020.100626</t>
  </si>
  <si>
    <t>LY0TW</t>
  </si>
  <si>
    <t>WOS:000540237600008</t>
  </si>
  <si>
    <t>Karanovic, I; Huyen, PTM; Yoo, H; Nakao, Y; Tsukagoshi, A</t>
  </si>
  <si>
    <t>Karanovic, Ivana; Pham Thi Minh Huyen; Yoo, Hyunsu; Nakao, Yuriko; Tsukagoshi, Akira</t>
  </si>
  <si>
    <t>Shell and appendages variability in two allopatric ostracod species seen through the light of molecular data</t>
  </si>
  <si>
    <t>CONTRIBUTIONS TO ZOOLOGY</t>
  </si>
  <si>
    <t>East Asia; integrative taxonomy; geometric morphometrics; phylogeography; speciation</t>
  </si>
  <si>
    <t>GEOMETRIC MORPHOMETRICS; MITOCHONDRIAL-DNA; BIOGEOGRAPHICAL HISTORY; POPULATION-GENETICS; GENUS ISHIZAKIELLA; DIVERGENCE; TAXONOMY; SHAPE; SPECIATION; CRUSTACEA</t>
  </si>
  <si>
    <t>Ostracod crustaceans are among the most abundant microfossil animals. Understanding intra- and interspecific variability of their shell is of pivotal importance for the interpretation of paleontological data. In comparison to appendages, ostracod shell displays more intraspecific variability (in shape, size, and ornamentation), often as a response to environmental conditions. Shell variability has been studied with sophisticated methods, such as geometric morphometrics (GM), but the conspecificity of examined specimens and populations was never tested. In addition, there are no GM studies of appendages. We build on previously published high cytochrome c oxidase subunit I (COI) divergence rates among populations of a brackish water species, Ishizakiella miurensis (Hanai, 1957). With landmark-based GM analyses of its shell and appendages, and additional genetic markers (ITS, 28S,18S), we test if the genetic variability is structured in morphospace. This approach is the core of integrative taxonomy paradigm which has been proposed to bring the gap between traditional taxonomy and other disciplines such as evolutionary biology. The results show that it is the shell shape, and not the shape of appendages, that mirrors the molecular phylogeny, and we describe a new species. Our results suggest that the landmark-based GM studies may be useful in paleontological datasets for closely related species delineation. We implement molecular clock and population statistics to discuss speciation processes and phylogeography of the two congeners in Korea and Japan.</t>
  </si>
  <si>
    <t>[Karanovic, Ivana; Pham Thi Minh Huyen] Hanyang Univ, Coll Nat Sci, Dept Life Sci, Seoul 04763, South Korea; [Karanovic, Ivana] Univ Tasmania, Inst Marine &amp; Antarctic Studies, Private Bag 49, Hobart, Tas 7001, Australia; [Yoo, Hyunsu] Marine Environm Res &amp; Informat Lab MERIL, 17,Gosan Ro,148 Beon Gil, Gunpo Si 15180, Gyoenggi Do, South Korea; [Nakao, Yuriko] Nihon Univ, Dept Earth &amp; Environm Sci, Coll Humanities &amp; Sci, Setagaya Ku, Sakurajousui 3-25-40, Tokyo 1568550, Japan; [Tsukagoshi, Akira] Shizuoka Univ, Fac Sci, Dept Geosci, Suruga Ku, Ohya 836, Shizuoka 4228529, Japan</t>
  </si>
  <si>
    <t>Hanyang University; University of Tasmania; Nihon University; Shizuoka University</t>
  </si>
  <si>
    <t>Karanovic, I (corresponding author), Hanyang Univ, Coll Nat Sci, Dept Life Sci, Seoul 04763, South Korea.;Karanovic, I (corresponding author), Univ Tasmania, Inst Marine &amp; Antarctic Studies, Private Bag 49, Hobart, Tas 7001, Australia.</t>
  </si>
  <si>
    <t>YOO, HYUNSU/ADI-9139-2022; Huyen, Pham Thi Minh/GQB-2488-2022</t>
  </si>
  <si>
    <t>Huyen, Pham Thi Minh/0000-0001-9689-8596</t>
  </si>
  <si>
    <t>National Research Foundation of Korea [2016R1D-1A1B01009806]; BK21 plus program through the National Research Foundation (Ministry of Education of Korea) [22A20130012352]; Individual Research Expense of Institute of Natural Sciences at Nihon University</t>
  </si>
  <si>
    <t>National Research Foundation of Korea(National Research Foundation of Korea); BK21 plus program through the National Research Foundation (Ministry of Education of Korea)(Ministry of Education (MOE), Republic of KoreaNational Research Foundation of Korea); Individual Research Expense of Institute of Natural Sciences at Nihon University</t>
  </si>
  <si>
    <t>Thestudy is supported bythe National Research Foundation of Korea (grant no: 2016R1D-1A1B01009806), the BK21 plus program (EcoBio Fusion Research Team, 22A20130012352) through the National Research Foundation (Ministry of Education of Korea), and Individual Research Expense of Institute of Natural Sciences at Nihon University for 2018 and 2019.</t>
  </si>
  <si>
    <t>1383-4517</t>
  </si>
  <si>
    <t>1875-9866</t>
  </si>
  <si>
    <t>CONTRIB ZOOL</t>
  </si>
  <si>
    <t>Contrib. Zool.</t>
  </si>
  <si>
    <t>10.1163/18759866-20191423</t>
  </si>
  <si>
    <t>LX8TA</t>
  </si>
  <si>
    <t>WOS:000540097400001</t>
  </si>
  <si>
    <t>Nagy, B; Kovacs, J; Igneczi, A; Beleznai, S; Mari, L; Kereszturi, A; Szalai, Z</t>
  </si>
  <si>
    <t>Nagy, Balazs; Kovacs, Jozsef; Igneczi, Adam; Beleznai, Szabolcs; Mari, Laszlo; Kereszturi, Akos; Szalai, Zoltan</t>
  </si>
  <si>
    <t>The Thermal Behavior of Ice-Bearing Ground: The Highest Cold, Dry Desert on Earth as an Analog for Conditions on Mars, at Ojos del Salado, Puna de Atacama-Altiplano Region</t>
  </si>
  <si>
    <t>ASTROBIOLOGY</t>
  </si>
  <si>
    <t>Mars; Permafrost; Active layer; Atacama Desert; Periglacial; Mountain desert</t>
  </si>
  <si>
    <t>TRANSIENT LIQUID WATER; ROCK GLACIERS; ANTARCTIC PERMAFROST; SOUTHERN-HEMISPHERE; CLIMATE-CHANGE; GALE CRATER; ANDES; LANDFORMS; SURFACE; CHILE</t>
  </si>
  <si>
    <t>Hourly ground temperature measurements from the highest shallow ground temperature monitoring system on Earth and sedimentological data were used to construct a thermal model at the Ojos del Salado, in the Dry Andes (5830 m a.s.l.). The results were used to investigate daily temperature fluctuations and the phase changes of water in the regolith, where the permafrost and ground ice are present. Model results reveal that the thermal evolution of the ground and the speed of phase changes are determined by the differing thermal properties of liquid and solid water, and change in their vertical distribution over time. At the start of summer, the increasing ratio of liquid water near the surface insulates deeper layers, and thus, melting is delayed and daily temperature fluctuations are damped in the regolith. The approach of the present study includes testing how simple, relatively low processing power required data analysis might be applied for Mars in the future. Periglacial and aeolian landforms were also surveyed, with a focus on thermo- and cryokarstic features, as previous studies have shown that patterned ground structures are rare in the region due to the highly porous nature of the dry regolith. Besides the wealth of aeolian features, gravel mantled megaripples, solifluction lobes, and thermo- and cryokarstic depressions, were found. In the case of the former, a close association with ephemeral ponds-hosting extremophilic microorganisms-was found, highlighting the fact that meltwater percolates horizontally even in this extremely dry environment. The thermo- and cryokarstic depressions also reveal the role of melting and its intricate connection to sublimation. As these features indicate degrading permafrost, closer investigation may provide useful analogs for earlier and contemporary climatic changes on Mars.</t>
  </si>
  <si>
    <t>[Nagy, Balazs; Mari, Laszlo] Eotvos Lorand Univ, Dept Phys Geog, Budapest, Hungary; [Kovacs, Jozsef] Eotvos Lorand Univ, Dept Phys &amp; Appl Geol, Budapest, Hungary; [Igneczi, Adam] Univ Sheffield, Dept Geog, Sheffield, S Yorkshire, England; [Beleznai, Szabolcs] Budapest Univ Technol &amp; Econ, Dept Atom Phys, Budapest, Hungary; [Kereszturi, Akos] MTA Ctr Excellence, Konkoly Observ, Res Ctr Astron &amp; Earth Sci, Budapest, Hungary; [Szalai, Zoltan] Eotvos Lorand Univ, Dept Environm &amp; Landscape Geog, Budapest, Hungary</t>
  </si>
  <si>
    <t>Eotvos Lorand University; Eotvos Lorand University; University of Sheffield; Budapest University of Technology &amp; Economics; Hungarian Research Network; Hungarian Academy of Sciences; HUN-REN Research Centre for Astronomy &amp; Earth Sciences; Eotvos Lorand University</t>
  </si>
  <si>
    <t>Kereszturi, A (corresponding author), Konkoly Observ Budapest, Res Ctr Astron &amp; Earth Sci, Konkoly Thege Miklos 15-17, H-1121 Budapest, Hungary.</t>
  </si>
  <si>
    <t>kereszturi.akos@csfk.mta.hu</t>
  </si>
  <si>
    <t>Szalai, Zoltán/AFG-7868-2022; Mari, Laszlo/AAU-5171-2020</t>
  </si>
  <si>
    <t>Szalai, Zoltán/0000-0001-5267-411X; Mari, Laszlo/0000-0002-3382-7800</t>
  </si>
  <si>
    <t>MARY ANN LIEBERT, INC</t>
  </si>
  <si>
    <t>NEW ROCHELLE</t>
  </si>
  <si>
    <t>140 HUGUENOT STREET, 3RD FL, NEW ROCHELLE, NY 10801 USA</t>
  </si>
  <si>
    <t>1531-1074</t>
  </si>
  <si>
    <t>1557-8070</t>
  </si>
  <si>
    <t>Astrobiology</t>
  </si>
  <si>
    <t>10.1089/ast.2018.2021</t>
  </si>
  <si>
    <t>Astronomy &amp; Astrophysics; Biology; Geosciences, Multidisciplinary</t>
  </si>
  <si>
    <t>Astronomy &amp; Astrophysics; Life Sciences &amp; Biomedicine - Other Topics; Geology</t>
  </si>
  <si>
    <t>LX1CG</t>
  </si>
  <si>
    <t>WOS:000539576300003</t>
  </si>
  <si>
    <t>King, C; Hall, B; Hillebrand, T; Stone, J</t>
  </si>
  <si>
    <t>King, Courtney; Hall, Brenda; Hillebrand, Trevor; Stone, John</t>
  </si>
  <si>
    <t>Delayed maximum and recession of an East Antarctic outlet glacier</t>
  </si>
  <si>
    <t>ICE-SURFACE FLUCTUATIONS; HATHERTON GLACIER; ROSS SEA; CHRONOLOGY; RATES</t>
  </si>
  <si>
    <t>During the last glaciation, East Antarctic outlet glaciers contributed to a grounded ice sheet in the Ross Embayment. The timing of maximum ice extent, as well as of subsequent deglaciation of these outlets, has implications for the behavior of the Antarctic Ice Sheet (AIS) and its impact on global sea level. We present 45 radiocarbon ages of lacustrine cyanobacteria from the Lake Wellman region alongside Hatherton Glacier, which are the first terrestrial data to both record advance of an Antarctic glacier to its maximum position as well as document a high-resolution chronology of subsequent retreat. Seventeen new exposure ages are widely scattered, but the youngest four are in broad agreement with the radiocarbon data. Hatherton Glacier slowly thickened from 13,000 to 9500 yr B.P. and then thinned steadily until at least ca. 2800 yr B.P. Our work affords evidence of both a delayed maximum and recession of an East Antarctic outlet glacier compared to the global Last Glacial Maximum (LGM) and supports growing evidence of a time-transgressive local LGM within the Ross Sea sector of the ice sheet. Both observations are consistent with the idea that the timing of outlet glacier expansion and timing of recession are controlled by the balance between dynamic thinning from ocean forcing and increased accumulation due to atmospheric warming.</t>
  </si>
  <si>
    <t>[King, Courtney; Hall, Brenda] Univ Maine, Sch Earth &amp; Climate Sci, Orono, ME 04469 USA; [King, Courtney; Hall, Brenda] Univ Maine, Climate Change Inst, Orono, ME 04469 USA; [Hillebrand, Trevor; Stone, John] Univ Washington, Dept Earth &amp; Space Sci, Seattle, WA 98195 USA</t>
  </si>
  <si>
    <t>University of Maine System; University of Maine Orono; University of Maine System; University of Maine Orono; University of Washington; University of Washington Seattle</t>
  </si>
  <si>
    <t>King, C (corresponding author), Univ Maine, Sch Earth &amp; Climate Sci, Orono, ME 04469 USA.;King, C (corresponding author), Univ Maine, Climate Change Inst, Orono, ME 04469 USA.</t>
  </si>
  <si>
    <t>Hillebrand, Trevor/0000-0003-3535-1540</t>
  </si>
  <si>
    <t>Office of Polar Programs of the U.S. National Science Foundation</t>
  </si>
  <si>
    <t>Personnel at McMurdo Station, including at the Berg Field Center, Petroleum Helicopters Inc. (PHI), and Kenn Borek Air, provided excellent logistical support. We thank R. Ackert, M. Bentley, D. Hodgson, and D. Sugden for their very constructive reviews, which improved this paper. This project was supported by the Office of Polar Programs of the U.S. National Science Foundation by grants to Hall and Stone.</t>
  </si>
  <si>
    <t>10.1130/G47297.1</t>
  </si>
  <si>
    <t>LX3NY</t>
  </si>
  <si>
    <t>WOS:000539742900020</t>
  </si>
  <si>
    <t>do-Amaral, CCF; Pacheco, BS; Segatto, NV; Paschoal, JDF; Santos, MAZ; Seixas, FK; Pereira, CMP; Astorga-España, MS; Mansilla, A; Collares, T</t>
  </si>
  <si>
    <t>do-Amaral, C. C. F.; Pacheco, B. S.; Segatto, N., V; Paschoal, J. D. F.; Santos, M. A. Z.; Seixas, F. K.; Pereira, C. M. P.; Astorga-Espana, M. S.; Mansilla, A.; Collares, T.</t>
  </si>
  <si>
    <t>Lipidic profile of sub-Antarctic seaweed Mazzaella laminarioides (Gigartinales, Rhodophyta) in distinct developmental phases and cell cytotoxicity in bladder cancer</t>
  </si>
  <si>
    <t>ALGAL RESEARCH-BIOMASS BIOFUELS AND BIOPRODUCTS</t>
  </si>
  <si>
    <t>Sub-Antarctic macroalgae; T24 blader cancer cells; Polyunsaturated fatty acids; Seasonal variation; Membrane integrity</t>
  </si>
  <si>
    <t>FATTY-ACIDS; IN-VITRO; PHOTOSYNTHESIS; MACROALGAE; REGION; DEATH; N-3</t>
  </si>
  <si>
    <t>The Magellan ecoregion, located in the sub-Antarctic portion of Chile, is marked as a continental portion of high latitude that presents low periods of photoperiod and luminosity in the winter and high in the summer. Seasonal variations in the chemical composition of seaweeds may influence their reproductive state and biomass, and thus their prospection into food, cosmetological or pharmacological use. The objectives of the present study were to determine the fatty acids (FAs) profile of the red seaweed Mazzaella laminarioides in vegetative, tetrasporophitic, and cystocarpic phases in winter and summer, and assess the antitumoral activity of these FAs against T24 bladder cancer cells. The algal extracts consisted of nineteen FAs, and composition varied according to the reproductive state and the season the algae were collected. Cell viability decreased in a concentration- and time-dependent manner. Most significant cytotoxic activity of FAs, as well as the highest chromatin condensation observed by DAPI staining was at a concentration of 200 mu g/mL in 24 and 48 h. The results indicate that FAs derived from M. laminarioides have potential to reduce the proliferation in BC cells.</t>
  </si>
  <si>
    <t>[do-Amaral, C. C. F.; Pacheco, B. S.; Segatto, N., V; Paschoal, J. D. F.; Seixas, F. K.; Collares, T.] Univ Fed Pelotas, Technol Dev Ctr, Canc Biotechnol Lab, Res Grp Cellular &amp; Mol Oncol, Pelotas, RS, Brazil; [Pacheco, B. S.; Santos, M. A. Z.; Pereira, C. M. P.] Univ Fed Pelotas, Ctr Chem Pharmaceut &amp; Food Sci, Lab Lipid &amp; Bioorgan, Pelotas, RS, Brazil; [Astorga-Espana, M. S.; Mansilla, A.] Univ Magallanes, Punta Arenas, Chile; [Mansilla, A.] Biodivers &amp; Ecol Inst, Antarctic &amp; Sub Antarctic Marine Ecosyst Lab, Concepcion, Chile</t>
  </si>
  <si>
    <t>Universidade Federal de Pelotas; Universidade Federal de Pelotas; Universidad de Magallanes</t>
  </si>
  <si>
    <t>Collares, T (corresponding author), Univ Fed Pelotas, Technol Dev Ctr, Canc Biotechnol Lab, Res Grp Cellular &amp; Mol Oncol, Pelotas, RS, Brazil.</t>
  </si>
  <si>
    <t>tiago.collares@ufpel.edu.br</t>
  </si>
  <si>
    <t>do Amaral, Caril Constante Ferreira/AAL-5858-2020; do-Amaral, Caril C F/D-3626-2013; Collares, Tiago/S-2117-2016</t>
  </si>
  <si>
    <t>do Amaral, Caril Constante Ferreira/0000-0003-1243-9224; Mansilla, Andres/0000-0003-3505-7018; Astorga Espana, Maria Soledad/0000-0003-0647-7515; Dame Fonseca Paschoal, Julia/0000-0002-8299-9238; Collares, Tiago/0000-0002-1535-3795</t>
  </si>
  <si>
    <t>Brazilian Antarctic Program (PROANTAR/MCT/CNPq) [23/2009, 64/2013]; Brazilian research funding agency Foundation for Research Support of the State of Rio Grande do Sul (FAPERGS); Brazilian research funding agency Foundation for Research Support of the State of Sao Paulo (FAPESP); Brazilian research funding agency National Council for Scientific and Technological Development (CNPq); Brazilian research funding agency National Program for Post-Doctoral Studies -Coordination for Improvement of Higher Level Personnel (PNPD/CAPES); Proyecto Conicyt PIA/Apoyo CCTE [AFB170008]; FONDECYT [1180433]</t>
  </si>
  <si>
    <t>Brazilian Antarctic Program (PROANTAR/MCT/CNPq); Brazilian research funding agency Foundation for Research Support of the State of Rio Grande do Sul (FAPERGS)(Fundacao de Amparo a Ciencia e Tecnologia do Estado do Rio Grande do Sul (FAPERGS)); Brazilian research funding agency Foundation for Research Support of the State of Sao Paulo (FAPESP); Brazilian research funding agency National Council for Scientific and Technological Development (CNPq)(Conselho Nacional de Desenvolvimento Cientifico e Tecnologico (CNPQ)Fundacao de Apoio a Pesquisa do Distrito Federal (FAPDF)); Brazilian research funding agency National Program for Post-Doctoral Studies -Coordination for Improvement of Higher Level Personnel (PNPD/CAPES); Proyecto Conicyt PIA/Apoyo CCTE; FONDECYT(Comision Nacional de Investigacion Cientifica y Tecnologica (CONICYT)CONICYT FONDECYT)</t>
  </si>
  <si>
    <t>This study had financial and logistic support from the Brazilian Antarctic Program (PROANTAR/MCT/CNPq-no. 23/2009; 64/2013). The authors are grateful for the financial and fellowship support from the Brazilian research funding agencies Foundation for Research Support of the State of Rio Grande do Sul (FAPERGS), Foundation for Research Support of the State of Sao Paulo (FAPESP), National Council for Scientific and Technological Development (CNPq), and National Program for Post-Doctoral Studies -Coordination for Improvement of Higher Level Personnel (PNPD/CAPES). A. M. thanks Proyecto Conicyt PIA/Apoyo CCTE AFB170008, Instituto de Ecologia y Biodiversidad (IEB) and FONDECYT program grant 1180433.</t>
  </si>
  <si>
    <t>2211-9264</t>
  </si>
  <si>
    <t>ALGAL RES</t>
  </si>
  <si>
    <t>Algal Res.</t>
  </si>
  <si>
    <t>10.1016/j.algal.2020.101936</t>
  </si>
  <si>
    <t>LW6SI</t>
  </si>
  <si>
    <t>WOS:000539273500014</t>
  </si>
  <si>
    <t>Lu, HY; Liu, RX; Cheng, LH; Feng, H; Zhang, HZ; Wang, Y; Hu, R; Zhao, WC; Ji, JF; Xu, ZK; Yu, ZJ; Kulhanek, DK; Pandey, DK; Clift, PD</t>
  </si>
  <si>
    <t>Lu, Huayu; Liu, Ruixuan; Cheng, Linhai; Feng, Han; Zhang, Hanzhi; Wang, Yao; Hu, Rong; Zhao, Wancang; Ji, Junfeng; Xu, Zhaokai; Yu, Zhaojie; Kulhanek, Denise K.; Pandey, Dhananjai K.; Clift, Peter D.</t>
  </si>
  <si>
    <t>Phased evolution and variation of the South Asian monsoon, and resulting weathering and surface erosion in the Himalaya-Karakoram Mountains, since late Pliocene time using data from Arabian Sea core</t>
  </si>
  <si>
    <t>zircon U-Pb ages; Nd-Sr isotopes; hematite content; grain size; IODP Hole U1456A; east Arabian Sea; monsoon rainfall belt</t>
  </si>
  <si>
    <t>LATE QUATERNARY; DEPOSITIONAL SEQUENCE; SEDIMENT PROVENANCE; ISOTOPE VARIABILITY; TEMPORAL VARIATIONS; LESSER HIMALAYA; TIBETAN PLATEAU; INDUS RIVER; CHINA SEA; ND</t>
  </si>
  <si>
    <t>We investigate the phased evolution and variation of the South Asian monsoon and resulting weathering intensity and physical erosion in the Himalaya-Karakoram Mountains since late Pliocene time (c. 3.4 Ma) using a comprehensive approach. Neodymium and strontium isotopic compositions and single-grain zircon U-Pb age spectra reveal the sources of the deposits in the east Arabian Sea, and show a combination of sources from the Himalaya and the Karakoram-Kohistan-Ladakh Mountains, with sediments from the Indian Peninsula such as the Deccan Traps or Craton. We interpret shifts in the sediment sources to have been forced by sea-level changes that correlate with South Asian monsoon rainfall variation since late Pliocene time. We collected 908 samples from the International Ocean Discovery Program Hole U1456A, which was drilled in the east Arabian Sea. Time series of hematite content and grain size of the sediments were examined downcore. We found South Asian monsoon precipitation and weathering intensity experienced three phases from late Pliocene time. Lower monsoon precipitation, with a lower variability and strong weathering intensity, occurred during 3.4-2.4 Ma; an increased and more variable South Asian monsoon rainfall, along with strengthened but fluctuating weathering intensity, occurred at 1.8-1.1 Ma; and a reduced rainfall with lower South Asian monsoon precipitation variability and moderate weathering intensity marked the period 1.1-0.1 Ma. Maximum entropy spectral analysis and wavelet transform show that there were orbital-dominated cycles of periods c. 100 and c. 41 ka in these proxy-based time series. We propose that the monsoon, sea level, global temperature and insolation together forced the weathering and erosion in SW Asia.</t>
  </si>
  <si>
    <t>[Lu, Huayu; Liu, Ruixuan; Cheng, Linhai; Feng, Han; Zhang, Hanzhi; Wang, Yao; Hu, Rong; Zhao, Wancang] Nanjing Univ, Key Lab Coast &amp; Isl Dev, Minist Educ, Sch Geog &amp; Ocean Sci, Nanjing 210023, Peoples R China; [Zhao, Wancang; Ji, Junfeng] Nanjing Univ, Sch Earth Sci &amp; Engn, Key Lab Surficial Geochem, Minist Educ, Nanjing 210023, Peoples R China; [Xu, Zhaokai; Yu, Zhaojie] Chinese Acad Sci, Inst Oceanol, Key Lab Marine Geol &amp; Environm, Qingdao 266071, Peoples R China; [Kulhanek, Denise K.] Texas A&amp;M Univ, Int Ocean Discovery Program, 1000 Discovery Dr,10, College Stn, TX 77845 USA; [Pandey, Dhananjai K.] Natl Ctr Antarctic &amp; Ocean Res NCAOR, Dept Marine Geophys, Vasco Da Gama 403804, Goa, India; [Clift, Peter D.] Louisiana State Univ, Dept Geol &amp; Geophys, Baton Rouge, LA 70803 USA</t>
  </si>
  <si>
    <t>Nanjing University; Nanjing University; Chinese Academy of Sciences; Institute of Oceanology, CAS; Texas A&amp;M University System; Texas A&amp;M University College Station; Ministry of Earth Sciences (MoES) - India; National Centre for Polar and Ocean Research (NCPOR); Louisiana State University System; Louisiana State University</t>
  </si>
  <si>
    <t>Lu, HY (corresponding author), Nanjing Univ, Key Lab Coast &amp; Isl Dev, Minist Educ, Sch Geog &amp; Ocean Sci, Nanjing 210023, Peoples R China.</t>
  </si>
  <si>
    <t>huayulu@nju.edu.cn</t>
  </si>
  <si>
    <t>Zhang, Hanzhi/GLN-6996-2022; Pandey, Dhananjai/HTO-0167-2023; Feng, Han/AGD-4061-2022; Li, Yan/JUU-5189-2023; YU, ZHAOJIE/L-8930-2019; Clift, Peter/JWO-3915-2024</t>
  </si>
  <si>
    <t>Zhang, Hanzhi/0000-0001-7112-2302; Lu, Huayu/0000-0002-6306-6985; Feng, Han/0000-0001-8178-9477; Pandey, Dhananjai K/0000-0001-6899-8995; Kulhanek, Denise/0000-0002-2156-6383</t>
  </si>
  <si>
    <t>National Natural Science Foundation of China [41888101, 41690111, 41920104005]; post-cruise research grant</t>
  </si>
  <si>
    <t>National Natural Science Foundation of China(National Natural Science Foundation of China (NSFC)); post-cruise research grant</t>
  </si>
  <si>
    <t>We thank China-IODP for supporting HY Lu to participate in the IODP 355 expedition during April-June 2015 in the Arabian Sea. This research is supported by the National Natural Science Foundation of China (grant nos 41888101, 41690111 and 41920104005) and the post-cruise research grant to HY Lu.</t>
  </si>
  <si>
    <t>PII S0016756820000291</t>
  </si>
  <si>
    <t>10.1017/S0016756820000291</t>
  </si>
  <si>
    <t>WOS:000539094000004</t>
  </si>
  <si>
    <t>Khim, BK; Lee, J; Ha, S; Park, J; Pandey, DK; Clift, PD; Kulhanek, DK; Steinke, S; Griffith, EM; Suzuki, K; Xu, ZK</t>
  </si>
  <si>
    <t>Khim, Boo-Keun; Lee, Jongmin; Ha, Sanbeom; Park, Jinku; Pandey, Dhananjai K.; Clift, Peter D.; Kulhanek, Denise K.; Steinke, Stephan; Griffith, Elizabeth M.; Suzuki, Kenta; Xu, Zhaokai</t>
  </si>
  <si>
    <t>IODP Expedition 355 Scientists</t>
  </si>
  <si>
    <t>Variations in δ13C values of sedimentary organic matter since late Miocene time in the Indus Fan (IODP Site 1457) of the eastern Arabian Sea</t>
  </si>
  <si>
    <t>organic matter; organic carbon; carbon isotope; Indus Fan; Arabian Sea; IODP</t>
  </si>
  <si>
    <t>OXYGEN MINIMUM ZONE; ENHANCED PRESERVATION; SURFACE PRODUCTIVITY; CONTINENTAL-MARGIN; LATE QUATERNARY; CARBON; EVOLUTION; HOLOCENE; OCEAN; DENITRIFICATION</t>
  </si>
  <si>
    <t>A 1108.6 m long core was recovered at Site U1457 located on the Indus Fan in the Laxmi Basin of the eastern Arabian Sea during IODP Expedition 355. Shipboard examinations defined five lithologic units (I to V) of the lower Paleocene to Holocene sedimentary sequence. In this study, delta C-13 values of sedimentary organic matter (SOM) confirm the differentiation of the lithologic units and further divide units III and IV into two subunits (1 and 2). Based on the underlying assumption that the SOM is decided primarily by a mixture of marine and terrestrial origins, delta C-13(SOM) values at Site U1457 provide information on the terrestrial catchment conditions since late Miocene time. Low delta C-13(SOM) values from late Miocene to late Pleistocene times are similar (c. -22.0 parts per thousand) for the most part, reflecting a consistent contribution of terrestrial organic matter from the catchment areas characterized by dominant C3 land plants. Significantly lower delta C-13(SOM) values (c. -24.0 parts per thousand) in Unit III-2 (similar to 8 to similar to 7 Ma) might be due to a greater input of C3 terrestrial organic matter. The increase in delta C-13(SOM) values at similar to 7 Ma and the appearance of high delta C-13(SOM) values (c. -18.0 parts per thousand) within Unit III-1 (similar to 7 to similar to 2 Ma) indicate that C4 biomass overwhelmed the terrestrial catchment environment as a result of enhanced terrestrial aridity in the Himalayan foreland. The three-end-member simple mixing model, estimating the relative contributions of SOM from terrestrial C3 and C4 plants and marine phytoplankton, supports our interpretation of the distribution of C3 and C4 land plants in the terrestrial catchment environment.</t>
  </si>
  <si>
    <t>[Khim, Boo-Keun; Lee, Jongmin; Ha, Sanbeom; Park, Jinku] Pusan Natl Univ, Dept Oceanog, Busan 46241, South Korea; [Pandey, Dhananjai K.] Natl Ctr Antarctic &amp; Ocean Res, Dept Marine Geophys, Vasco Da Gama 403804, Goa, India; [Clift, Peter D.] Louisiana State Univ, Dept Geol &amp; Geophys, Baton Rouge, LA 70803 USA; [Kulhanek, Denise K.] Texas A&amp;M Univ, Int Ocean Discovery Program, College Stn, TX 77845 USA; [Steinke, Stephan] Xiamen Univ, Dept Geol Oceanog, Xiamen 361102, Peoples R China; [Griffith, Elizabeth M.] Ohio State Univ, Sch Earth Sci, Columbus, OH 43210 USA; [Suzuki, Kenta] Hokkaido Univ, Grad Sch Environm Sci, Sapporo, Hokkaido 0600810, Japan; [Xu, Zhaokai] Chinese Acad Sci, Inst Oceanol, Key Lab Marine Geol &amp; Environm, Qingdao 266071, Peoples R China</t>
  </si>
  <si>
    <t>Pusan National University; Ministry of Earth Sciences (MoES) - India; National Centre for Polar and Ocean Research (NCPOR); Louisiana State University System; Louisiana State University; Texas A&amp;M University System; Texas A&amp;M University College Station; Xiamen University; University System of Ohio; Ohio State University; Hokkaido University; Chinese Academy of Sciences; Institute of Oceanology, CAS</t>
  </si>
  <si>
    <t>Khim, BK (corresponding author), Pusan Natl Univ, Dept Oceanog, Busan 46241, South Korea.</t>
  </si>
  <si>
    <t>bkkhim@pusan.ac.kr</t>
  </si>
  <si>
    <t>Suzuki, Kenta/ABC-2336-2021; Kumar, Anil/K-3768-2014; Pandey, Dhananjai/S-3843-2019; Griffith, Elizabeth/KBB-3072-2024; Clift, Peter/JWO-3915-2024; Gurumurthy, GP/B-5703-2013</t>
  </si>
  <si>
    <t>Kumar, Anil/0000-0003-1559-8589; Pandey, Dhananjai/0000-0001-6899-8995; Routledge, Claire Marie/0000-0002-6037-6638; Gurumurthy, GP/0000-0003-1156-6811; Suzuki, Kenta/0000-0001-6391-7471</t>
  </si>
  <si>
    <t>National Research Foundation of Korea grant [2016R1A2B4008256]</t>
  </si>
  <si>
    <t>National Research Foundation of Korea grant(National Research Foundation of Korea)</t>
  </si>
  <si>
    <t>This research used samples provided by IODP, and data collected onboard the vessel JOIDES Resolution (IODP Expedition 355-Arabian Sea Monsoon). Constructive comments by two anonymous reviewers for the improvement of data interpretation were greatly appreciated. A National Research Foundation of Korea grant (2016R1A2B4008256) was appreciated for the completion of this study.</t>
  </si>
  <si>
    <t>PII S0016756818000870</t>
  </si>
  <si>
    <t>10.1017/S0016756818000870</t>
  </si>
  <si>
    <t>WOS:000539094000016</t>
  </si>
  <si>
    <t>Gillies, CL; Castine, SA; Alleway, HK; Crawford, C; Fitzsimons, JA; Hancock, B; Koch, P; McAfee, D; McLeod, IM; Ermgassen, PSEZ</t>
  </si>
  <si>
    <t>Gillies, Chris L.; Castine, Sarah A.; Alleway, Heidi K.; Crawford, Christine; Fitzsimons, James A.; Hancock, Boze; Koch, Paul; McAfee, Dominic; McLeod, Ian M.; Ermgassen, Philine S. E. zu</t>
  </si>
  <si>
    <t>Conservation status of the Oyster Reef Ecosystem of Southern and Eastern Australia</t>
  </si>
  <si>
    <t>GLOBAL ECOLOGY AND CONSERVATION</t>
  </si>
  <si>
    <t>Shellfish reefs; Oyster; Marine conservation; Ecosystem collapse; IUCN red list of ecosystems; Risk assessment</t>
  </si>
  <si>
    <t>SACCOSTREA-GLOMERATA; OCEAN ACIDIFICATION; CLIMATE-CHANGE; RESTORATION; COASTAL; MARINE; POPULATIONS; SEDIMENT; IMPACTS; TEMPERATURE</t>
  </si>
  <si>
    <t>Reef ecosystems all over the world are in decline and managers urgently need information that can assess management interventions and set national conservation targets. We assess the conservation status and risk of ecosystem collapse for the Oyster Reef Ecosystem of Southern and Eastern Australia, which comprises two community sub-types established by Saccostrea glomerate (Sydney rock oyster) and Ostrea angasi (Australian flat oyster), consistent with the IUCN Red List of Ecosystems risk assessment process. We established: (i) key aspects of the ecosystem including: ecological description, biological characteristics, condition and collapse thresholds, natural and threatening processes; (ii) previous and current extent of occurrence and current area of occupancy; and (iii) its likelihood of collapse within the next 50-100 years. The most severe risk rating occurred for Criterion A: Reduction in Extent (since 1750) and Criterion D: Disruption of biotic processes (since 1750), although assessment varied from Least Concern to Critically Endangered amongst the four criteria assessed. Our overall assessment ranks the risk of collapse for the ecosystem (including both community sub-types) as Critically Endangered with a high degree of confidence. Our results suggest the need for rapid intervention to protect remaining reefs and undertake restoration at suitable sites. Several restoration projects have already demonstrated this is feasible, and Australia is well equipped with government policies and regulatory mechanisms to support the future conservation and recovery of temperate oyster ecosystems. (C) 2020 The Authors. Published by Elsevier B.V.</t>
  </si>
  <si>
    <t>[Gillies, Chris L.; Fitzsimons, James A.] Nature Conservancy, Suite 2-01,60 Leicester St, Carlton, Vic 3053, Australia; [Gillies, Chris L.; McLeod, Ian M.] James Cook Univ, Ctr Trop Water &amp; Aquat Ecosyst Res, TropWATER, Townsville, Qld 4811, Australia; [Castine, Sarah A.] Marine Solut, 110 Swanston St, New Town, Tas 7008, Australia; [Alleway, Heidi K.; McAfee, Dominic] Univ Adelaide, Sch Biol Sci, Adelaide, SA 5005, Australia; [Crawford, Christine] Univ Tasmania, Inst Marine &amp; Antarctic Studies, 20 Castray Esplanade, Battery Point, Tas 7004, Australia; [Fitzsimons, James A.] Deakin Univ, Sch Life &amp; Environm Sci, 221 Burwood Highway, Burwood, Vic 3125, Australia; [Hancock, Boze] Univ Rhode Isl, Grad Sch Oceanog, Nat Conservancy, 215 South Ferry Rd, Narragansett, RI 02882 USA; [Koch, Paul] Future Ecosyst, Hahndorf, SA 5245, Australia; [Ermgassen, Philine S. E. zu] Univ Edinburgh, Sch Geosci, Grant Inst, Changing Oceans Grp, James Hutton Rd, Edinburgh EH9 3FE, Midlothian, Scotland</t>
  </si>
  <si>
    <t>Nature Conservancy; James Cook University; University of Adelaide; University of Tasmania; Deakin University; University of Rhode Island; Nature Conservancy; University of Edinburgh</t>
  </si>
  <si>
    <t>Gillies, CL (corresponding author), Suite 2-01,60 Leicester St, Carlton, Vic 3053, Australia.</t>
  </si>
  <si>
    <t>Chris.gillies@tnc.org</t>
  </si>
  <si>
    <t>Fitzsimons, James/W-2497-2019; Mcafee, Dominic/ABD-5585-2020; McLeod, Ian/J-9062-2014</t>
  </si>
  <si>
    <t>Fitzsimons, James/0000-0003-4277-8040; Mcafee, Dominic/0000-0001-8278-8169; McLeod, Ian/0000-0001-5375-4402</t>
  </si>
  <si>
    <t>National Environmental Science Program Marine Biodiversity Hub; Thomas Foundation</t>
  </si>
  <si>
    <t>This research was supported by the National Environmental Science Program Marine Biodiversity Hub and The Thomas Foundation. We thank three reviewers for useful comments which helped improve this manuscript.</t>
  </si>
  <si>
    <t>2351-9894</t>
  </si>
  <si>
    <t>GLOB ECOL CONSERV</t>
  </si>
  <si>
    <t>Glob. Ecol. Conserv.</t>
  </si>
  <si>
    <t>e00988</t>
  </si>
  <si>
    <t>10.1016/j.gecco.2020.e00988</t>
  </si>
  <si>
    <t>LW6OP</t>
  </si>
  <si>
    <t>WOS:000539263800015</t>
  </si>
  <si>
    <t>Cao, SN; Zhang, WP; Ding, W; Wang, M; Fan, S; Yang, B; Mcminn, A; Wang, M; Xie, BB; Qin, QL; Chen, XL; He, JF; Zhang, YZ</t>
  </si>
  <si>
    <t>Cao, Shunan; Zhang, Weipeng; Ding, Wei; Wang, Meng; Fan, Shen; Yang, Bo; Mcminn, Andrew; Wang, Min; Xie, Bin-bin; Qin, Qi-Long; Chen, Xiu-Lan; He, Jianfeng; Zhang, Yu-Zhong</t>
  </si>
  <si>
    <t>Structure and function of the Arctic and Antarctic marine microbiota as revealed by metagenomics (vol 8, 47, 2020)</t>
  </si>
  <si>
    <t>MICROBIOME</t>
  </si>
  <si>
    <t>[Cao, Shunan; He, Jianfeng] Polar Res Inst China, Key Lab Polar Sci MNR, Shanghai 200136, Peoples R China; [Zhang, Weipeng; Wang, Meng; Fan, Shen; Yang, Bo; Mcminn, Andrew; Wang, Min; Zhang, Yu-Zhong] Ocean Univ China, Coll Marine Life Sci, Qingdao 266003, Peoples R China; [Zhang, Weipeng; Wang, Meng; Fan, Shen; Yang, Bo; Mcminn, Andrew; Wang, Min; Zhang, Yu-Zhong] Ocean Univ China, Frontiers Sci Ctr Deep Ocean Multispheres &amp; Earth, Qingdao 266003, Peoples R China; [Ding, Wei; Xie, Bin-bin; Qin, Qi-Long; Chen, Xiu-Lan] Shandong Univ, State Key Lab Microbial Technol, Qingdao 266237, Peoples R China; [Ding, Wei; Xie, Bin-bin; Qin, Qi-Long; Chen, Xiu-Lan] Shandong Univ, Marine Biotechnol Res Ctr, Qingdao 266237, Peoples R China</t>
  </si>
  <si>
    <t>Polar Research Institute of China; Ocean University of China; Ocean University of China; Shandong University; Shandong University</t>
  </si>
  <si>
    <t>He, JF (corresponding author), Polar Res Inst China, Key Lab Polar Sci MNR, Shanghai 200136, Peoples R China.;Zhang, YZ (corresponding author), Ocean Univ China, Coll Marine Life Sci, Qingdao 266003, Peoples R China.;Zhang, YZ (corresponding author), Ocean Univ China, Frontiers Sci Ctr Deep Ocean Multispheres &amp; Earth, Qingdao 266003, Peoples R China.</t>
  </si>
  <si>
    <t>hejianfeng@pric.org.cn; zhangyuzhong6830@ouc.edu.cn</t>
  </si>
  <si>
    <t>DING, Wei/CVK-8505-2022; Wang, Min/AFR-9645-2022</t>
  </si>
  <si>
    <t>DING, Wei/0000-0002-1847-244X; Wang, Min/0000-0002-2357-589X</t>
  </si>
  <si>
    <t>2049-2618</t>
  </si>
  <si>
    <t>Microbiome</t>
  </si>
  <si>
    <t>10.1186/s40168-020-00871-4</t>
  </si>
  <si>
    <t>LW6BX</t>
  </si>
  <si>
    <t>WOS:000539230800003</t>
  </si>
  <si>
    <t>Guzenko, RB; Mironov, YU; Kharitonov, VV; May, RI; Porubaev, VS; Khotchenkov, SV; Kornishin, KA; Efimov, YO; Tarasov, PA</t>
  </si>
  <si>
    <t>Guzenko, Roman B.; Mironov, Yevgeny U.; Kharitonov, Victor V.; May, Ruslan, I; Porubaev, Viktor S.; Khotchenkov, Stepan, V; Kornishin, Konstantin A.; Efimov, Yaroslav O.; Tarasov, Petr A.</t>
  </si>
  <si>
    <t>Morphometry and Internal Structure of Ice Ridges in the Kara and Laptev Seas</t>
  </si>
  <si>
    <t>INTERNATIONAL JOURNAL OF OFFSHORE AND POLAR ENGINEERING</t>
  </si>
  <si>
    <t>Ice ridge; thermal drilling; internal structure; consolidated layer; porosity; sail; keel</t>
  </si>
  <si>
    <t>The article presents an analysis of the expedition results on morphometry and the internal structure of ice ridges. A regression equation connecting the consolidated layer (CL) thickness of ice ridges with the sum of degree-days of frost is proposed. The issue of the CL distribution inside the ice ridge is considered. It is shown that the largest CL thickness is observed in the zone, combining the maximum sail and keel. The averaged porosity distribution by vertical is derived, and the main regularities of its change inside the ice ridge are shown.</t>
  </si>
  <si>
    <t>[Guzenko, Roman B.; Mironov, Yevgeny U.; Kharitonov, Victor V.; May, Ruslan, I; Porubaev, Viktor S.; Khotchenkov, Stepan, V] Arctic &amp; Antarctic Res Inst AARI, Dept Sea Ice &amp; Ice Forecasts, St Petersburg, Russia; [Kornishin, Konstantin A.; Tarasov, Petr A.] Rosneft Oil Co, R&amp;D &amp; Tech Regulat Dept, Moscow, Russia; [Efimov, Yaroslav O.] Arctic Res Ctr, Dept Marine Operat, Moscow, Russia</t>
  </si>
  <si>
    <t>Arctic &amp; Antarctic Research Institute; Rosneft Oil</t>
  </si>
  <si>
    <t>Guzenko, RB (corresponding author), Arctic &amp; Antarctic Res Inst AARI, Dept Sea Ice &amp; Ice Forecasts, St Petersburg, Russia.</t>
  </si>
  <si>
    <t>Porubaev, Viktor/AAQ-2169-2021; Guzenko, Roman/J-3942-2014; Kornishin, Konstantin/AAA-7560-2022; Mironov, Yevgeny Uarovich/ADV-4713-2022; Efimov, Yaroslav/ABA-3471-2021; May, Ruslan I./J-5316-2013</t>
  </si>
  <si>
    <t>Mironov, Yevgeny Uarovich/0000-0001-8390-8011; May, Ruslan I./0000-0002-5602-1391; Kharitonov, Victor/0000-0003-1847-9980</t>
  </si>
  <si>
    <t>Russian Foundation for Basic Research [18-05-60109]; Rosneft Oil Company</t>
  </si>
  <si>
    <t>Russian Foundation for Basic Research(Russian Foundation for Basic Research (RFBR)Spanish Government); Rosneft Oil Company</t>
  </si>
  <si>
    <t>This study is supported by the Russian Foundation for Basic Research (Grant 18-05-60109). Studies were carried out in the framework of the innovation activity of the Rosneft Oil Company.</t>
  </si>
  <si>
    <t>INT SOC OFFSHORE POLAR ENGINEERS</t>
  </si>
  <si>
    <t>CUPERTINO</t>
  </si>
  <si>
    <t>PO BOX 189, CUPERTINO, CA 95015-0189 USA</t>
  </si>
  <si>
    <t>1053-5381</t>
  </si>
  <si>
    <t>INT J OFFSHORE POLAR</t>
  </si>
  <si>
    <t>Int. J. Offshore Polar Eng.</t>
  </si>
  <si>
    <t>10.17736/ijope.2020.jc784</t>
  </si>
  <si>
    <t>Engineering, Civil; Engineering, Ocean; Engineering, Mechanical</t>
  </si>
  <si>
    <t>LV7JX</t>
  </si>
  <si>
    <t>WOS:000538614200008</t>
  </si>
  <si>
    <t>Groeneveld, J; Berger, U; Henschke, N; Pakhomov, EA; Reiss, CS; Meyer, B</t>
  </si>
  <si>
    <t>Groeneveld, Juergen; Berger, Uta; Henschke, Natasha; Pakhomov, Evgeny A.; Reiss, Christian S.; Meyer, Bettina</t>
  </si>
  <si>
    <t>Blooms of a key grazer in the Southern Ocean - An individual-based model of Salpa thompsoni</t>
  </si>
  <si>
    <t>ANTARCTIC PENINSULA; AUSTRAL SUMMER; KRILL; THALIACEA; PROTOCOL; TUNICATA; FOXTON; SCALE</t>
  </si>
  <si>
    <t>The Southern Ocean near the Western Antarctic Peninsula (WAP) is strongly affected by climate change resulting in warmer air temperature, accompanied with reduced sea ice coverage, increased sea water temperature and potential changes in the abundances of two key grazer species Salpa thompsoni (salp) and Euphausia superba (Antarctic krill). While salp abundance is hypothesized to increase, krill abundance is hypothesized to decline with dramatic consequences for the entire food web of the Southern Ocean. A better understanding of the biotic interaction between krill and salps and their population dynamics is thus crucial. However, the life cycle of salps is complicated and barely understood. Therefore, we have developed an individual-based model describing the whole life cycle to better understand the population dynamics of salps and the conditions for blooms. The model has been used to explore if and under what conditions the empirical pattern of large variability in observed salp abundances at the WAP, generated by the long-term data of the US Antarctic Marine Living Resources Program (AMLR) can emerge from a small seeding population. The model reproduced this empirical pattern if daily growth rates of oozoids were higher than previously reported for the WAP (mean growth rate for oozoids similar to 1 mm d(-1)) and if growth rates of blastozooids were lower (mean growth rate similar to 0.2 mm d(-1)). The model suggests that a prerequisite for local salp blooms requires a small founding population in early spring. With climate change it has been suggested that more frequent and earlier transport of salps into the WAP or winter survival will occur. Hence, the risk of salp blooms in the WAP is likely to substantially increase. These findings highlight the importance for an improved quantitative understanding of how primary production and the southward advection of salps will be impacted by climate change.</t>
  </si>
  <si>
    <t>[Groeneveld, Juergen] Univ Leipzig, Dept Econ, Deutsch Pl 5e, D-04103 Leipzig, Germany; [Groeneveld, Juergen] German Ctr Integrat Biodivers Res iDiv, Deutsch Pl 5e, D-04103 Leipzig, Germany; [Groeneveld, Juergen; Berger, Uta] Tech Univ Dresden, Inst Forest Growth &amp; Forest Comp Sci, Piennerst 8, D-01735 Tharandt, Germany; [Groeneveld, Juergen] UFZ Helmholtz Ctr Environm Res, Dept Ecol Modelling, Permoserstr 15, D-04318 Leipzig, Germany; [Henschke, Natasha; Pakhomov, Evgeny A.] Univ British Columbia, Dept Earth Ocean &amp; Atmospher Sci, Vancouver, BC V6T 1Z4, Canada; [Pakhomov, Evgeny A.] Univ British Columbia, Inst Oceans &amp; Fisheries, Vancouver, BC V6T 1Z4, Canada; [Pakhomov, Evgeny A.] Hakai Inst, POB 309, Heriot Bay, BC V0P 1H0, Canada; [Reiss, Christian S.] NOAA Fisheries, Antarctic Ecosyst Res Div, Southwest Fisheries Sci Ctr, La Jolla, CA 92037 USA; [Meyer, Bettina] Alfred Wegener Inst Helmholtz Ctr Polar &amp; Marine, Sect Polar Biol Oceanog, Handelshafen 12, D-27570 Bremerhaven, Germany; [Meyer, Bettina] Carl von Ossietzky Univ Oldenburg, Inst Chem &amp; Biol Marine Environm, Carl von Ossietzky Str 9-11, D-26111 Oldenburg, Germany; [Meyer, Bettina] Carl von Ossietzky Univ Oldenburg, Helmholtz Inst Funct Marine Biodivers, Ammerlander Heerstr 231, D-26129 Oldenburg, Germany</t>
  </si>
  <si>
    <t>Leipzig University; Technische Universitat Dresden; Helmholtz Association; Helmholtz Center for Environmental Research (UFZ); University of British Columbia; University of British Columbia; Hakai Institute; National Oceanic Atmospheric Admin (NOAA) - USA; Helmholtz Association; Alfred Wegener Institute, Helmholtz Centre for Polar &amp; Marine Research; Carl von Ossietzky Universitat Oldenburg; Carl von Ossietzky Universitat Oldenburg</t>
  </si>
  <si>
    <t>Groeneveld, J (corresponding author), Univ Leipzig, Dept Econ, Deutsch Pl 5e, D-04103 Leipzig, Germany.;Groeneveld, J (corresponding author), German Ctr Integrat Biodivers Res iDiv, Deutsch Pl 5e, D-04103 Leipzig, Germany.;Meyer, B (corresponding author), Alfred Wegener Inst Helmholtz Ctr Polar &amp; Marine, Sect Polar Biol Oceanog, Handelshafen 12, D-27570 Bremerhaven, Germany.</t>
  </si>
  <si>
    <t>juergen.groeneveld@idiv.de; bettina.meyer@awi.de</t>
  </si>
  <si>
    <t>Groeneveld, Juergen/N-2420-2016; Meyer, Bettina/ABB-5311-2020</t>
  </si>
  <si>
    <t>Meyer, Bettina/0000-0001-6804-9896</t>
  </si>
  <si>
    <t>Federal Ministry of Education &amp; Research BMBF Germany Project PEKRIS [03F0746B, 03F0746A]; German Academic Exchange Service DAAD [57386792]; German Centre for Integrative Biodiversity Research (iDiv) Halle-Jena-Leipzig - German Research Foundation [FZT 118]</t>
  </si>
  <si>
    <t>Federal Ministry of Education &amp; Research BMBF Germany Project PEKRIS; German Academic Exchange Service DAAD(Deutscher Akademischer Austausch Dienst (DAAD)); German Centre for Integrative Biodiversity Research (iDiv) Halle-Jena-Leipzig - German Research Foundation</t>
  </si>
  <si>
    <t>We thank two anonymous reviewers for their insightful and constructive comments. This work was supported by the Federal Ministry of Education &amp; Research BMBF Germany Project PEKRIS (The PErformance of Krill and Salps to withstand in a warming Southern Ocean) awarded to JG (03F0746B) and BM (03F0746A). We also thank the German Academic Exchange Service DAAD (Project 57386792) for funding travelling for BM and JG to partially support this work. We gratefully acknowledge the support of the German Centre for Integrative Biodiversity Research (iDiv) Halle-Jena-Leipzig, funded by the German Research Foundation (FZT 118).</t>
  </si>
  <si>
    <t>1873-4472</t>
  </si>
  <si>
    <t>10.1016/j.pocean.2020.102339</t>
  </si>
  <si>
    <t>LU9ZK</t>
  </si>
  <si>
    <t>WOS:000538104400004</t>
  </si>
  <si>
    <t>Wang, B; Chen, M; Chen, F; Jia, RM; Li, XP; Zheng, MF; Qiu, YS</t>
  </si>
  <si>
    <t>Wang, Bo; Chen, Min; Chen, Feng; Jia, Renming; Li, Xiaopeng; Zheng, Minfang; Qiu, Yusheng</t>
  </si>
  <si>
    <t>Meteoric water promotes phytoplankton carbon fixation and iron uptake off the eastern tip of the Antarctic Peninsula (eAP)</t>
  </si>
  <si>
    <t>SOUTHERN-OCEAN PHYTOPLANKTON; MIXED-LAYER DEPTH; NORTHERN MARGUERITE BAY; MELTING GLACIERS FUELS; SEA-ICE; ROSS SEA; DISSOLVED IRON; MARINE-PHYTOPLANKTON; PRIMARY PRODUCTIVITY; OXYGEN-ISOTOPE</t>
  </si>
  <si>
    <t>Both bioavailable iron (Fe) and water stability have been proposed to regulate primary production in large parts of the Southern Ocean. Freshwater is not only an important factor regulating water stability, but is also an important source of dissolved iron (DFe) for phytoplankton growth. In this study, stable oxygen isotopic composition (delta O-18) and salinity were used to distinguish meteoric water (glacial discharge and precipitation) from sea ice meltwater in the northernmost part of the eastern Antarctic Peninsula (eAP). The carbon fixation rate (CFR) and Fe uptake rate (FeUR) were measured via C-14 and Fe-55 tracer assay, respectively. We observed positive responses of FeURs to the fraction of meteoric water and sea ice meltwater, and a stronger correlation between FeUR and meteoric water, indicating that freshwater input could relieve the Fe limitation in this area, and meteoric water was likely to be the main source of DFe. In addition, we also observed that both meteoric water and sea ice meltwater increased CFR, but CFR only showed slightly positive response to sea ice meltwater. This suggested that the primary effect of increased sea ice meltwater was to enhance the stability of water column, providing a favorable condition for phytoplankton growth. Since the potential meteoric water inventory is much greater than sea ice meltwater and meteoric water input is expected to rise further as climate warming continues as mentioned in Meredith et al's studies (2008, 2010), the meteoric water is likely increasingly important in Antarctic coastal zones. Smaller phytoplankton responded more obviously to the freshwater input, and we speculate that this would influence on the carbon export in the ambient and nearby oceanic areas. The low Fe demand (Fe:C ratio = 8.04 mu mol mol(-1)) suggested that phytoplankton in the eAP were adapted to a low Fe environment. In addition, primary production estimated from high Fe:C ratios would underestimate the real situation in the southern ocean. These findings help to understand how meteoric water and sea ice meltwater could affect the Antarctic ecosystem in response to climate change.</t>
  </si>
  <si>
    <t>[Wang, Bo; Chen, Min; Jia, Renming; Li, Xiaopeng; Zheng, Minfang; Qiu, Yusheng] Xiamen Univ, Coll Ocean &amp; Earth Sci, Xiamen 361102, Peoples R China; [Wang, Bo; Chen, Feng] Univ Maryland, Inst Marine &amp; Environm Technol, Ctr Environm Sci, Baltimore, MD 21202 USA</t>
  </si>
  <si>
    <t>Xiamen University; University System of Maryland; University of Maryland Baltimore; University of Maryland Center for Environmental Science; Institute of Marine &amp; Environmental Technology</t>
  </si>
  <si>
    <t>Chen, M (corresponding author), Xiamen Univ, Coll Ocean &amp; Earth Sci, Xiamen 361102, Peoples R China.</t>
  </si>
  <si>
    <t>mchen@xmu.edu.cn</t>
  </si>
  <si>
    <t>Li, Xiaopeng/AAT-3923-2020; Chen, Min/B-7763-2012; ma, qiang/HCI-1013-2022</t>
  </si>
  <si>
    <t>Li, Xiaopeng/0000-0001-7686-0283; Chen, Min/0000-0003-0369-694X;</t>
  </si>
  <si>
    <t>Southern Ocean to climate change [RFSOCC2020-2025]; Natural Science Foundation of China [41721005]; Public Science and Technology Research Funds Projects of Ocean [201505034]</t>
  </si>
  <si>
    <t>Southern Ocean to climate change; Natural Science Foundation of China(National Natural Science Foundation of China (NSFC)); Public Science and Technology Research Funds Projects of Ocean</t>
  </si>
  <si>
    <t>The authors wish to thank the First Institute of Oceanography and the Second Institute of Oceanography, Ministry of Natural Resources of the People's Republic of China, for providing the CTD and nutrient (including nitrate, nitrite, ammonium and phosphate) data, and three reviewers for their constructive comments, which greatly improved the manuscript. This work was supported by the response and feedback of the Southern Ocean to climate change (RFSOCC2020-2025), Natural Science Foundation of China (41721005) and Public Science and Technology Research Funds Projects of Ocean (No. 201505034).</t>
  </si>
  <si>
    <t>10.1016/j.pocean.2020.102347</t>
  </si>
  <si>
    <t>WOS:000538104400008</t>
  </si>
  <si>
    <t>Kusahara, K</t>
  </si>
  <si>
    <t>Kusahara, Kazuya</t>
  </si>
  <si>
    <t>Interannual-to-Multidecadal Responses of Antarctic Ice Shelf-Ocean Interaction and Coastal Water Masses during the Twentieth Century and the Early Twenty-First Century to Dynamic and Thermodynamic Forcing</t>
  </si>
  <si>
    <t>SOUTHERN ANNULAR MODE; BASAL MELT RATES; SEA-ICE; RECENT TRENDS; WEDDELL SEA; PART II; VARIABILITY; CIRCULATION; EXTENT; SHELF/OCEAN</t>
  </si>
  <si>
    <t>Much attention has been paid to ocean-cryosphere interactions over the Southern Ocean. Basal melting of Antarctic ice shelves has been reported to be the primary ablation process for the Antarctic ice sheets. Warm waters on the continental shelf, such as Circumpolar Deep Water (CDW) and Antarctic Surface Water (AASW), play a critical role in active ice shelf basal melting. However, the temporal evolution and mechanisms of the basal melting and warm water intrusions throughout the twentieth century and the early twenty-first century have not been rigorously examined and are not fully understood. Here, we conduct a numerical experiment of an ocean-sea ice-ice shelf model forced with a century-long atmospheric reanalysis for the period 1900-2010. To begin with, we provide an assessment of the atmospheric conditions by comparing with available observation and show biases in warming and stronger westerly trends. Taking into account the limitation, we examine the interannual-to-multidecadal variability in the Antarctic ice shelf basal melting and the role of coastal water masses. A series of numerical experiments demonstrate that wind stress changes over the Southern Ocean drive enhanced poleward heat transport by stronger subpolar gyres and reduce coastal sea ice and cold-water formations, both of which result in an increased ocean heat flux into Antarctic ice shelf cavities. Furthermore, an increase of sea ice-free days leads to enhanced regional AASW contribution to the basal melting. This study demonstrates that changes in Antarctic coastal water masses are key metrics for better understanding of the ocean-cryosphere interaction over the Southern Ocean.</t>
  </si>
  <si>
    <t>[Kusahara, Kazuya] Japan Agcy Marine Earth Sci &amp; Technol, Yokohama, Kanagawa, Japan; [Kusahara, Kazuya] Univ Tasmania, Antarctic Climate &amp; Ecosyst Res Ctr, Hobart, Tas, Australia</t>
  </si>
  <si>
    <t>Japan Agency for Marine-Earth Science &amp; Technology (JAMSTEC); University of Tasmania</t>
  </si>
  <si>
    <t>Kusahara, K (corresponding author), Japan Agcy Marine Earth Sci &amp; Technol, Yokohama, Kanagawa, Japan.;Kusahara, K (corresponding author), Univ Tasmania, Antarctic Climate &amp; Ecosyst Res Ctr, Hobart, Tas, Australia.</t>
  </si>
  <si>
    <t>kazuya.kusahara@gmail.com</t>
  </si>
  <si>
    <t>Kusahara, Kazuya/0000-0003-4067-7959</t>
  </si>
  <si>
    <t>Integrated Research Program for Advancing Climate Models (TOUGOU program) from the Ministry of Education, Culture, Sports, Science and Technology (MEXT), Japan; JSPS KEKENHI [JPMXD0717935715, JP19K12301, JP17H06323]</t>
  </si>
  <si>
    <t>Integrated Research Program for Advancing Climate Models (TOUGOU program) from the Ministry of Education, Culture, Sports, Science and Technology (MEXT), Japan; JSPS KEKENHI(Ministry of Education, Culture, Sports, Science and Technology, Japan (MEXT)Japan Society for the Promotion of ScienceGrants-in-Aid for Scientific Research (KAKENHI))</t>
  </si>
  <si>
    <t>This work was supported by the Integrated Research Program for Advancing Climate Models (TOUGOU program) from the Ministry of Education, Culture, Sports, Science and Technology (MEXT), Japan, and JSPS KEKENHI Grants JPMXD0717935715, JP19K12301, JP17H06323. All the numerical experiments with the ocean-sea ice-ice shelf model were performed on HPE Apollo6000XL230k Gen10 (DA system) in JAMSTEC and the Fujitsu PRIMERGY CX600M1/CX1640M1 (Oakforest-PACS) in the Information Technology Center, The University of Tokyo. I am grateful to Dr. Paul Spence and three anonymous reviewers for their careful reading and constructive comments on the manuscript.</t>
  </si>
  <si>
    <t>10.1175/JCLI-D-19-0659.1</t>
  </si>
  <si>
    <t>LU6VU</t>
  </si>
  <si>
    <t>WOS:000537891600001</t>
  </si>
  <si>
    <t>Li, ZY; Holbrook, NJ; Zhang, XB; Oliver, ECJ; Cougnon, EA</t>
  </si>
  <si>
    <t>Li, Zeya; Holbrook, Neil J.; Zhang, Xuebin; Oliver, Eric C. J.; Cougnon, Eva A.</t>
  </si>
  <si>
    <t>Remote Forcing of Tasman Sea Marine Heatwaves</t>
  </si>
  <si>
    <t>Ocean dynamics; Rossby waves</t>
  </si>
  <si>
    <t>NORTH EQUATORIAL CURRENT; EAST AUSTRALIAN CURRENT; PACIFIC-OCEAN; DECADAL VARIABILITY; SOUTHWEST PACIFIC; SURFACE TEMPERATURE; ROSSBY WAVES; THERMOCLINE; BIFURCATION; CIRCULATION</t>
  </si>
  <si>
    <t>Recent marine heatwave (MHW) events in the Tasman Sea have had dramatic impacts on the ecosystems, fisheries, and aquaculture off Tasmania's east coast. However, our understanding of the large-scale drivers (forcing) and potential predictability of MHW events in this region off southeast Australia is still in its infancy. Here, we investigate the role of oceanic Rossby waves forced in the interior South Pacific on observed MHW occurrences off southeast Australia from 1994 to 2016, including the extreme 2015/16 MHW event. First, we used an upper-ocean heat budget analysis to show that 51% of these historical Tasman Sea MHWs were primarily due to increased East Australian Current (EAC) Extension poleward transports through the region. Second, we used lagged correlation analysis to empirically connect the EAC Extension intensification to incoming westward-propagating sea surface height (SSH) anomalies from the interior South Pacific. Third, we dynamically analyzed these SSH anomalies using simple process-based baroclinic and barotropic Rossby wave models forced by wind stress curl changes across the South Pacific. Finally, we show that associated monthly SSH changes around New Zealand may be a useful index of western Tasman Sea MHW predictability, with a lead time of 2-3 years. In conclusion, our findings demonstrate that there is potential predictability of advection-dominated MHW event likelihoods in the EAC Extension region up to several years in advance, due to the deterministic contribution from baroclinic and barotropic Rossby waves in modulating the EAC Extension transports.</t>
  </si>
  <si>
    <t>[Li, Zeya; Holbrook, Neil J.; Cougnon, Eva A.] Univ Tasmania, Inst Marine &amp; Antarctic Studies, Hobart, Tas, Australia; [Li, Zeya; Holbrook, Neil J.] Univ Tasmania, Australian Res Council Ctr Excellence Climate Ext, Hobart, Tas, Australia; [Zhang, Xuebin] CSIRO Oceans &amp; Atmosphere, Ctr Southern Hemisphere Oceans Res, Hobart, Tas, Australia; [Oliver, Eric C. J.] Dalhousie Univ, Australian Res Council Ctr Excellence Climate Ext, Halifax, NS, Canada; [Oliver, Eric C. J.] Dalhousie Univ, Dept Oceanog, Halifax, NS, Canada</t>
  </si>
  <si>
    <t>University of Tasmania; University of Tasmania; Commonwealth Scientific &amp; Industrial Research Organisation (CSIRO); Dalhousie University; Dalhousie University</t>
  </si>
  <si>
    <t>Li, ZY (corresponding author), Univ Tasmania, Inst Marine &amp; Antarctic Studies, Hobart, Tas, Australia.;Li, ZY (corresponding author), Univ Tasmania, Australian Res Council Ctr Excellence Climate Ext, Hobart, Tas, Australia.</t>
  </si>
  <si>
    <t>zeya.li@utas.edu.au</t>
  </si>
  <si>
    <t>Cougnon, Eva/C-4110-2014; Zhang, Xuebin/A-3405-2012; Holbrook, Neil/M-7544-2013; Oliver, Eric/G-5118-2014</t>
  </si>
  <si>
    <t>Zhang, Xuebin/0000-0003-1731-3524; Li, Zeya/0000-0002-9476-9317; Holbrook, Neil/0000-0002-3523-6254; Oliver, Eric/0000-0002-4006-2826</t>
  </si>
  <si>
    <t>Australian Research Council Centre of Excellence for Climate Extremes [CE170100023]; NESP Earth Systems and Climate Change Hub; Centre for Southern Hemisphere Oceans Research Centre (CSHOR); QNLM; CSIRO; NESP Earth Systems and Climate Change Hub Project 2.10; National Sciences and Engineering Research Council of Canada Discovery Grant [RGPIN-2018-05255]; Marine Environmental Observation, Prediction and Response Network (MEOAR) project Drivers, predictability and fisheries impacts of ocean temperature extremes''</t>
  </si>
  <si>
    <t>Australian Research Council Centre of Excellence for Climate Extremes(Australian Research Council); NESP Earth Systems and Climate Change Hub; Centre for Southern Hemisphere Oceans Research Centre (CSHOR); QNLM; CSIRO(Commonwealth Scientific &amp; Industrial Research Organisation (CSIRO)); NESP Earth Systems and Climate Change Hub Project 2.10; National Sciences and Engineering Research Council of Canada Discovery Grant; Marine Environmental Observation, Prediction and Response Network (MEOAR) project Drivers, predictability and fisheries impacts of ocean temperature extremes''</t>
  </si>
  <si>
    <t>The authors thank Ming Feng for his helpful comments on an early draft. We appreciate and acknowledge the valuable comments provided by the three reviewers. We wish to acknowledge use of BRAN2016 ocean reanalysis product (http://dapds00.nci.org.au/thredds/catalog/gb6/BRAN/catalog.html) and thank the BRAN group for making their product publicly available. N. J. Holbrook acknowledges support from the Australian Research Council Centre of Excellence for Climate Extremes (CE170100023). N. J. Holbrook and E. A. Cougnon also acknowledge support from the NESP Earth Systems and Climate Change Hub. X. Zhang acknowledges support from the Centre for Southern Hemisphere Oceans Research Centre (CSHOR), a joint research centre between QNLM and CSIRO, and also support from the NESP Earth Systems and Climate Change Hub Project 2.10. E. C. J. Oliver acknowledges support from the National Sciences and Engineering Research Council of Canada Discovery Grant RGPIN-2018-05255 and from the Marine Environmental Observation, Prediction and Response Network (MEOAR) project Drivers, predictability and fisheries impacts of ocean temperature extremes.''</t>
  </si>
  <si>
    <t>10.1175/JCLI-D-19-0641.1</t>
  </si>
  <si>
    <t>WOS:000537891600022</t>
  </si>
  <si>
    <t>Andrews, R; Rajendran, K; Rao, NP</t>
  </si>
  <si>
    <t>Andrews, Ronia; Rajendran, Kusala; Rao, N. Purnachandra</t>
  </si>
  <si>
    <t>The 4 December 2015 Mw 7.1 Normal-Faulting Antarctic Plate Earthquake and Its Seismotectonic Implications</t>
  </si>
  <si>
    <t>BULLETIN OF THE SEISMOLOGICAL SOCIETY OF AMERICA</t>
  </si>
  <si>
    <t>INTRAPLATE SEISMICITY; SOURCE PARAMETERS; GREAT EARTHQUAKE; DEFORMATION; CONSTRAINTS; AFTERSHOCKS; EVOLUTION; INVERSION; SUMATRA; REGION</t>
  </si>
  <si>
    <t>Oceanic plate seismicity is generally dominated by normal and strike-slip faulting associated with active spreading ridges and transform faults. Fossil structural fabrics inherited from spreading ridges also host earthquakes. The Indian Oceanic plate, considered quite active seismically, has hosted earthquakes both on its active and fossil fault systems. The 4 December 2015 M-w 7.1 normal-faulting earthquake, located similar to 700 km south of the southeast Indian ridge in the southern Indian Ocean, is a rarity due to its location away from the ridge, lack of association with any mapped faults and its focal depth close to the 800 degrees C isotherm. We present results of teleseismic body-wave inversion that suggest that the earthquake occurred on a north-northwest-south-southeast-striking normal fault at a depth of 34 km. The rupture propagated at 2.7 km/s with compact slip over an area of 48 x 48 km(2) around the hypocenter. Our analysis of the background tectonics suggests that our chosen fault plane is in the same direction as the mapped normal faults on the eastern flanks of the Kerguelen plateau. We propose that these buried normal faults, possibly the relics of the ancient rifting might have been reactivated, leading to the 2015 midplate earthquake.</t>
  </si>
  <si>
    <t>[Andrews, Ronia; Rajendran, Kusala] Indian Inst Sci, Ctr Earth Sci, Bangalore, Karnataka, India; [Andrews, Ronia; Rao, N. Purnachandra] ESSO Natl Ctr Earth Sci Studies, Thiruvananthapuram, Kerala, India</t>
  </si>
  <si>
    <t>Indian Institute of Science (IISC) - Bangalore; Ministry of Earth Sciences (MoES) - India; National Centre for Earth Science Studies (NCESS)</t>
  </si>
  <si>
    <t>Andrews, R (corresponding author), Indian Inst Sci, Ctr Earth Sci, Bangalore, Karnataka, India.;Andrews, R (corresponding author), ESSO Natl Ctr Earth Sci Studies, Thiruvananthapuram, Kerala, India.</t>
  </si>
  <si>
    <t>roniaandrews@gmail.com</t>
  </si>
  <si>
    <t>Department of Science and Technology, India under the Women Scientist Scheme - A (WOS-A) scheme [SR/WOS-A/EA-21/2016]</t>
  </si>
  <si>
    <t>Department of Science and Technology, India under the Women Scientist Scheme - A (WOS-A) scheme(Department of Science &amp; Technology (India))</t>
  </si>
  <si>
    <t>The authors thank Anil Earnest, Rishav Mallick, and Revathy Parameswaran for their valuable comments. The authors thank Associate Editor Tom Brocher and the two anonymous reviewers for their detailed review and many suggestions that have helped improve this article. This work was supported by the Department of Science and Technology, India under the Women Scientist Scheme - A (WOS-A) scheme (SR/WOS-A/EA-21/2016).</t>
  </si>
  <si>
    <t>SEISMOLOGICAL SOC AMER</t>
  </si>
  <si>
    <t>ALBANY</t>
  </si>
  <si>
    <t>400 EVELYN AVE, SUITE 201, ALBANY, CA 94706-1375 USA</t>
  </si>
  <si>
    <t>0037-1106</t>
  </si>
  <si>
    <t>1943-3573</t>
  </si>
  <si>
    <t>B SEISMOL SOC AM</t>
  </si>
  <si>
    <t>Bull. Seismol. Soc. Amer.</t>
  </si>
  <si>
    <t>10.1785/0120190249</t>
  </si>
  <si>
    <t>LT9PN</t>
  </si>
  <si>
    <t>WOS:000537397700009</t>
  </si>
  <si>
    <t>Sajjad, W; Din, G; Rafiq, M; Iqbal, A; Khan, S; Zada, S; Ali, B; Kang, SC</t>
  </si>
  <si>
    <t>Sajjad, Wasim; Din, Ghufranud; Rafiq, Muhammad; Iqbal, Awais; Khan, Suliman; Zada, Sahib; Ali, Barkat; Kang, Shichang</t>
  </si>
  <si>
    <t>Pigment production by cold-adapted bacteria and fungi: colorful tale of cryosphere with wide range applications</t>
  </si>
  <si>
    <t>Cryosphere; Microbial pigments; Cold-adapted microbes; Carotenoid; Melanin</t>
  </si>
  <si>
    <t>RED PIGMENT; LOW-TEMPERATURE; SP-NOV.; PSYCHROTROPHIC BACTERIUM; ANTARCTIC BACTERIUM; ANTIMICROBIAL ACTIVITY; SERRATIA-MARCESCENS; VIOLET PIGMENT; JANTHINOBACTERIUM-LIVIDUM; ANTIOXIDATIVE ACTIVITIES</t>
  </si>
  <si>
    <t>Pigments are an essential part of everyday life on Earth with rapidly growing industrial and biomedical applications. Synthetic pigments account for a major portion of these pigments that in turn have deleterious effects on public health and environment. Such drawbacks of synthetic pigments have shifted the trend to use natural pigments that are considered as the best alternative to synthetic pigments due to their significant properties. Natural pigments from microorganisms are of great interest due to their broader applications in the pharmaceutical, food, and textile industry with increasing demand among the consumers opting for natural pigments. To fulfill the market demand of natural pigments new sources should be explored. Cold-adapted bacteria and fungi in the cryosphere produce a variety of pigments as a protective strategy against ecological stresses such as low temperature, oxidative stresses, and ultraviolet radiation making them a potential source for natural pigment production. This review highlights the protective strategies and pigment production by cold-adapted bacteria and fungi, their industrial and biomedical applications, condition optimization for maximum pigment extraction as well as the challenges facing in the exploitation of cryospheric microorganisms for pigment extraction that hopefully will provide valuable information, direction, and progress in forthcoming studies.</t>
  </si>
  <si>
    <t>[Sajjad, Wasim; Ali, Barkat; Kang, Shichang] Chinese Acad Sci, Northwest Inst Ecoenvironm &amp; Resources, State Key Lab Cryospher Sci, Lanzhou 730000, Peoples R China; [Din, Ghufranud] Quaid I Azam Univ, Dept Microbiol, Islamabad 45320, Pakistan; [Rafiq, Muhammad] Balochistan Univ IT Engn &amp; Management Sci, Fac Life Sci &amp; Informat, Dept Microbiol, Quetta, Pakistan; [Iqbal, Awais] Lanzhou Univ, Sch Life Sci, State Key Lab Grassland Agroecosyst, Lanzhou, Peoples R China; [Khan, Suliman] Zhengzhou Univ, Affiliated Hosp 2, Dept Cerebrovasc Dis, Zhengzhou, Peoples R China; [Zada, Sahib] Shantou Univ, Coll Sci, Dept Biol, Shantou, Peoples R China; [Kang, Shichang] CAS Ctr Excellence Tibetan Plateau Earth Sci, Beijing, Peoples R China</t>
  </si>
  <si>
    <t>Chinese Academy of Sciences; Quaid I Azam University; Lanzhou University; Zhengzhou University; Shantou University</t>
  </si>
  <si>
    <t>Kang, SC (corresponding author), Chinese Acad Sci, Northwest Inst Ecoenvironm &amp; Resources, State Key Lab Cryospher Sci, Lanzhou 730000, Peoples R China.;Kang, SC (corresponding author), CAS Ctr Excellence Tibetan Plateau Earth Sci, Beijing, Peoples R China.</t>
  </si>
  <si>
    <t>shichang.kang@lzb.ac.cn</t>
  </si>
  <si>
    <t>Iqbal, Awais/IAO-4733-2023; Iqbal, Awais/GQP-7929-2022; SAJJAD, WASIM/B-5677-2019; Rafiq, Muhammad/ADH-3500-2022; khan, suliman/S-3492-2017; Kang, Shichang/I-6830-2018</t>
  </si>
  <si>
    <t>SAJJAD, WASIM/0000-0002-1622-0484; Rafiq, Muhammad/0000-0001-6098-4142; khan, suliman/0000-0003-4954-0748; Kang, Shichang/0000-0003-2115-9005</t>
  </si>
  <si>
    <t>second Tibetan Plateau Scientific Expedition and Research Program (STEP) [2019QZKK0605]; Strategic Priority Research Programme of the Chinese Academy of Sciences, Pan-Third Pole Environment Study for a Green Silk Road (Pan-TPE) [XDA20040501]; National Natural Science Foundation of China [41630754]; PIFI Fellowship from the Chinese Academy of Sciences [2020PC0052]</t>
  </si>
  <si>
    <t>second Tibetan Plateau Scientific Expedition and Research Program (STEP); Strategic Priority Research Programme of the Chinese Academy of Sciences, Pan-Third Pole Environment Study for a Green Silk Road (Pan-TPE); National Natural Science Foundation of China(National Natural Science Foundation of China (NSFC)); PIFI Fellowship from the Chinese Academy of Sciences</t>
  </si>
  <si>
    <t>This study was supported by the second Tibetan Plateau Scientific Expedition and Research Program (STEP) (2019QZKK0605), the Strategic Priority Research Programme of the Chinese Academy of Sciences, Pan-Third Pole Environment Study for a Green Silk Road (Pan-TPE) (XDA20040501), the National Natural Science Foundation of China (Grant 41630754). Wasim Sajjad is supported by a PIFI Fellowship from the Chinese Academy of Sciences (2020PC0052).</t>
  </si>
  <si>
    <t>10.1007/s00792-020-01180-2</t>
  </si>
  <si>
    <t>WOS:000537345700001</t>
  </si>
  <si>
    <t>Kooyman, GL; Goetz, K; Williams, CL; Ponganis, PJ; Sato, K; Eckert, S; Horning, M; Thorson, RT; Van Dam, RR</t>
  </si>
  <si>
    <t>Kooyman, G. L.; Goetz, K.; Williams, C. L.; Ponganis, P. J.; Sato, K.; Eckert, S.; Horning, M.; Thorson, R. T.; Van Dam, R. R.</t>
  </si>
  <si>
    <t>Crary bank: a deep foraging habitat for emperor penguins in the western Ross Sea</t>
  </si>
  <si>
    <t>Penguin; Crary bank; Antarctic silverfish; Ross sea; Inter-deep-dive-interval; Ross sea region MPA</t>
  </si>
  <si>
    <t>APTENODYTES-FORSTERI; DIVING BEHAVIOR; STROKE RATES; ECOLOGY; PHYSIOLOGY; ISLAND; DIVES</t>
  </si>
  <si>
    <t>Although most dives of emperor penguins (Aptenodytes forsteri) are less than 100 m, penguins from the Cape Washington colony regularly perform deep dives &gt; 400 m. To evaluate the significance and location of these deep dives of birds on foraging trips from Cape Washington, we report the satellite tracks of three birds. We also review the frequency of deep dives in the 35 of 42 birds that performed deep dives during seven research seasons over 22 years. Records included 83,314 dives, of which 1418 were &gt; 400 m deep (deepest 552 m). Durations of these deep dives ranged from 7 to 13 min, up to more than twice the aerobic dive limit. Inter-deep-dive-intervals (IDDIs) between most deep dives were 10-20 min. The travel routes of satellite-tagged birds showed that all three spent time over Crary Bank, about 100 km from Cape Washington. Dives &gt; 400 m only occurred over Crary Bank in the two satellite-tracked birds that were also equipped with dive recorders. The depths of the dives were consistent with the distribution of the most common, and energy-dense prey item found in their diet, Pleuragramma antarctica. We conclude that significant food resources are located over Crary Bank, accounting for the deep dives and success of birds from Cape Washington, the second largest, stable colony of emperor penguins known.</t>
  </si>
  <si>
    <t>[Kooyman, G. L.; Ponganis, P. J.; Horning, M.; Thorson, R. T.; Van Dam, R. R.] Univ Calif San Diego, Scripps Inst Oceanog, Scholander Hall, La Jolla, CA 92093 USA; [Goetz, K.] NOAA, Marine Mammal Lab, Alaska Fisheries Sci Ctr, 7600 Sand Point Way NE, Seattle, WA 98115 USA; [Williams, C. L.] Natl Marine Mammal Fdn, 2240 Shelter Isl Dr 200, San Diego, CA 92106 USA; [Sato, K.] Univ Tokyo, Atmosphere &amp; Ocean Res Inst, 5-1-5 Kashiwanoha, Kashiwa, Chiba 2778564, Japan; [Eckert, S.] Principia Coll, Dept Biol &amp; Nat Resources, 1 Maybeck Pl, Elsah, IL 62028 USA; [Horning, M.] Alaska SeaLife Ctr, 301 Railway Ave,POB 1329, Seward, AK 99664 USA; [Thorson, R. T.] Chelonia Inc, POB 9020708, San Juan, PR 00902 USA; [Van Dam, R. R.] Naval Facil Northwest EV22, 1101 Tautog Circle, Silverdale, WA 98315 USA</t>
  </si>
  <si>
    <t>University of California System; University of California San Diego; Scripps Institution of Oceanography; National Oceanic Atmospheric Admin (NOAA) - USA; University of Tokyo</t>
  </si>
  <si>
    <t>Kooyman, GL (corresponding author), Univ Calif San Diego, Scripps Inst Oceanog, Scholander Hall, La Jolla, CA 92093 USA.</t>
  </si>
  <si>
    <t>gkooyman@ucsd.edu</t>
  </si>
  <si>
    <t>Goetz, Kimberly/AID-8232-2022; Horning, Markus/I-3019-2015</t>
  </si>
  <si>
    <t>Horning, Markus/0000-0001-6178-4935; , gerald/0000-0002-8872-2950</t>
  </si>
  <si>
    <t>NSF/OPP [GA 4038, GA 13713, 0229638, 0944220]; NSF [DPP 87-15864]; Japanese Society for the Promotion of Science [A19255001]; Directorate For Geosciences; Office of Polar Programs (OPP) [0229638, 0944220] Funding Source: National Science Foundation</t>
  </si>
  <si>
    <t>NSF/OPP(National Science Foundation (NSF)NSF - Directorate for Geosciences (GEO)); NSF(National Science Foundation (NSF)); Japanese Society for the Promotion of Science(Ministry of Education, Culture, Sports, Science and Technology, Japan (MEXT)Japan Society for the Promotion of Science); Directorate For Geosciences; Office of Polar Programs (OPP)(National Science Foundation (NSF)NSF - Directorate for Geosciences (GEO))</t>
  </si>
  <si>
    <t>This project was supported NSF/OPP Grants GA 4038 and GA 13713 to G. L. Kooyman; NSF DPP 87-15864 Special creative award to G. Kooyman; NSF/OPP 0229638 and 0944220 to P.J. Ponganis, and funds from the Japanese Society for the Promotion of Science (A19255001) to K. Sato. Thanks for all of the assistance by the NSF OPP staff especially Polly Penhale and Davd Bresnahan, for field assistance from Yves Cherel, Don Croll, Melinda Fowler, Carsten Kooyman, Tory Kooyman, Gitte McDonald, Katherine Ponganis, Patrice Robison, Steve Smith, Sheridan Stone, Mike Tift, and Greg Marshall, and for technical assistance of Wildlife Computers, Melinda Holland, Heather Baer, Adrian Rembold. We also thank US Navy squadron VXE 6 the C-130 flight crews in 1986 and 1989, the VXE6 Helicopter crews of 1989, the Captains and crews of the Coastguard Icebreaker Polar Sea in 1986, 1989, and 1993, and especially Capt. Lawson Brigham in 1993, the Kenn Borek flight crews from 1990, 1992, 1993, 1994, 1995, 1996, 2005 and 2011, and Mario Zucchelli, station manager for Italy's Mario Zucchelli Station, for hosting us on several Christmas Days for a shower, dinner, and helicopter transport to and from our camp. We thank Kozue Shiomi, Sara Labrousse and David Ainley, the reviewers of the manuscript. Their comments and suggestions greatly improved the paper.</t>
  </si>
  <si>
    <t>10.1007/s00300-020-02686-3</t>
  </si>
  <si>
    <t>WOS:000537340100001</t>
  </si>
  <si>
    <t>Wang, YT; Fan, X; Gao, G; Beardall, J; Inaba, K; Hall-Spencer, JM; Xu, D; Zhang, XW; Han, WT; McMinn, A; Ye, NH</t>
  </si>
  <si>
    <t>Wang, Yitao; Fan, Xiao; Gao, Guang; Beardall, John; Inaba, Kazuo; Hall-Spencer, Jason M.; Xu, Dong; Zhang, Xiaowen; Han, Wentao; McMinn, Andrew; Ye, Naihao</t>
  </si>
  <si>
    <t>Decreased motility of flagellated microalgae long-term acclimated to CO2-induced acidified waters</t>
  </si>
  <si>
    <t>PHOTOSYNTHESIS; CARBON; OXYGEN; ALGA</t>
  </si>
  <si>
    <t>Motility plays a critical role in algal survival and reproduction, with implications for aquatic ecosystem stability. However, the effect of elevated CO2 on marine, brackish and freshwater algal motility is unclear. Here we show, using laboratory microscale and field mesoscale experiments, that three typical phytoplankton species had decreased motility with increased CO2. Polar marine Microglena sp., euryhaline Dunaliella salina and freshwater Chlamydomonas reinhardtii were grown under different CO2 concentrations for 5 years. Long-term acclimated Microglena sp. showed substantially decreased photo-responses in all treatments, with a photophobic reaction affecting intracellular calcium concentration. Genes regulating flagellar movement were significantly downregulated (P &lt; 0.05), alongside a significant increase in gene expression for flagellar shedding (P &lt; 0.05). D. salina and C. reinhardtii showed similar results, suggesting that motility changes are common across flagellated species. As the flagella structure and bending mechanism are conserved from unicellular organisms to vertebrates, these results suggest that increasing surface water CO2 concentrations may affect flagellated cells from algae to fish. Algal movement through the water column occurs to maximize photosynthesis and avoid predation. Increased CO2 concentrations are shown, from laboratory and field experiments, to reduce motility in algal species in fresh, brackish and marine systems.</t>
  </si>
  <si>
    <t>[Wang, Yitao; Fan, Xiao; Xu, Dong; Zhang, Xiaowen; Han, Wentao; Ye, Naihao] Chinese Acad Fishery Sci, Yellow Sea Fisheries Res Inst, Qingdao, Peoples R China; [Wang, Yitao; Ye, Naihao] Qingdao Natl Lab Marine Sci &amp; Technol, Funct Lab Marine Fisheries Sci &amp; Food Prod Proc, Qingdao, Peoples R China; [Gao, Guang; Beardall, John] Xiamen Univ, State Key Lab Marine Environm Sci, Xiamen, Peoples R China; [Gao, Guang; Beardall, John] Xiamen Univ, Coll Ocean &amp; Earth Sci, Xiamen, Peoples R China; [Beardall, John] Monash Univ, Sch Biol Sci, Clayton, Vic, Australia; [Inaba, Kazuo; Hall-Spencer, Jason M.] Univ Tsukuba, Shimoda Marine Res Ctr, Shizuoka, Japan; [Hall-Spencer, Jason M.] Univ Plymouth, Sch Biol &amp; Marine Sci, Plymouth, Devon, England; [McMinn, Andrew] Univ Tasmania, Inst Antarctic &amp; Southern Ocean Studies, Hobart, Tas, Australia</t>
  </si>
  <si>
    <t>Chinese Academy of Fishery Sciences; Yellow Sea Fisheries Research Institute, CAFS; Laoshan Laboratory; Xiamen University; Xiamen University; Monash University; University of Tsukuba; University of Plymouth; University of Tasmania</t>
  </si>
  <si>
    <t>Ye, NH (corresponding author), Chinese Acad Fishery Sci, Yellow Sea Fisheries Res Inst, Qingdao, Peoples R China.;Ye, NH (corresponding author), Qingdao Natl Lab Marine Sci &amp; Technol, Funct Lab Marine Fisheries Sci &amp; Food Prod Proc, Qingdao, Peoples R China.</t>
  </si>
  <si>
    <t>yenhe@ysfri.ac.cn</t>
  </si>
  <si>
    <t>Hall-Spencer, Jason M/F-9179-2013; Gao, Guang/AAJ-8676-2021; Hall-Spencer, Jason/AFN-7866-2022; Beardall, John/L-5262-2019</t>
  </si>
  <si>
    <t>Gao, Guang/0000-0002-9011-9640; Hall-Spencer, Jason/0000-0002-6915-2518; Beardall, John/0000-0001-7684-446X; Han, Wentao/0000-0003-1423-3975</t>
  </si>
  <si>
    <t>national key research and development programme of China [2018YFD0900703]; Marine SAMP;T Fund of Shandong Province for Pilot National Laboratory for Marine Science and Technology (Qingdao) [2018SDKJ0406-3]; Major Scientific and Technological Innovation Project of Shandong Provincial Key Research and Development Program [2019JZZY020706]; Central Public-interest Scientific Institution Basal Research Fund, CAFS [2020TD27]; China Agriculture Research System [CARS-50]; Financial Fund of the Ministry of Agriculture and Rural Affairs, P.R. China [NFZX2018]; Taishan Scholars Funding and Talent Projects of Distinguished Scientific Scholars in Agriculture</t>
  </si>
  <si>
    <t>national key research and development programme of China; Marine SAMP;T Fund of Shandong Province for Pilot National Laboratory for Marine Science and Technology (Qingdao); Major Scientific and Technological Innovation Project of Shandong Provincial Key Research and Development Program; Central Public-interest Scientific Institution Basal Research Fund, CAFS; China Agriculture Research System; Financial Fund of the Ministry of Agriculture and Rural Affairs, P.R. China; Taishan Scholars Funding and Talent Projects of Distinguished Scientific Scholars in Agriculture</t>
  </si>
  <si>
    <t>This work was supported by the national key research and development programme of China (grant no. 2018YFD0900703); Marine S&amp;T Fund of Shandong Province for Pilot National Laboratory for Marine Science and Technology (Qingdao) (grant no. 2018SDKJ0406-3); Major Scientific and Technological Innovation Project of Shandong Provincial Key Research and Development Program (grant no. 2019JZZY020706); Central Public-interest Scientific Institution Basal Research Fund, CAFS (grant no. 2020TD27); China Agriculture Research System (grant no. CARS-50); Financial Fund of the Ministry of Agriculture and Rural Affairs, P.R. China (grant no. NFZX2018); Taishan Scholars Funding and Talent Projects of Distinguished Scientific Scholars in Agriculture.</t>
  </si>
  <si>
    <t>10.1038/s41558-020-0776-2</t>
  </si>
  <si>
    <t>LW4CO</t>
  </si>
  <si>
    <t>WOS:000537042800003</t>
  </si>
  <si>
    <t>Ogaki, MB; Teixeira, DR; Vieira, R; Lírio, JM; Felizardo, JPS; Abuchacra, RC; Cardoso, RP; Zani, CL; Alves, TMA; Junior, PAS; Murta, SMF; Barbosa, EC; Oliveira, JG; Ceravolo, IP; Pereira, PO; Rosa, CA; Rosa, LH</t>
  </si>
  <si>
    <t>Ogaki, Mayara B.; Teixeira, Daniela R.; Vieira, Rosemary; Lirio, Juan M.; Felizardo, Joao P. S.; Abuchacra, Rodrigo C.; Cardoso, Renan P.; Zani, Carlos L.; Alves, Tania M. A.; Junior, Policarpo A. S.; Murta, Silvane M. F.; Barbosa, Emerson C.; Oliveira, Jaquelline G.; Ceravolo, Isabela P.; Pereira, Patricia O.; Rosa, Carlos A.; Rosa, Luiz H.</t>
  </si>
  <si>
    <t>Diversity and bioprospecting of cultivable fungal assemblages in sediments of lakes in the Antarctic Peninsula</t>
  </si>
  <si>
    <t>FUNGAL BIOLOGY</t>
  </si>
  <si>
    <t>Antarctica; Fungi; Ecology; Pounds; Taxonomy</t>
  </si>
  <si>
    <t>BIOLOGICAL-ACTIVITIES; ASCOMYCETE FUNGUS; COMMUNITIES; YEASTS; MACROALGAE; THELEBOLUS; TAXONOMY; ECOLOGY; MARINE; DESV.</t>
  </si>
  <si>
    <t>We recovered 195 fungal isolates from the sediments of different lakes in the Antarctic Peninsula, which were screened to detect bioactive compounds. Forty-two taxa belonging to the phyla Ascomycota, Basidiomycota, and Mortierellomycota were identified. Thelebolus globosus, Antarctomyces psychrotrophicus, Pseudogymnoascus verrucosus, Vishniacozyma victoriae, and Phenoliferia sp. were found to be the most prevalent. The fungal assemblages showed high diversity and richness, but low dominance values. However, the diversity indices and fungal distribution ranged according to the different lake sediments. Sixty fungal extracts displayed at least one biological activity against the evaluated targets. Among them, Pseudogymnoascus destructans showed selective trypanocidal activity, Cladosporium sp. 1 and Trichoderma polysporum showed antifungal activity, and Pseudogymnoascus appendiculatus and Helotiales sp. showed high herbicidal activity. We detected a rich and diverse fungal community composed of cold cosmopolitan and psychrophilic endemic taxa recognized as decomposers, symbiotics, pathogens, and potential new species, in the sediments of Antarctic lakes. The dynamics and balance of this fungal community represents an interesting aquatic web model for further ecological and evolutionary studies under extreme conditions and potential climate changes in the regions. In addition, we detected fungal taxa and isolates able to produce bioactive compounds that may represent the source of prototype molecules for applications in medicine and agriculture. (C) 2020 British Mycological Society. Published by Elsevier Ltd. All rights reserved.</t>
  </si>
  <si>
    <t>[Ogaki, Mayara B.; Teixeira, Daniela R.; Rosa, Carlos A.; Rosa, Luiz H.] Univ Fed Minas Gerais, Dept Microbiol, BR-31270901 Belo Horizonte, MG, Brazil; [Vieira, Rosemary; Felizardo, Joao P. S.] Univ Fed Fluminense, Inst Geociencias, Fluminense, RJ, Brazil; [Lirio, Juan M.] Inst Antartico Argentino, Buenos Aires, DF, Argentina; [Abuchacra, Rodrigo C.] Univ Estado Rio de Janeiro, Dept Geog, Rio De Janeiro, RJ, Brazil; [Cardoso, Renan P.] Univ Fed Fluminense, Inst Fis, Fluminense, RJ, Brazil; [Zani, Carlos L.; Alves, Tania M. A.; Junior, Policarpo A. S.; Murta, Silvane M. F.; Barbosa, Emerson C.; Oliveira, Jaquelline G.; Ceravolo, Isabela P.; Pereira, Patricia O.] FIOCRUZ Minas, Inst Rene Rachou, Belo Horizonte, MG, Brazil</t>
  </si>
  <si>
    <t>Universidade Federal de Minas Gerais; Universidade Federal Fluminense; Instituto Antartico Argentino; Universidade do Estado do Rio de Janeiro; Universidade Federal Fluminense; Fundacao Oswaldo Cruz</t>
  </si>
  <si>
    <t>Rosa, LH (corresponding author), Univ Fed Minas Gerais, Dept Microbiol, BR-31270901 Belo Horizonte, MG, Brazil.</t>
  </si>
  <si>
    <t>Alves, Tania Maria A/B-4814-2009; teixeira, daniela/GSN-7611-2022; Ogaki, Mayara/AAE-3088-2021; Murta, Silvane Fonseca Murta/ABE-9410-2021; Felizardo, João Paulo/GLN-3124-2022; Zani, Carlos Leomar/ABE-3936-2021</t>
  </si>
  <si>
    <t>Murta, Silvane Fonseca Murta/0000-0002-8523-2155; Felizardo, João Paulo/0000-0001-6579-7071; Vieira, Rosemary/0000-0003-0312-2890; Lirio, Juan Manuel/0000-0002-1019-8407; Almeida Alves, Tania Maria/0000-0002-0582-3968; GERMANO de OLIVEIRA, JAQUELLINE/0000-0002-0487-8748</t>
  </si>
  <si>
    <t>CNPq PROANTAR [442258/2018-6]; INCT Criosfera II, CAPES [88887.136384/2017-00, 88887.314457/2019-00]; CNPq; FAPEMIG; FNDCT; Coordenacao de Aperfeicoamento de Pessoal de Nivel Superior -Brasil (CAPES) [001]; Programa de Pos-graduacao em Ci&lt;^&gt;encias da Saude, Fiocruz Minas (CAPES/PNPD)</t>
  </si>
  <si>
    <t>CNPq PROANTAR(Conselho Nacional de Desenvolvimento Cientifico e Tecnologico (CNPQ)); INCT Criosfera II, CAPES; CNPq(Conselho Nacional de Desenvolvimento Cientifico e Tecnologico (CNPQ)); FAPEMIG(Fundacao de Amparo a Pesquisa do Estado de Minas Gerais (FAPEMIG)); FNDCT; Coordenacao de Aperfeicoamento de Pessoal de Nivel Superior -Brasil (CAPES)(Coordenacao de Aperfeicoamento de Pessoal de Nivel Superior (CAPES)); Programa de Pos-graduacao em Ci&lt;^&gt;encias da Saude, Fiocruz Minas (CAPES/PNPD)</t>
  </si>
  <si>
    <t>We acknowledge the financial support from CNPq PROANTAR 442258/2018-6, INCT Criosfera II, CAPES (88887.136384/2017-00 and 88887.314457/2019-00), CNPq, FAPEMIG, and FNDCT. This study was financed in part by the Coordenacao de Aperfeicoamento de Pessoal de Nivel Superior -Brasil (CAPES) -Finance Code 001. The authors thank the Program for Technological Development of Tools for Health-PDTIS-Fiocruz for use of its facilities (Bioprospection and Chagas disease-PlaBio Tc platforms). PASJ is research fellow supported by Programa de Pos-graduacao em Ci&lt;^&gt;encias da Saude, Fiocruz Minas (CAPES/PNPD).</t>
  </si>
  <si>
    <t>1878-6146</t>
  </si>
  <si>
    <t>1878-6162</t>
  </si>
  <si>
    <t>FUNGAL BIOL-UK</t>
  </si>
  <si>
    <t>Fungal Biol.</t>
  </si>
  <si>
    <t>10.1016/j.funbio.2020.02.015</t>
  </si>
  <si>
    <t>LS3UB</t>
  </si>
  <si>
    <t>WOS:000536311800007</t>
  </si>
  <si>
    <t>Cuozzo, N; Sletten, RS; Hu, Y; Liu, L; Teng, FZ; Hagedorn, B</t>
  </si>
  <si>
    <t>Cuozzo, Nicolas; Sletten, Ronald S.; Hu, Yan; Liu, Lu; Teng, Fang-Zhen; Hagedorn, Birgit</t>
  </si>
  <si>
    <t>Silicate weathering in antarctic ice-rich permafrost: Insights using magnesium isotopes</t>
  </si>
  <si>
    <t>Polar deserts; McMurdo Dry Valleys; Beacon Valley; Permafrost; Unfrozen water; Brine; Mars analog</t>
  </si>
  <si>
    <t>MCMURDO DRY VALLEYS; SOUTHERN-VICTORIA-LAND; BEACON-VALLEY; SOIL SOLUTIONS; TAYLOR VALLEY; MG ISOTOPES; FRACTIONATION; ANALOG; GEOCHEMISTRY; STRONTIUM</t>
  </si>
  <si>
    <t>This study reports that substantial chemical weathering occurs at subzero temperatures in ice-and-salt-rich permafrost in the McMurdo Dry Valleys, Antarctica. Chemical weathering is documented in a 30.0-m core collected in Beacon Valley by measuring the ionic composition, pH, and Mg isotopes of water extracted from thawed ice-rich sediment. Evidence of rock weathering is revealed by coinciding increases in the Mg isotopic composition and pH values. The primary factor that controls weathering is the salt content that leads to unfrozen brine; this is most apparent in the upper 7.0 m where salt content is high, temperatures rise above -21 degrees C and modeled unfrozen water reaches up to 4.0% of ice-content. In the upper 7.0 m, up to 60% of soluble Mg in the thawed permafrost ice is sourced from Ferrar Dolerite (delta Mg-26 = -0.22 +/- 0.07%) weathering, resulting in delta Mg-26 values ranging from of -0.82 +/- 0.05 parts per thousand to -0.64 +/- 0.05 parts per thousand. Below 7.0 m, temperatures remain below -21 degrees C, unfrozen water is less than 2.0% of ice-content, and on average, 5% of soluble Mg is sourced from dolerite weathering with delta Mg-26 values ranging from -1.05 +/- 0.05 parts per thousand to -0.76 +/- 0.05 parts per thousand. Regions of the core that are modeled to have no unfrozen water show little or no evidence of chemical weathering and relatively constant delta Mg-26 values close to Taylor Glacier and Beacon Valley snowfall values (-0.93 +/- 0.06 parts per thousand). This study demonstrates that significant chemical weathering occurs at subzero temperatures in permafrost where liquid brines form. (C) 2019 Elsevier Ltd. All rights reserved.</t>
  </si>
  <si>
    <t>[Cuozzo, Nicolas; Sletten, Ronald S.; Hu, Yan; Liu, Lu; Teng, Fang-Zhen] Univ Washington, Dept Earth &amp; Space Sci, Seattle, WA 98195 USA; [Hagedorn, Birgit] Sustainable Earth Res LLC, Anchorage, AK 99508 USA</t>
  </si>
  <si>
    <t>Cuozzo, N (corresponding author), Univ Washington, Dept Earth &amp; Space Sci, Seattle, WA 98195 USA.</t>
  </si>
  <si>
    <t>ncuozzo@uw.edu</t>
  </si>
  <si>
    <t>Hu, Yan/AGQ-3337-2022; Hu, Yan/AGT-7097-2022; Teng, Fangzhen/C-7006-2018</t>
  </si>
  <si>
    <t>Hu, Yan/0000-0003-3899-0436; Hu, Yan/0000-0003-3899-0436; Teng, Fangzhen/0000-0003-3415-6137</t>
  </si>
  <si>
    <t>National Science Foundation, United States [OPP1341680, OPP-0636998]; NASA [80NSSC17K0715]; GSA Graduate Student Research Grant; Vance Fellowship in Geology Science</t>
  </si>
  <si>
    <t>National Science Foundation, United States(National Science Foundation (NSF)); NASA(National Aeronautics &amp; Space Administration (NASA)); GSA Graduate Student Research Grant; Vance Fellowship in Geology Science</t>
  </si>
  <si>
    <t>Financial and logistic support is provided by Grant Nos. OPP1341680 and OPP-0636998 from the National Science Foundation, United States and Grant 80NSSC17K0715 from NASA. Funding was also provided by the GSA Graduate Student Research Grant and the Vance Fellowship in Geology Science. Drilling support and equipment was contracted from Webster Drilling and Exploration Limited, Wellington, New Zealand. Special thanks to the XRD analysis and interpretation provided by Doug Ming and Valerie Tu at the NASA Johnson Space Center. We are also grateful for the the insightful reviews by C. McKay, who suggested using the term ``Eutectic layer active zone,W. Dickinson, an anonymous reviewer, and Guest Editor Xiao-Ming Liu.</t>
  </si>
  <si>
    <t>10.1016/j.gca.2019.07.031</t>
  </si>
  <si>
    <t>LS5TG</t>
  </si>
  <si>
    <t>WOS:000536445700002</t>
  </si>
  <si>
    <t>Sagasti, AJ; Massini, JLG; Escapa, IH; Guido, DM; Morel, EM</t>
  </si>
  <si>
    <t>Sagasti, Ana J.; Garcia Massini, Juan L.; Escapa, Ignacio H.; Guido, Diego M.; Morel, Eduardo M.</t>
  </si>
  <si>
    <t>Middle-Late Jurassic megaflora of Laguna Flecha Negra locality in Santa Cruz Province, Patagonia, and floristic assemblages of the Bahia Laura Complex</t>
  </si>
  <si>
    <t>Impressions; Argentina; Microphyllous conifers; Volcaniclastic settings; Cycadophytes; Jurassic plant communities; dry weather</t>
  </si>
  <si>
    <t>MATILDE FORMATION; DESEADO MASSIF; ANTARCTIC PENINSULA; PETRIFIED FOREST; BREAK-UP; WOODS; FLORA; CHEIROLEPIDIACEAE; NOMENCLATURE; CONIFERALES</t>
  </si>
  <si>
    <t>A Middle-Late Jurassic fossil plant assemblage is described from the Bahia Laura Complex at the Laguna Flecha Negra locality, Santa Cruz Province. The fossil assemblage is autochthonous, preserved in volcaniclastic sediments in the fringes of a geothermal landscape. Taxonomic study of the palaeoflora revealed 17 taxa. The recognized species have been previously described in Jurassic localities of Gondwana and illustrate the diversity of plant communities that lived in a volcanic setting. The dominant elements of this flora are microphyllous conifers of the families Araucariaceae and Cheirolepidiaceae. Fossil leaves of Cycadeoidales co-dominate the community. There is a low diversity and abundance of ferns. Composition of the plant community is compared to coetaneous floras of the Bahia Laura Complex to analyse geographical variations in the diversity of Middle-Late Jurassic assemblages of Santa Cruz Province, and a relative uniformity is recognized. Forest landscapes were dominated by conifer trees, with cycadeoids as small trees or shrubs. The herbaceous understory was dominated by fern communities with low species diversity; Equisetales and Isoetales appeared as subordinated elements. Microphyllous conifers and cycadophytes, as well as a low diversity of ferns, are indicative of relatively dry weather.</t>
  </si>
  <si>
    <t>[Sagasti, Ana J.] Consejo Nacl Invest Cient &amp; Tecn, Buenos Aires, DF, Argentina; [Sagasti, Ana J.; Guido, Diego M.] Inst Recursos Minerales INREMI UNLP, 64 Nro 3,B1904AMC, La Plata, Buenos Aires, Argentina; [Garcia Massini, Juan L.; Escapa, Ignacio H.; Guido, Diego M.] Consejo Nacl Invest Cient &amp; Tecn, RA-2290 Caba, Argentina; [Garcia Massini, Juan L.] UNLaR, CONICET, Ctr Reg Invest Cient &amp; Transferencia Tecnol La Ri, UNCa,SEGEMAR, Entre Rios &amp; Mendoza S-N, RA-5301 Anillaco, La Rioja, Argentina; [Escapa, Ignacio H.] Museo Paleontol Egidio Feruglio, Ave Fontana 140, RA-9100 Trelew, Chubut, Argentina; [Morel, Eduardo M.] UNLP, Div Paleobot, Fac Ciencias Nat &amp; Museo, Paseo Bosque S-N,B1900FWA, Buenos Aires, DF, Argentina; [Morel, Eduardo M.] Comis Invest Cient CIC, 526 Entre 10 &amp; 11, La Plata, Buenos Aires, Argentina</t>
  </si>
  <si>
    <t>Consejo Nacional de Investigaciones Cientificas y Tecnicas (CONICET); Consejo Nacional de Investigaciones Cientificas y Tecnicas (CONICET); Consejo Nacional de Investigaciones Cientificas y Tecnicas (CONICET); National University of La Plata; Comision de Investigaciones Cientificas</t>
  </si>
  <si>
    <t>Sagasti, AJ (corresponding author), Inst Recursos Minerales INREMI UNLP, 64 Nro 3,B1904AMC, La Plata, Buenos Aires, Argentina.</t>
  </si>
  <si>
    <t>anajusagasti@gmail.com</t>
  </si>
  <si>
    <t>E., Ignacio/AAA-3569-2021</t>
  </si>
  <si>
    <t>Guido, Diego/0000-0003-4696-5644; Sagasti, Ana Julia/0000-0003-3565-0591</t>
  </si>
  <si>
    <t>Culture Bureau of Santa Cruz Province; CONICET [Res. 2318, P. 202, P. 173]; ANPCyT [PICT 2014-3496]; UNLP (Proy. Inc.) [N/807]</t>
  </si>
  <si>
    <t>Culture Bureau of Santa Cruz Province; CONICET(Consejo Nacional de Investigaciones Cientificas y Tecnicas (CONICET)); ANPCyT(ANPCyT); UNLP (Proy. Inc.)</t>
  </si>
  <si>
    <t>We thank the Culture Bureau of Santa Cruz Province for supporting our research and granting us the research permits to study the Bahia Laura Complex's deposits in the Deseado Massif. Partial funding for this project comes by CONICET (Res. 2318, P. 202 &amp; 173) (to JLGM), ANPCyT (PICT 2014-3496) (to JLGM &amp; DG) and UNLP (Proy. Inc. N/807 to EMM).</t>
  </si>
  <si>
    <t>10.1016/j.jsames.2020.102564</t>
  </si>
  <si>
    <t>LN2SZ</t>
  </si>
  <si>
    <t>WOS:000532794900028</t>
  </si>
  <si>
    <t>Puskic, PS; Lavers, JL; Adams, LR; Bond, AL</t>
  </si>
  <si>
    <t>Puskic, Peter S.; Lavers, Jennifer L.; Adams, Louise R.; Bond, Alexander L.</t>
  </si>
  <si>
    <t>Ingested plastic and trace element concentrations in Short-tailed Shearwaters (Ardenna tenuirostris)</t>
  </si>
  <si>
    <t>Ardenna tenuirostris; Ecological indicator; Marine debris; Muttonbird; Plastic pollution; Toxicology</t>
  </si>
  <si>
    <t>FLESH-FOOTED SHEARWATERS; PUFFINUS-TENUIROSTRIS; PELAGIC SEABIRDS; MARINE; DEBRIS; MICROPLASTICS; ACCUMULATION; EXPOSURE; LEAD; CONTAMINANTS</t>
  </si>
  <si>
    <t>Pollution of marine environments is concerning for complex trophic systems. Two anthropogenic stresses associated with marine pollution are the introduction of marine plastic and their associated chemicals (e.g., trace elements) which, when ingested, may cause harm to wildlife. Here we explore the relationship between plastic ingestion and trace element burden in the breast muscle of Short-tailed Shearwaters (Ardenna tenuirostris). We found no relationship between the amount of plastic ingested and trace element concentration in the birds' tissues. Though the mass and number of plastic items ingested by birds during 1969-2017 did not change significantly, trace element concentrations of some elements (Cu, Zn, As, Rb, Sr and Cd), appeared to have increased in birds sampled in 2017 compared to limited data from prior studies. We encourage policy which considers the data gleaned from this sentinel species to monitor the anthropogenic alteration of the marine environment.</t>
  </si>
  <si>
    <t>[Puskic, Peter S.; Adams, Louise R.] Univ Tasmania, Inst Marine &amp; Antarctic Studies, Sch Rd, Newnham, Tas 7250, Australia; [Lavers, Jennifer L.; Bond, Alexander L.] Univ Tasmania, Inst Marine &amp; Antarctic Studies, 20 Castray Esplanade, Battery Point, Tas 7004, Australia; [Bond, Alexander L.] Nat Hist Museum, Dept Life Sci, Bird Grp, Akeman St, Tring HP23 6AP, Herts, England</t>
  </si>
  <si>
    <t>University of Tasmania; University of Tasmania; Natural History Museum London</t>
  </si>
  <si>
    <t>Lavers, JL (corresponding author), Univ Tasmania, Inst Marine &amp; Antarctic Studies, 20 Castray Esplanade, Battery Point, Tas 7004, Australia.</t>
  </si>
  <si>
    <t>Jennifer.lavers@utas.edu.au</t>
  </si>
  <si>
    <t>Lavers, Jennifer/O-4831-2017; Bond, Alexander L/A-3786-2010; Lavers, Jennifer/IWM-5417-2023; Puskic, Peter S/AAD-7887-2022; Puskic, Peter/AAT-9362-2020</t>
  </si>
  <si>
    <t>Lavers, Jennifer/0000-0001-7596-6588; Puskic, Peter S/0000-0003-1352-8843;</t>
  </si>
  <si>
    <t>Living Ocean Foundation; Detached Cultural Organization; BirdLife Tasmania; Australian Wildlife Society (University Student Research Grant 2017)</t>
  </si>
  <si>
    <t>Research was undertaken with approval from the University of Tasmania Animal Ethics Committee (Permit No. A16357) and the Tasmanian Department of Primary Industries, Parks, Water, and the Environment (DPIPWE). All state and national animal ethics guidelines and regulations were followed. Shearwaters were purchased from local mutton-birders at market prices, collected under individually held recreational permits issued by DPIPWE. We thank the many volunteers who dedicated their time to this project, particularly the Tasmanian Indigenous mutton-birding community who provided Yolla samples for this study, we pay our respects to their elders; past, present and emerging. We are thankful to B. Bensemenn, T. Fidler, J. Benjamin, J. Weis and L. Creac'h for assistance. Thanks to A. Townsend at the University of Tasmania's Central Sciences Lab for analytical expertise and conducting the ICP-MS analyses. Financial support was provided by C. Noone, the Living Ocean Foundation, Detached Cultural Organization, BirdLife Tasmania and the Australian Wildlife Society (University Student Research Grant 2017). Comments from anonymous reviewers improved earlier drafts.</t>
  </si>
  <si>
    <t>10.1016/j.marpolbul.2020.111143</t>
  </si>
  <si>
    <t>LS1XK</t>
  </si>
  <si>
    <t>WOS:000536184300022</t>
  </si>
  <si>
    <t>Takao, S; Nakaoka, SI; Hashihama, F; Shimada, K; Yoshikawa-Inoue, H; Hirawake, T; Kanda, J; Hashida, G; Suzuki, K</t>
  </si>
  <si>
    <t>Takao, Shintaro; Nakaoka, Shin-Ichiro; Hashihama, Fuminori; Shimada, Keishi; Yoshikawa-Inoue, Hisayuki; Hirawake, Toru; Kanda, Jota; Hashida, Gen; Suzuki, Koji</t>
  </si>
  <si>
    <t>Effects of phytoplankton community composition and productivity on sea surface pCO2 variations in the Southern Ocean</t>
  </si>
  <si>
    <t>Phytoplankton community composition; Diatoms; Southern Ocean; Net primary productivity; Carbon dioxide</t>
  </si>
  <si>
    <t>MARGINAL ICE-ZONE; CARBON-DIOXIDE; PARTIAL-PRESSURE; CO2 FLUX; DELTA-PCO(2) VARIATION; ANTARCTIC PENINSULA; AUSTRALIAN SECTOR; INORGANIC CARBON; CLIMATE-CHANGE; NORTH PACIFIC</t>
  </si>
  <si>
    <t>The Southern Ocean is a vast net sink for atmospheric carbon dioxide (CO2), with marine phytoplankton playing a crucial role in CO2 fixation. We assessed how changes in the dominant phytoplankton community and net primary productivity (NPP) affected variations in the partial pressure of CO2 in surface water (pCO(2)(sw)) in the Indian sector of the Southern Ocean during austral summer. pCO2sw was negatively correlated with total phytoplankton and diatom abundances, as estimated from pigment signatures, in the zone south of the Antarctic Circumpolar Current; however, pCO(2)(sw) was not correlated with haptophyte abundance. Additionally, a stronger correlation was found between pCO(2)(sw) and total phytoplankton NPP than between chlorophyll a concentration and pCO(2)(sw). We reconstructed pCO(2)(sw) at inter-annual scale using satellite data and assessed the inter-annual variability of air-sea CO2 flux. Over the period from 1997 to 2007, the integrated CO2 fluxes over the study region showed very large variations from a small source to a strong sink. Variations in the integrated CO2 fluxes were also correlated with changes in satellite-derived phytoplankton community in the Indian sector of the Southern Ocean and changes in the dominant phytoplankton community may control CO2 dynamics in the marginal ice zone.</t>
  </si>
  <si>
    <t>[Takao, Shintaro; Nakaoka, Shin-Ichiro] Natl Inst Environm Studies, 16-2 Onogawa, Tsukuba, Ibaraki 3058506, Japan; [Takao, Shintaro; Yoshikawa-Inoue, Hisayuki; Suzuki, Koji] Hokkaido Univ, Fac Environm Earth Sci, Kita Ku, North 10 West 5, Sapporo, Hokkaido 0600810, Japan; [Hashihama, Fuminori; Shimada, Keishi; Kanda, Jota] Tokyo Univ Marine Sci &amp; Technol, Minato Ku, 4-5-7 Konan, Tokyo 1088477, Japan; [Hirawake, Toru] Hokkaido Univ, Fac Fisheries Sci, 3-1-1 Minato Cho, Hakodate, Hokkaido 0418611, Japan; [Hashida, Gen] Natl Inst Polar Res, 10-3 Midori Cho, Tachikawa, Tokyo 1908518, Japan</t>
  </si>
  <si>
    <t>National Institute for Environmental Studies - Japan; Hokkaido University; Tokyo University of Marine Science &amp; Technology; Hokkaido University; Research Organization of Information &amp; Systems (ROIS); National Institute of Polar Research (NIPR) - Japan</t>
  </si>
  <si>
    <t>Takao, S (corresponding author), Natl Inst Environm Studies, 16-2 Onogawa, Tsukuba, Ibaraki 3058506, Japan.;Takao, S (corresponding author), Hokkaido Univ, Fac Environm Earth Sci, Kita Ku, North 10 West 5, Sapporo, Hokkaido 0600810, Japan.</t>
  </si>
  <si>
    <t>takao.shintaro@nies.go.jp</t>
  </si>
  <si>
    <t>Suzuki, Koji/AAD-2630-2022; Suzuki, Koji/A-4349-2013; Hashihama, Fuminori/O-1924-2014; Shin-ichiro, Nakaoka/I-7222-2018; Kanda, Jota/O-1881-2014; Yoshikawa, Hisayuki/A-4056-2012; Suzuki, Koji/GVS-9807-2022; Takao, Shintaro/M-8269-2019</t>
  </si>
  <si>
    <t>Suzuki, Koji/0000-0001-5354-1044; Hashihama, Fuminori/0000-0003-3835-7681; Shin-ichiro, Nakaoka/0000-0002-3870-1721; Kanda, Jota/0000-0002-5099-6278; Suzuki, Koji/0000-0001-5354-1044;</t>
  </si>
  <si>
    <t>Japan Society for the Promotion of Science (JSPS) KAKENHI [JP17H06319, JP19K20445]; NIES LowCarbon Research Program; JARE</t>
  </si>
  <si>
    <t>Japan Society for the Promotion of Science (JSPS) KAKENHI(Ministry of Education, Culture, Sports, Science and Technology, Japan (MEXT)Japan Society for the Promotion of ScienceGrants-in-Aid for Scientific Research (KAKENHI)); NIES LowCarbon Research Program; JARE</t>
  </si>
  <si>
    <t>We are grateful to the captain and crew of the TR/V Umitaka-Maru, Dr. M. Moteki (Tokyo University of Marine Science and Technology), and many other colleagues onboard for their assistance with sample collection during the cruises. We thank the Distributed Active Archive Center at the Goddard Space Flight Center for the production and distribution of satellite data. We also thank the Surface Ocean CO2 Atlas (SOCAT), which is an international effort, endorsed by the International Ocean Carbon Coordination Project (IOCCP), the Surface Ocean Lower Atmosphere Study (SOLAS) and the Integrated Marine Biosphere Research (IMBeR) program, to deliver a uniformly quality-controlled surface ocean CO2 database. The many researchers and funding agencies responsible for the collection of data and quality control are thanked for their contributions to SOCAT. We also thank Dr. T. Odate (National Institute of Polar Research) for the opportunity to join the Japanese Antarctic Research Expedition (JARE) program. Finally, we appreciate the editor, Dr. S.ebastien Moreau, and an anonymous manuscript significantly. This work was supported in part by the Japan Society for the Promotion of Science (JSPS) KAKENHI Grant Numbers JP17H06319 and JP19K20445, JARE programs, and the NIES LowCarbon Research Program.</t>
  </si>
  <si>
    <t>10.1016/j.dsr.2020.103263</t>
  </si>
  <si>
    <t>LQ9ZT</t>
  </si>
  <si>
    <t>WOS:000535357000010</t>
  </si>
  <si>
    <t>Nicholson, U; Libby, S; Tappin, DR; McCarthy, D</t>
  </si>
  <si>
    <t>Nicholson, Uisdean; Libby, Simon; Tappin, David R.; McCarthy, Dave</t>
  </si>
  <si>
    <t>The Subantarctic Front as a sedimentary conveyor belt for tsunamigenic submarine landslides</t>
  </si>
  <si>
    <t>Submarine landslide; Tsunami; Contourite; Antarctic Circumpolar Current</t>
  </si>
  <si>
    <t>SEA-FLOOR; CONTINENTAL-SLOPE; EVOLUTION; MODEL; WAVES</t>
  </si>
  <si>
    <t>The Subantarctic Front (SAF), one of the three main jets of the Antarctic Circumpolar Current (ACC), flows through a narrow gap in the North Scotia Ridge and then north-westward across the continental slope of Burdwood Bank, similar to 150 km south of the Falkland Islands. There, the SAF flows across a fold-and-thrust belt caused by oblique convergence at the active plate boundary between the Scotia Plate and South American Plate. We here use regional 2D and 3D seismic reflection data to show the interaction of the associated bottom currents with the active margin, particularly to understand the causes and consequences of a number of large submarine landslides located in the adjacent foredeep. Kinematic indicators from the landslide deposits show that they are derived from a single point source located in an embayment on the northern slope of Burdwood Bank, where we identify a large contourite drift deposit. This drift forms the depositional sink for an along-slope sediment routing system driven by currents associated with the SAF, with sediment being eroded from the Burdwood Terrace, transported similar to 200 km westward, and plastered against the middle-upper continental slope. The contourite drift is undercut by the core of the current, making the slope inherently unstable in this area. Numerical modelling of the landslides and resultant waves indicates the tsunamigenic potential of these events. Modelled peak wave elevations of up to 40 m inundate the southern coast of the Falklands for a similar to 100 km(3) volume landslide, with a recurrence interval of 1 Ma or less. This research highlights preconditioning mechanisms for submarine failure on continental slopes dominated by strong ocean currents, and specifically, oceanographic controls on the frequency, magnitude and location of submarine landslides associated with contourite systems.</t>
  </si>
  <si>
    <t>[Nicholson, Uisdean; Libby, Simon] Heriot Watt Univ, Sch Energy Geosci Infrastruct &amp; Soc, Inst GeoEnergy Engn, Edinburgh EH14 4AS, Midlothian, Scotland; [Tappin, David R.] British Geol Survey, Nottingham NG12 5GG, England; [McCarthy, Dave] British Geol Survey, Lyell Ctr, Edinburgh EH14 4AP, Midlothian, Scotland; [Tappin, David R.] UCL, Dept Earth Sci, London WC1E 6BT, England</t>
  </si>
  <si>
    <t>Heriot Watt University; UK Research &amp; Innovation (UKRI); Natural Environment Research Council (NERC); NERC British Geological Survey; UK Research &amp; Innovation (UKRI); Natural Environment Research Council (NERC); NERC British Geological Survey; University of London; University College London</t>
  </si>
  <si>
    <t>Nicholson, U (corresponding author), Heriot Watt Univ, Sch Energy Geosci Infrastruct &amp; Soc, Inst GeoEnergy Engn, Edinburgh EH14 4AS, Midlothian, Scotland.</t>
  </si>
  <si>
    <t>u.nicholson@hw.ac.uk</t>
  </si>
  <si>
    <t>Tappin, David/H-7010-2013; McCarthy, Dave/E-3977-2019</t>
  </si>
  <si>
    <t>Tappin, David/0000-0003-3186-8403; McCarthy, Dave/0000-0002-0677-773X; Nicholson, Uisdean/0000-0003-0746-8549</t>
  </si>
  <si>
    <t>Carnegie Institute [70749]; NERC [bgs06001, bgs06002] Funding Source: UKRI</t>
  </si>
  <si>
    <t>Carnegie Institute; NERC(UK Research &amp; Innovation (UKRI)Natural Environment Research Council (NERC))</t>
  </si>
  <si>
    <t>This work was supported by a Research Incentive Grant (70749) from the Carnegie Institute. We also thank the Falkland Island Government, Borders &amp; Southern Petroleum and Rockhopper Exploration for providing seismic reflection data and well data for this research. DRT and DMC publish with permission of the CEO, British Geological Survey. DMC acknowledges the continued support of the Department of Mineral Resources, Falkland Island Government. We also acknowledge Phil Stone (BGS) for discussions over possible tsunami deposits on the Falklands during the early stages of this project.</t>
  </si>
  <si>
    <t>10.1016/j.margeo.2020.106161</t>
  </si>
  <si>
    <t>LR5ES</t>
  </si>
  <si>
    <t>WOS:000535718600016</t>
  </si>
  <si>
    <t>Di Capua, A; Scasso, RA</t>
  </si>
  <si>
    <t>Di Capua, Andrea; Scasso, Roberto A.</t>
  </si>
  <si>
    <t>Sedimentological and petrographic evolution of a fluvio-lacustrine environment during the onset of volcanism: Volcanically-induced forcing of sedimentation and environmental responses</t>
  </si>
  <si>
    <t>SEDIMENTOLOGY</t>
  </si>
  <si>
    <t>Forcing of sedimentation; Jurassic; Patagonia; volcaniclastic petrology; volcaniclastic sedimentation</t>
  </si>
  <si>
    <t>PYROCLASTIC DENSITY CURRENTS; SOUFRIERE HILLS VOLCANO; LACUSTRINE RIFT-BASIN; EXPLOSIVE VOLCANISM; BREAK-UP; SEQUENCE STRATIGRAPHY; IGNIMBRITE ERUPTION; ANTARCTIC PENINSULA; EASTERN DESERT; FLOW DEPOSITS</t>
  </si>
  <si>
    <t>This work focuses on the transition from the Las Leoneras to Lonco Trapial Formations, in the lower part of the Early Jurassic succession of the incipient rift phase of the Canadon Asfalto Basin (western part of Chubut Province - Patagonia, Argentina). Twenty lithofacies have been identified and grouped into seven facies associations on the basis of field characteristics (sedimentological and lithological) and optical microscope analysis, from two localities representing proximal and distal locations in the basin. The spatial relationship between all the lithofacies provided a four-dimensional reconstruction of the palaeoenvironmental evolution, showing how the original, clastic sedimentation in alluvial/fluvial and lake environments was modified by short-lived volcanic events during three volcanic cycles, and how the environment reacted after the input of huge amounts of volcaniclastics. Progradation of small deltas and subaqueous lobes, retrogradation caused by rising lake levels, and frequent erosion of valleys were typical processes in this environment. When explosive volcanism began, the original tectono-climatic control on sedimentation was replaced by the volcanic control, and the volcanically-forced sedimentation broke the equilibrium among production, delivery and accumulation of sediments. The nature of the volcanic eruptions and the different propensity of volcanic lithofacies to produce particles of different size and types (lithics, crystals and glass) are also analyzed. The role of volcanism in the production and transport of great volumes of sediments across sedimentary systems needs to be carefully re-examined, and the analysis on the variability in the composition of volcaniclastic deposits must take into account that volcaniclastic particle types may not simply reflect a linear deepening in the dissection of magmatic arcs through time but are often controlled by the style of the eruptions and the lithological variation of the volcanic products.</t>
  </si>
  <si>
    <t>[Di Capua, Andrea] CNR, Ist Geol Ambientale Geoingn, Sez Milano, 9,Via Mario Bianco, I-20131 Milan, Italy; [Scasso, Roberto A.] UBA, FCEN, CONICET, IGeBA,Dpto Cs Geol, Intendente Guiraldes 2160,Pabellon 2, RA-1428 Buenos Aires, DF, Argentina</t>
  </si>
  <si>
    <t>Consiglio Nazionale delle Ricerche (CNR); Istituto di Geologia Ambientale e Geoingegneria (IGAG-CNR); Consejo Nacional de Investigaciones Cientificas y Tecnicas (CONICET); University of Buenos Aires</t>
  </si>
  <si>
    <t>Di Capua, A (corresponding author), CNR, Ist Geol Ambientale Geoingn, Sez Milano, 9,Via Mario Bianco, I-20131 Milan, Italy.</t>
  </si>
  <si>
    <t>andrea.dicapua@igag.cnr.it</t>
  </si>
  <si>
    <t>Di Capua, Andrea/AFO-2427-2022</t>
  </si>
  <si>
    <t>Di Capua, Andrea/0000-0003-0342-3925</t>
  </si>
  <si>
    <t>0037-0746</t>
  </si>
  <si>
    <t>1365-3091</t>
  </si>
  <si>
    <t>Sedimentology</t>
  </si>
  <si>
    <t>10.1111/sed.12681</t>
  </si>
  <si>
    <t>LQ8XN</t>
  </si>
  <si>
    <t>WOS:000535281600007</t>
  </si>
  <si>
    <t>Haumann, FA; Gruber, N; Münnich, M</t>
  </si>
  <si>
    <t>Haumann, F. Alexander; Gruber, Nicolas; Muennich, Matthias</t>
  </si>
  <si>
    <t>Sea-Ice Induced Southern Ocean Subsurface Warming and Surface Cooling in a Warming Climate</t>
  </si>
  <si>
    <t>AGU ADVANCES</t>
  </si>
  <si>
    <t>Southern Ocean; sea ice; glacial meltwater; cooling; warming; freshwater</t>
  </si>
  <si>
    <t>Much of the Southern Ocean surface south of 55 degrees S cooled and freshened between at least the early 1980s and the early 2010s. Many processes have been proposed to explain the unexpected cooling, including increased winds or freshwater fluxes. However, these mechanisms so far failed to fully explain the surface trends and the concurrent subsurface warming (100 to 500 m). Here, we argue that these trends are predominantly caused by an increased wind-driven northward sea-ice transport, enhancing the extraction of freshwater near Antarctica and releasing it in the open ocean. This conclusion is based on factorial experiments with a regional ocean model. In all experiments with an enhanced northward sea-ice transport, a strengthened salinity-dominated stratification cools the open-ocean surface waters between the Subantarctic Front and the sea-ice edge. The strengthened stratification reduces the downward mixing of cold surface water and the upward heat loss of the warmer waters below, thus warming the subsurface. This sea-ice induced subsurface warming mostly occurs around West Antarctica, where it likely enhances ice-shelf melting. Moreover, the subsurface warming could account for about 8 +/- 2% of the global ocean heat content increase between 1982 and 2011. Antarctic sea-ice changes thereby may have contributed to the slowdown of global surface warming over this period. Our conclusions are robust across all considered sensitivity cases, although the trend magnitude is sensitive to forcing uncertainties and the model's mean state. It remains unclear whether these sea-ice induced changes are associated with natural variability or reflect a response to anthropogenic forcing.</t>
  </si>
  <si>
    <t>[Haumann, F. Alexander; Gruber, Nicolas; Muennich, Matthias] Swiss Fed Inst Technol, Inst Biogeochem &amp; Pollutant Dynam, Environm Phys, Zurich, Switzerland; [Haumann, F. Alexander; Gruber, Nicolas] Swiss Fed Inst Technol, Ctr Climate Syst Modeling, Zurich, Switzerland; [Haumann, F. Alexander] Princeton Univ, Atmospher &amp; Ocean Sci Program, Princeton, NJ 08544 USA</t>
  </si>
  <si>
    <t>Swiss Federal Institutes of Technology Domain; ETH Zurich; Swiss Federal Institutes of Technology Domain; ETH Zurich; National Oceanic Atmospheric Admin (NOAA) - USA; Princeton University</t>
  </si>
  <si>
    <t>Haumann, FA (corresponding author), Swiss Fed Inst Technol, Inst Biogeochem &amp; Pollutant Dynam, Environm Phys, Zurich, Switzerland.;Haumann, FA (corresponding author), Swiss Fed Inst Technol, Ctr Climate Syst Modeling, Zurich, Switzerland.;Haumann, FA (corresponding author), Princeton Univ, Atmospher &amp; Ocean Sci Program, Princeton, NJ 08544 USA.</t>
  </si>
  <si>
    <t>alexander.haumann@gmail.com</t>
  </si>
  <si>
    <t>Haumann, Alexander/J-6679-2014; Gruber, Nicolas/B-7013-2009</t>
  </si>
  <si>
    <t>Haumann, Alexander/0000-0002-8218-977X; Gruber, Nicolas/0000-0002-2085-2310</t>
  </si>
  <si>
    <t>ETH Research Grant [CH2-01 11-1]; SNSF [P2EZP2_175162, P400P2_186681]; NSF's SOCCOM Project under NSF Award [PLR-1425989]; Swiss National Science Foundation (SNF) [P2EZP2_175162, P400P2_186681] Funding Source: Swiss National Science Foundation (SNF)</t>
  </si>
  <si>
    <t>ETH Research Grant; SNSF(Swiss National Science Foundation (SNSF)); NSF's SOCCOM Project under NSF Award; Swiss National Science Foundation (SNF)(Swiss National Science Foundation (SNSF))</t>
  </si>
  <si>
    <t>This work was supported by ETH Research Grant CH2-01 11-1 and by the SNSF grant numbers P2EZP2_175162 and P400P2_186681, as well as NSF's SOCCOM Project under NSF Award No. PLR-1425989. We thank Alexander F. Shchepetkin, Ivy Frenger, and Samuel Eberenz for their help in developing and evaluating the here used regional model configuration, and Michael Meredith and Edward Doddridge for comments on an earlier version of this manuscript.</t>
  </si>
  <si>
    <t>2576-604X</t>
  </si>
  <si>
    <t>AGU ADV</t>
  </si>
  <si>
    <t>AGU Adv.</t>
  </si>
  <si>
    <t>e2019AV000132</t>
  </si>
  <si>
    <t>10.1029/2019AV000132</t>
  </si>
  <si>
    <t>VK7PX</t>
  </si>
  <si>
    <t>WOS:000752557100005</t>
  </si>
  <si>
    <t>Minich, JJ; Poore, GD; Jantawongsri, K; Johnston, C; Bowie, K; Bowman, J; Knight, R; Nowak, B; Allen, EE</t>
  </si>
  <si>
    <t>Minich, Jeremiah J.; Poore, Greg D.; Jantawongsri, Khattapan; Johnston, Colin; Bowie, Kate; Bowman, John; Knight, Rob; Nowak, Barbara; Allen, Eric E.</t>
  </si>
  <si>
    <t>Microbial Ecology of Atlantic Salmon (Salmo salar) Hatcheries: Impacts of the Built Environment on Fish Mucosal Microbiota</t>
  </si>
  <si>
    <t>APPLIED AND ENVIRONMENTAL MICROBIOLOGY</t>
  </si>
  <si>
    <t>16S; aquaculture; built environment; environmental microbiology; microbial ecology; microbiome</t>
  </si>
  <si>
    <t>RECIRCULATING AQUACULTURE SYSTEMS; LACTIC-ACID BACTERIA; AMEBIC-GILL-DISEASE; GUT MICROBIOTA; RAINBOW-TROUT; WILD; RAS; COMMUNITY; L.; SURVIVAL</t>
  </si>
  <si>
    <t>Successful rearing of fish in hatcheries is critical for conservation, recreational fishing, commercial fishing through wild stock enhancements, and aquaculture production. Flowthrough (FT) hatcheries require more water than recirculating aquaculture systems (RAS), which enable up to 99% of their water to be recycled, thus significantly reducing environmental impacts. Here, we evaluated the biological and physical microbiome interactions of three Atlantic salmon hatcheries (RAS n = 2, FT n = 1). Gill, skin, and digesta from six juvenile fish along with tank biofilms and water were sampled from tanks in each of the hatcheries (60 fish across 10 tanks) to assess the built environment and mucosal microbiota using 16S rRNA gene sequencing. The water and tank biofilm had more microbial richness than fish mucus, while skin and digesta from RAS fish had 2 times the richness of FT fish. Body sites each had unique microbiomes (P &lt; 0.001) and were influenced by hatchery system type (P&lt; 0.001), with RAS being more similar. A strong association between the tank and fish microbiome was observed. Water and tank biofilm richness was positively correlated with skin and digesta richness. Strikingly, the gill, skin, and digesta communities were more similar to that in the origin tank biofilm than those in all other experimental tanks, suggesting that the tank biofilm has a direct influence on fish-associated microbial communities. Lastly, microbial diversity and mucous cell density were positively associated with fish growth and length. The results from this study provide evidence for a link between the tank microbiome and the fish microbiome, with the skin microbiome as an important intermediate. IMPORTANCE Atlantic salmon, Salmo solar, is the most farmed marine fish worldwide, with an annual production of 2,248 million metric tons in 2016. Salmon hatcheries are increasingly changing from flowthrough toward recirculating aquaculture system (RAS) design to accommodate more control over production along with improved environmental sustainability due to lower impacts on water consumption. To date, microbiome studies of hatcheries have focused either on the fish mucosal microbiota or on the built environment microbiota but have not combined the two to understand their interactions. Our study evaluates how the water and tank biofilm microbiota influences the fish microbiota across three mucosal environments (gill, skin, and digesta). Results from this study highlight how the built environment is a unique source of microbes to colonize fish mucus and, furthermore, how this can influence fish health. Further studies can use this knowledge to engineer built environments to modulate fish microbiota for beneficial phenotypes.</t>
  </si>
  <si>
    <t>[Minich, Jeremiah J.; Allen, Eric E.] Univ Calif San Diego, Scripps Inst Oceanog, Marine Biol Res Div, La Jolla, CA 92093 USA; [Poore, Greg D.] Univ Calif San Diego, Dept Bioengn, La Jolla, CA 92093 USA; [Jantawongsri, Khattapan; Nowak, Barbara] Univ Tasmania, Inst Marine &amp; Antarctic Studies, Hobart, Tas, Australia; [Johnston, Colin; Bowie, Kate] Tassal Operat Pty Ltd, Hobart, Tas, Australia; [Bowman, John] Univ Tasmania, Tasmanian Inst Agr, Hobart, Tas, Australia; [Knight, Rob; Allen, Eric E.] Univ Calif San Diego, Ctr Microbiome Innovat, La Jolla, CA 92093 USA; [Knight, Rob] Univ Calif San Diego, Dept Pediat, La Jolla, CA 92093 USA</t>
  </si>
  <si>
    <t>University of California System; University of California San Diego; Scripps Institution of Oceanography; University of California System; University of California San Diego; University of Tasmania; University of Tasmania; University of California System; University of California San Diego; University of California System; University of California San Diego</t>
  </si>
  <si>
    <t>Allen, EE (corresponding author), Univ Calif San Diego, Scripps Inst Oceanog, Marine Biol Res Div, La Jolla, CA 92093 USA.;Nowak, B (corresponding author), Univ Tasmania, Inst Marine &amp; Antarctic Studies, Hobart, Tas, Australia.;Allen, EE (corresponding author), Univ Calif San Diego, Ctr Microbiome Innovat, La Jolla, CA 92093 USA.</t>
  </si>
  <si>
    <t>B.Nowak@utas.edu.au; eallen@ucsd.edu</t>
  </si>
  <si>
    <t>Bowman, John P./ABF-5108-2020; Bowman, John P/C-2414-2014; Knight, Rob/D-1299-2010; Nowak, Barbara/J-7261-2014</t>
  </si>
  <si>
    <t>Bowman, John P./0000-0002-4528-9333; Bowman, John P/0000-0002-4528-9333; Jantawongsri, Khattapan/0000-0003-1738-8091; Nowak, Barbara/0000-0002-0347-643X; Knight, Rob/0000-0002-0975-9019; Minich, Jeremiah/0000-0002-7202-965X</t>
  </si>
  <si>
    <t>National Science Foundation [OCE-1837116]; Australia Academy of Sciences Australia-America Ph.D. Research Internship Program</t>
  </si>
  <si>
    <t>National Science Foundation(National Science Foundation (NSF)); Australia Academy of Sciences Australia-America Ph.D. Research Internship Program</t>
  </si>
  <si>
    <t>This work was supported by an Australia Academy of Sciences Australia-America Ph.D. Research Internship Program award to J.J.M. and National Science Foundation grant OCE-1837116 to E.E.A.</t>
  </si>
  <si>
    <t>AMER SOC MICROBIOLOGY</t>
  </si>
  <si>
    <t>1752 N ST NW, WASHINGTON, DC 20036-2904 USA</t>
  </si>
  <si>
    <t>0099-2240</t>
  </si>
  <si>
    <t>1098-5336</t>
  </si>
  <si>
    <t>APPL ENVIRON MICROB</t>
  </si>
  <si>
    <t>Appl. Environ. Microbiol.</t>
  </si>
  <si>
    <t>e00411-20</t>
  </si>
  <si>
    <t>10.1128/AEM.00411-20</t>
  </si>
  <si>
    <t>Biotechnology &amp; Applied Microbiology; Microbiology</t>
  </si>
  <si>
    <t>LZ0FE</t>
  </si>
  <si>
    <t>WOS:000540906600006</t>
  </si>
  <si>
    <t>Canini, F; Geml, J; D'Acqui, LP; Selbmann, L; Onofri, S; Ventura, S; Zucconi, L</t>
  </si>
  <si>
    <t>Canini, Fabiana; Geml, Jozsef; D'Acqui, Luigi Paolo; Selbmann, Laura; Onofri, Silvano; Ventura, Stefano; Zucconi, Laura</t>
  </si>
  <si>
    <t>Exchangeable cations and pH drive diversity and functionality of fungal communities in biological soil crusts from coastal sites of Victoria Land, Antarctica</t>
  </si>
  <si>
    <t>FUNGAL ECOLOGY</t>
  </si>
  <si>
    <t>DNA metabarcoding; Soil fungi; ITS1; Environmental filtering; Functional groups; Soil properties</t>
  </si>
  <si>
    <t>ECOSYSTEM; NITROGEN; LICHEN; CARBON; ICE; TEMPERATURE; PATTERNS</t>
  </si>
  <si>
    <t>Ice-free regions in coastal areas of Victoria Land, Antarctica, are patchily distributed, limited in extent and characterized by a simple vegetation of lichens and mosses, growing only for a short period during the austral summer. These organisms are associated with soil particles and microorganisms (e.g., algae, microfungi and bacteria) to make up biological soil crusts (B5Cs), found worldwide in cold and/or arid and semi-arid regions, where plant growth is impaired. Despite B5Cs being among the most widespread ecosystems throughout coastal ice-free areas of continental Antarctica, fungal components of these communities have received little focus. Through ITS1 DNA metabarcoding of samples from 17 sites of six different localities from 73 to 77 degrees S, in a distance scale from 29 to 411 km among different sites, we provide insights into the diversity, community composition, and functionality of fungal communities of these peculiar ecosystems, deepening our knowledge on how they are related to different edaphic variables (i.e. chemical properties and texture). Although fungal richness was low (59 +/- 27 OTUs per sample), we found numerous previously unsequenced, putatively unknown fungal species representing a great part of the sampled communities. Community composition was spatially auto-correlated and appeared to be driven by site-specific differences in environmental conditions, particularly edaphic factors, such as exchangeable cations and pH. These results are of particular interest, as they give a wide characterization of the parameters determining soil colonization in a such limiting environment, especially in the light of global changes that are expected to deeply modify the conditions of this environment. (C) 2020 Elsevier Ltd and British Mycological Society. All rights reserved.</t>
  </si>
  <si>
    <t>[Canini, Fabiana; Selbmann, Laura; Onofri, Silvano; Zucconi, Laura] Univ Tuscia, Dept Ecol &amp; Biol Sci, Viterbo, Italy; [Canini, Fabiana; Geml, Jozsef] Nat Biodivers Ctr, Leiden, Netherlands; [Geml, Jozsef] Leiden Univ, Fac Sci, Leiden, Netherlands; [D'Acqui, Luigi Paolo; Ventura, Stefano] Natl Res Council Italy IRET CNR, Terr Ecosyst Res Inst, Sesto Fiorentino, Italy; [Selbmann, Laura] Italian Natl Antarctic Museum MNA, Mycol Sect, Genoa, Italy; [Ventura, Stefano] Italian Embassy Israel, Tel Aviv, Israel</t>
  </si>
  <si>
    <t>Tuscia University; Naturalis Biodiversity Center; Leiden University - Excl LUMC; Leiden University; Consiglio Nazionale delle Ricerche (CNR); Istituto di Ricerca sugli Ecosistemi Terrestri (IRET)</t>
  </si>
  <si>
    <t>Canini, F (corresponding author), Univ Tuscia, Dept Ecol &amp; Biol Sci, Viterbo, Italy.</t>
  </si>
  <si>
    <t>canini.fabiana@unitus.it</t>
  </si>
  <si>
    <t>Geml, Jozsef/AAW-9993-2020; Geml, Jozsef/C-2223-2018; Zucconi, L./U-9781-2018; Ventura, Stefano/A-4014-2009; Canini, Fabiana/ABE-4243-2020</t>
  </si>
  <si>
    <t>Geml, Jozsef/0000-0001-8745-0423; Zucconi, L./0000-0001-9793-2303; Ventura, Stefano/0000-0002-8134-3675; Canini, Fabiana/0000-0002-9626-6318</t>
  </si>
  <si>
    <t>Italian National Programfor Antarctic Researches (PNRA) [PNRA 2013/AZ1.19, PNRA 2015/AZ1.02]</t>
  </si>
  <si>
    <t>Italian National Programfor Antarctic Researches (PNRA)</t>
  </si>
  <si>
    <t>Authors wish to thank the Italian National Programfor Antarctic Researches (PNRA) for funding sampling campaigns and research activities in the frame of projects PNRA 2013/AZ1.19 and PNRA 2015/AZ1.02. FC thanks Naturalis Biodiversity Center for hosting her.</t>
  </si>
  <si>
    <t>1754-5048</t>
  </si>
  <si>
    <t>1878-0083</t>
  </si>
  <si>
    <t>FUNGAL ECOL</t>
  </si>
  <si>
    <t>Fungal Ecol.</t>
  </si>
  <si>
    <t>10.1016/j.funeco.2020.100923</t>
  </si>
  <si>
    <t>Ecology; Mycology</t>
  </si>
  <si>
    <t>Environmental Sciences &amp; Ecology; Mycology</t>
  </si>
  <si>
    <t>LK5AU</t>
  </si>
  <si>
    <t>WOS:000530878800005</t>
  </si>
  <si>
    <t>Scott, LC; Lee, N; Aw, TG</t>
  </si>
  <si>
    <t>Scott, Laura C.; Lee, Nicholas; Aw, Tiong Gim</t>
  </si>
  <si>
    <t>Antibiotic Resistance in Minimally Human-Impacted Environments</t>
  </si>
  <si>
    <t>INTERNATIONAL JOURNAL OF ENVIRONMENTAL RESEARCH AND PUBLIC HEALTH</t>
  </si>
  <si>
    <t>antibiotic resistance; environment; anthropogenic activity; methodology</t>
  </si>
  <si>
    <t>FLOW-CYTOMETRY; GENES ARGS; BACTERIA; PRISTINE; ABUNDANCE; WATER; SEDIMENTS; SAMPLES</t>
  </si>
  <si>
    <t>Antibiotic resistant bacteria (ARB) have become contaminants of concern in environmental systems. Studies investigating environmental ARB have primarily focused on environments that are greatly impacted by anthropogenic activity. Background concentrations of ARB in natural environments is not well understood. This review summarizes the current literature on the monitoring of ARB and antibiotic resistance genes (ARGs) in environments less impacted by human activity. Both ARB and ARGs have been detected on the Antarctic continent, on isolated glaciers, and in remote alpine environments. The methods for detecting and quantifying ARB and ARGs from the environment are not standardized and warrant optimization. Further research should be focused on the detection and quantification of ARB and ARGs along human gradients to better characterize the factors leading to their dissemination in remote environments.</t>
  </si>
  <si>
    <t>[Scott, Laura C.; Lee, Nicholas; Aw, Tiong Gim] Tulane Univ, Sch Publ Hlth &amp; Trop Med, Dept Environm Hlth Sci, New Orleans, LA 70112 USA</t>
  </si>
  <si>
    <t>Tulane University</t>
  </si>
  <si>
    <t>Aw, TG (corresponding author), Tulane Univ, Sch Publ Hlth &amp; Trop Med, Dept Environm Hlth Sci, New Orleans, LA 70112 USA.</t>
  </si>
  <si>
    <t>lscott9@tulane.edu; nlee10@tulane.edu; taw@tulane.edu</t>
  </si>
  <si>
    <t>AW, TIONG GIM/C-1410-2012</t>
  </si>
  <si>
    <t>Scott, Laura/0000-0003-0303-5340</t>
  </si>
  <si>
    <t>1660-4601</t>
  </si>
  <si>
    <t>INT J ENV RES PUB HE</t>
  </si>
  <si>
    <t>Int. J. Environ. Res. Public Health</t>
  </si>
  <si>
    <t>10.3390/ijerph17113939</t>
  </si>
  <si>
    <t>MB5FY</t>
  </si>
  <si>
    <t>WOS:000542629600192</t>
  </si>
  <si>
    <t>Lou, JL; O'Kane, TJ; Holbrook, NJ</t>
  </si>
  <si>
    <t>Lou, Jiale; O'Kane, Terence J.; Holbrook, Neil J.</t>
  </si>
  <si>
    <t>A Linear Inverse Model of Tropical and South Pacific Seasonal Predictability</t>
  </si>
  <si>
    <t>ENSO; Forecast verification; skill; Seasonal forecasting; Climate variability; Decadal variability</t>
  </si>
  <si>
    <t>SEA-SURFACE TEMPERATURE; PRINCIPAL OSCILLATION PATTERNS; STOCHASTIC CLIMATE MODELS; NORTH PACIFIC; INTERDECADAL VARIABILITY; ENSO; ANOMALIES; LEVEL; SKILL; PREDICTIONS</t>
  </si>
  <si>
    <t>A multivariate linear inverse model (LIM) is developed to demonstrate the mechanisms and seasonal predictability of the dominant modes of variability from the tropical and South Pacific Oceans. We construct a LIM whose covariance matrix is a combination of principal components derived from tropical and extra-tropical sea surface temperature, and South Pacific Ocean vertically-averaged temperature anomalies. Eigen-decomposition of the linear deterministic system yields stationary and/or propagating eigenmodes, of which the least damped modes resemble the El-Nino Southern Oscillation (ENSO) and the South Pacific Decadal Oscillation (SPDO). We show that although the oscillatory periods of ENSO and SPDO are distinct, they have very close damping time scales, indicating the predictive skill of the surface ENSO and SPDO is comparable. The most damped noise modes occur in the mid-latitude South Pacific Ocean, reflecting atmospheric eastward-propagating Rossby wave train variability. We argue that these ocean wave trains occur due to the high-frequency atmospheric variability of the Pacific South American pattern imprinting onto the surface ocean. The ENSO spring predictability barrier is apparent in LIM predictions initialized in Mar-May (MAM) but displays a significant correlation skill of up to similar to 3 months. For the SPDO, the predictability barrier tends to appear in June-September (JAS), indicating remote but delayed influences from the Tropics. We demonstrate that subsurface processes in the South Pacific Ocean are the main source of decadal variability and further that by characterizing the upper ocean temperature contribution in the LIM, the seasonal predictability of both ENSO and the SPDO variability is increased.</t>
  </si>
  <si>
    <t>[Lou, Jiale; Holbrook, Neil J.] Univ Tasmania, Inst Marine &amp; Antarctic Studies, Hobart, Tas, Australia; [Lou, Jiale; Holbrook, Neil J.] Univ Tasmania, ARC Ctr Excellence Climate Syst Sci, Hobart, Tas, Australia; [O'Kane, Terence J.] CSIRO Oceans &amp; Atmosphere, Hobart, Tas, Australia</t>
  </si>
  <si>
    <t>University of Tasmania; University of Tasmania; ARC Centre of Excellence for Climate System Science; Commonwealth Scientific &amp; Industrial Research Organisation (CSIRO)</t>
  </si>
  <si>
    <t>Lou, JL (corresponding author), Univ Tasmania, Inst Marine &amp; Antarctic Studies, Hobart, Tas, Australia.;Lou, JL (corresponding author), Univ Tasmania, ARC Ctr Excellence Climate Syst Sci, Hobart, Tas, Australia.</t>
  </si>
  <si>
    <t>jiale.lou@utas.edu.au</t>
  </si>
  <si>
    <t>O'Kane, Terence J/B-1655-2009; O'Kane, Terence/AAV-1123-2021; Holbrook, Neil/M-7544-2013</t>
  </si>
  <si>
    <t>O'Kane, Terence J/0000-0002-2137-5915; O'Kane, Terence/0000-0002-2137-5915; Lou, Jiale/0000-0002-4014-5242; Holbrook, Neil/0000-0002-3523-6254</t>
  </si>
  <si>
    <t>ARC Centre of Excellence for Climate System Science [CE110001028]; University of Tasmania; Quantitative Marine Science top-up scholarship [Australian Commonwealth Scientific Research Organisation (CSIRO) Postgraduate scheme]; Australian Commonwealth Scientific and Industrial Research Organisation (CSIRO) Decadal Climate Forecasting Project; ARC Centre of Excellence for Climate Extremes [CE170100023]; Australian Government</t>
  </si>
  <si>
    <t>ARC Centre of Excellence for Climate System Science(Australian Research Council); University of Tasmania; Quantitative Marine Science top-up scholarship [Australian Commonwealth Scientific Research Organisation (CSIRO) Postgraduate scheme]; Australian Commonwealth Scientific and Industrial Research Organisation (CSIRO) Decadal Climate Forecasting Project; ARC Centre of Excellence for Climate Extremes; Australian Government(Australian Government)</t>
  </si>
  <si>
    <t>We thank the three anonymous reviewers whose suggestions led to a substantial improvement of the paper. JL would like to thank Matthew Newman, Cecile Penland, Craig Bishop, and Laure Zanna for conversations regarding the LIM framework. JL is grateful for a PhD scholarship provided by the ARC Centre of Excellence for Climate System Science (CE110001028), University of Tasmania tuition fee scholarship, and a Quantitative Marine Science top-up scholarship [including support from the Australian Commonwealth Scientific Research Organisation (CSIRO) Postgraduate scheme]. TJOwas supported by the Australian Commonwealth Scientific and Industrial Research Organisation (CSIRO) Decadal Climate Forecasting Project (https://research.csiro.au/dfp).NJH gratefully acknowledges funding support from the ARC Centre of Excellence for Climate Extremes (CE170100023). This research was undertaken with the assistance of resources from the National Computational Infrastructure (NCI), which is supported by the Australian Government.</t>
  </si>
  <si>
    <t>10.1175/JCLI-D-19-0548.1</t>
  </si>
  <si>
    <t>LO3EJ</t>
  </si>
  <si>
    <t>WOS:000533511600005</t>
  </si>
  <si>
    <t>McCrystall, MR; Hosking, JS; White, IP; Maycock, AC</t>
  </si>
  <si>
    <t>McCrystall, Michelle R.; Hosking, J. Scott; White, Ian P.; Maycock, Amanda C.</t>
  </si>
  <si>
    <t>The Impact of Changes in Tropical Sea Surface Temperatures over 1979-2012 on Northern Hemisphere High-Latitude Climate</t>
  </si>
  <si>
    <t>Arctic; Tropics; Rossby waves; Teleconnections; Walker circulation</t>
  </si>
  <si>
    <t>EXTRATROPICAL SST ANOMALIES; ARCTIC WARMING MECHANISM; POLAR AMPLIFICATION; ICE LOSS; EL-NINO; VARIABILITY; CIRCULATION; CONVECTION; ATMOSPHERE; TRANSPORT</t>
  </si>
  <si>
    <t>While rapid changes in Arctic climate over recent decades are widely documented, the importance of different driving mechanisms is still debated. A previous study proposed a causal connection between recent tropical Pacific sea surface temperature (SST) trends and circulation changes over northern Canada and Greenland (NCG). Here, using the HadGEM3-A model, we perform a suite of sensitivity experiments to investigate the influence of tropical SSTs on winter atmospheric circulation over NCG. The experiments are forced with observed SST changes between an early (1979-88) and late period (2003-12) and applied across the entire tropics (TropSST), the tropical Pacific (PacSST), and the tropical Atlantic (AtlSST). In contrast to the previous study, all three experiments show a negative 200-hPa eddy geopotential height (Z200) anomaly over NCG in winter, which is similar to the response in AMIP experiments from four other climate models. The positive Z200 NCG anomaly in ERA-Interim between the two periods is inside the bounds of internal variability estimated from bootstrap sampling. The NCG circulation anomaly in the TropSST experiment is associated with a Rossby wave train originating from the tropical Pacific, with an important contribution coming from the tropical Atlantic SSTs connected via an atmospheric bridge through the tropical Pacific. This generates anomalous upper-level convergence and a positive Rossby wave source anomaly near the North Pacific jet exit region. Hence, while a tropics-Arctic teleconnection is evident, its influence on recent Arctic regional climate differs from observed changes and warrants further research.</t>
  </si>
  <si>
    <t>[McCrystall, Michelle R.; Hosking, J. Scott] British Antarctic Survey, Cambridge, England; [McCrystall, Michelle R.] Univ Cambridge, Dept Chem, Cambridge, England; [White, Ian P.] Hebrew Univ Jerusalem, Inst Earth Sci, Jerusalem, Israel; [Maycock, Amanda C.] Univ Leeds, Sch Earth &amp; Environm, Leeds, W Yorkshire, England; [McCrystall, Michelle R.] Univ Manitoba, Winnipeg, MB, Canada</t>
  </si>
  <si>
    <t>UK Research &amp; Innovation (UKRI); Natural Environment Research Council (NERC); NERC British Antarctic Survey; University of Cambridge; Hebrew University of Jerusalem; University of Leeds; University of Manitoba</t>
  </si>
  <si>
    <t>McCrystall, MR (corresponding author), British Antarctic Survey, Cambridge, England.;McCrystall, MR (corresponding author), Univ Cambridge, Dept Chem, Cambridge, England.;McCrystall, MR (corresponding author), Univ Manitoba, Winnipeg, MB, Canada.</t>
  </si>
  <si>
    <t>michelle.mccrystall@umanitoba.ca</t>
  </si>
  <si>
    <t>Maycock, Amanda/0000-0002-6614-1127; McCrystall, Michelle/0000-0001-8580-7468</t>
  </si>
  <si>
    <t>Natural Environment Research Council (NERC) studentship [NE/L501633/1]; NERC The North Atlantic Climate System Integrated Study'' (ACSIS) project [NE/N018028/1]; AXA Research Fund Postdoctoral Fellowship; NERC Independent Research Fellowship [NE/M018199/1]; European Research Council ACCI project [267760]; NERC [NE/M018199/1, bas0100032, NE/L501633/1] Funding Source: UKRI; European Research Council (ERC) [267760] Funding Source: European Research Council (ERC)</t>
  </si>
  <si>
    <t>Natural Environment Research Council (NERC) studentship(UK Research &amp; Innovation (UKRI)Natural Environment Research Council (NERC)); NERC The North Atlantic Climate System Integrated Study'' (ACSIS) project; AXA Research Fund Postdoctoral Fellowship(AXA Research Fund); NERC Independent Research Fellowship(UK Research &amp; Innovation (UKRI)Natural Environment Research Council (NERC)); European Research Council ACCI project(European Research Council (ERC)); NERC(UK Research &amp; Innovation (UKRI)Natural Environment Research Council (NERC)); European Research Council (ERC)(European Research Council (ERC)Spanish Government)</t>
  </si>
  <si>
    <t>This study was funded as part of the Natural Environment Research Council (NERC) studentship NE/L501633/1 with model simulations run using the ARCHER U.K. national supercomputer facility and data analysed using Python-Iris (https://scitools.org.uk/iris/docs/latest/) on the JASMIN national data analysis platform. JSH acknowledges the NERC British Antarctic Survey's Polar Science for Planet Earth (PSPE) research programme, and the NERC The North Atlantic Climate System Integrated Study'' (ACSIS) project (Grant NE/N018028/1). ACM acknowledges support from an AXA Research Fund Postdoctoral Fellowship, a NERC Independent Research Fellowship (Grant NE/M018199/1), and the European Research Council ACCI project (Grant 267760). We would also like to thank Dr N. L. Abraham and Dr J. Pope for their help in setting up the HadGEM3-A simulations. We are grateful to Qinghua Ding and two anonymous reviewers whose suggestions led to significant improvements in the manuscript.</t>
  </si>
  <si>
    <t>10.1175/JCLI-D-19-0456.1</t>
  </si>
  <si>
    <t>Green Submitted, Bronze, Green Accepted</t>
  </si>
  <si>
    <t>WOS:000537891600008</t>
  </si>
  <si>
    <t>Kriegisch, N; Reeves, SE; Johnson, CR; Ling, SD</t>
  </si>
  <si>
    <t>Kriegisch, N.; Reeves, S. E.; Johnson, C. R.; Ling, S. D.</t>
  </si>
  <si>
    <t>Sea urchin control of macroalgal communities across a productivity gradient</t>
  </si>
  <si>
    <t>JOURNAL OF EXPERIMENTAL MARINE BIOLOGY AND ECOLOGY</t>
  </si>
  <si>
    <t>Urbanisation; Eutrophication; Herbivory; Grazing; Herbivore exclusion; Octocoral; Seaweed; Urchin barrens; Phase-shift</t>
  </si>
  <si>
    <t>PORT-PHILLIP BAY; TOP-DOWN; BOTTOM-UP; NUTRIENT ENRICHMENT; KELP BEDS; HERBIVORY; ECOSYSTEM; VEGETATION; BIOMASS; GRAZERS</t>
  </si>
  <si>
    <t>Opposing bottom-up 'resource-driven' and top-down 'consumer-driven' forces interact to shape the structure of ecosystems. While these counteracting forces are well recognised, debate remains regarding which is more influential across space and time. Here we explore bottom-up versus top-down control of macroalgal communities for temperate rocky reef communities in highly urbanised Port Phillip Bay (PPB), southeast Australia. Field surveys show macroalgal cover to paradoxically decline with increasing 'bottom-up' nutrient inputs while the abundance of grazing sea urchins (Heliocidaris erythrogramma) increased. The mechanisms underpinning this pattern were examined by constructing urchin-exclusion plots using octocoral (Erythropodium hicksoni) colonies that grow on urchin barren grounds and form natural barriers to grazing sea urchins. Octocoral plots were constructed by cutting 200 mm by 200 mm squares to expose bare reef substratum within the centre of octocoral colonies, which enabled efficient replication of urchin-exclusions on barren grounds across three distinct zones of anthropogenic nutrient input in PPB. Octocoral plots successfully excluded urchins across zones and, in the absence of grazing, macroalgal production increased with increasing nutrient concentration as expected. This novel opportunity to efficiently replicate urchin-exclusions on high-density barren grounds across different zones of 'bottom-up' forcing demonstrates that urchin overgrazing can keep pace with and overwhelm increasing macroalgal productivity. Our findings also highlight that impacts of grazing can be greatest where bottom-up forces enable large abundances of herbivores to accumulate, which is counter to perceptions that impacts of herbivores will be greatest where macroalgal productivity is low.</t>
  </si>
  <si>
    <t>[Kriegisch, N.; Reeves, S. E.; Johnson, C. R.; Ling, S. D.] Univ Tasmania, Inst Marine &amp; Antarctic Studies, 20 Castray Esplanade, Battery Point, Tas 7004, Australia</t>
  </si>
  <si>
    <t>Ling, SD (corresponding author), Univ Tasmania, Inst Marine &amp; Antarctic Studies, 20 Castray Esplanade, Battery Point, Tas 7004, Australia.</t>
  </si>
  <si>
    <t>Scott.Ling@utas.edu.au</t>
  </si>
  <si>
    <t>Reeves, Simon E/AAJ-3379-2021</t>
  </si>
  <si>
    <t>Reeves, Simon/0000-0001-6715-466X</t>
  </si>
  <si>
    <t>Victorian State Government Department of Environment Land Water and Planning grant; Australian Postgraduate Awards; Holsworth Wildlife Endowments [104121, 104624]; Australian Research Council [DP170104668]</t>
  </si>
  <si>
    <t>Victorian State Government Department of Environment Land Water and Planning grant; Australian Postgraduate Awards(Australian Government); Holsworth Wildlife Endowments; Australian Research Council(Australian Research Council)</t>
  </si>
  <si>
    <t>This study was supported by a Victorian State Government Department of Environment Land Water and Planning grant to CRJ and S. Swearer (The Reef Ecosystem Evaluation Framework), Australian Postgraduate Awards to NK and SER, Holsworth Wildlife Endowments to NK, SER and SDL (104121; 104624), plus Australian Research Council funds to SDL (DP170104668). SDL and NK developed the experimental methods and designed the research. SDL, NK and SER performed all field sampling; SDL and NK analysed data and wrote the manuscript; all authors provided edits. Sea urchins were collected under the Victorian Department of Primary Industries, Fisheries Act 1995 Permit RP1084 issued for 29 May 2012 to 28 May 2015.</t>
  </si>
  <si>
    <t>0022-0981</t>
  </si>
  <si>
    <t>1879-1697</t>
  </si>
  <si>
    <t>J EXP MAR BIOL ECOL</t>
  </si>
  <si>
    <t>J. Exp. Mar. Biol. Ecol.</t>
  </si>
  <si>
    <t>10.1016/j.jembe.2019.151248</t>
  </si>
  <si>
    <t>LI9LP</t>
  </si>
  <si>
    <t>WOS:000529798200011</t>
  </si>
  <si>
    <t>Lei, RB; Gui, DW; Hutchings, J; Heil, P; Li, N</t>
  </si>
  <si>
    <t>Lei, Ruibo; Gui, Dawei; Hutchings, Jennifer; Heil, Petra; Li, Na</t>
  </si>
  <si>
    <t>Annual Cycles of Sea Ice Motion and Deformation Derived From Buoy Measurements in the Western Arctic Ocean Over Two Ice Seasons</t>
  </si>
  <si>
    <t>Arctic; sea ice; motion; deformation; localization; Beaufort Gyre</t>
  </si>
  <si>
    <t>SCALING PROPERTIES; DRIFT; FREQUENCY; SUMMER; SHEBA; MODEL</t>
  </si>
  <si>
    <t>Data collected by two buoy arrays that operated during the ice seasons of 2014/2015 and 2016/2017 were used to characterize annual cycles of ice motion and deformation in the western Arctic Ocean. An anomalously strong and weak Beaufort Gyre in 2014/2015 and 2016/2017 induced generally anticyclonic and cyclonic sea ice drift during 2014/2015 and 2016/2017, respectively. Cyclonic ice motion resulted in higher contributions of ice divergence to total ice deformation in 2016/2017 than in 2014/2015. In 2014, the autumn ice concentration and multiyear ice coverage were higher than in 2016; consequently, the response of ice motion to wind forcing was weak, and less ice deformation was observed in autumn 2014. During the autumn-winter transition, the ice-wind speed ratio, ice deformation rate and its spatial and temporal scaling exponents, and localization of ice deformation decreased markedly in both 2014/2015 and 2016/2017 as a result of freeze-up and consolidation of ice floes. Such dynamic behavior was maintained through to spring with the further thickening of ice cover. Ice deformation increased due to weakened ice strength as summer approached. The amplitude of the annual cycle of ice deformation rate in the western Arctic Ocean in 2014/2015 and especially in 2016/2017 was larger than that observed during the Surface Heat Budget of the Arctic Ocean (SHEBA) program in 1997/1998. We attribute this phenomenon to ice loss during the recent summers, especially of thick multiyear ice.</t>
  </si>
  <si>
    <t>[Lei, Ruibo; Gui, Dawei; Li, Na] Polar Res Inst China, Key Lab Polar Sci MNR, Shanghai, Peoples R China; [Gui, Dawei] Wuhan Univ, Chinese Antarctic Ctr Surveying &amp; Mapping, Wuhan, Hubei, Peoples R China; [Hutchings, Jennifer] Oregon State Univ, Coll Earth Ocean &amp; Atmospher Sci, Corvallis, OR 97331 USA; [Heil, Petra] Australian Antarctic Div, Hobart, Tas, Australia; [Heil, Petra] Univ Tasmania, Australian Antarctic Program Partnership, Hobart, Tas, Australia</t>
  </si>
  <si>
    <t>Polar Research Institute of China; Wuhan University; Oregon State University; Australian Antarctic Division; University of Tasmania</t>
  </si>
  <si>
    <t>Lei, RB (corresponding author), Polar Res Inst China, Key Lab Polar Sci MNR, Shanghai, Peoples R China.</t>
  </si>
  <si>
    <t>leiruibo@pric.org.cn</t>
  </si>
  <si>
    <t>Hutchings, Jennifer K/P-6356-2017</t>
  </si>
  <si>
    <t>Heil, Petra/0000-0003-2078-0342</t>
  </si>
  <si>
    <t>National Key Research and Development Program of the Ministry of Science and Technology of the People's Republic of China [2018YFA0605903, 2016YFC14003]; National Natural Science Foundation of China [41722605, 41976219]; U.S. National Science Foundation [OPP1722729, OPP1740768]; Antarctic Climate and Ecosystems Cooperative Research Centre program; AAS Grants [4301, 4390]</t>
  </si>
  <si>
    <t>National Key Research and Development Program of the Ministry of Science and Technology of the People's Republic of China; National Natural Science Foundation of China(National Natural Science Foundation of China (NSFC)); U.S. National Science Foundation(National Science Foundation (NSF)); Antarctic Climate and Ecosystems Cooperative Research Centre program; AAS Grants</t>
  </si>
  <si>
    <t>This work was supported by grants from the National Key Research and Development Program of the Ministry of Science and Technology of the People's Republic of China (2018YFA0605903 and 2016YFC14003) and the National Natural Science Foundation of China (41722605 and 41976219). J. K. Hutchings was supported by the U.S. National Science Foundation Grants OPP1722729 and OPP1740768. P. Heil was supported by the Antarctic Climate and Ecosystems Cooperative Research Centre program and AAS Grants 4301 and 4390.</t>
  </si>
  <si>
    <t>e2019JC015310</t>
  </si>
  <si>
    <t>10.1029/2019JC015310</t>
  </si>
  <si>
    <t>WOS:000549832900008</t>
  </si>
  <si>
    <t>Mizobata, K; Shimada, K; Aoki, S; Kitade, Y</t>
  </si>
  <si>
    <t>Mizobata, K.; Shimada, K.; Aoki, S.; Kitade, Y.</t>
  </si>
  <si>
    <t>The Cyclonic Eddy Train in the Indian Ocean Sector of the Southern Ocean as Revealed by Satellite Radar Altimeters and In Situ Measurements</t>
  </si>
  <si>
    <t>Southern Ocean; cyclonic eddy; CDW; dynamic ocean topography; satellite radar altimeter</t>
  </si>
  <si>
    <t>DYNAMIC TOPOGRAPHY; VARIABILITY; SLOPE; RISE; GYRE</t>
  </si>
  <si>
    <t>We investigated dynamic ocean topography (DOT) to reveal the oceanic subpolar circulation and possible pathway of modified Circumpolar Deep Water (CDW) in the Indian Ocean sector of the Southern Ocean. Satellite radar altimeter data sets were employed to develop monthly DOT in both open water and ice-covered areas throughout the course of a year. A 0.2 degrees x 0.2 degrees gridded DOT was reconstructed for investigation of the oceanic structure at fine scale. The reconstructed DOT exhibited a cyclonic eddy train consisting of the Vincennes eddy, Poinsett eddy, and Sabrina eddies. The relationship between the depth of each eddy and the wind curl showed negative correlations for the Vincennes eddy and Sabrina eddies during wintertime only. Therefore, winds are not the main drivers of the eddies. A hydrographic section in 2017 clearly revealed the vertical structure of the Vincennes eddy. The absolute velocity estimated by the DOT and in situ geostrophic velocity showed equatorward Antarctic Bottom Water (AABW) transport at 6-8 cm s(-1)on the western side and poleward transport of CDW at 3-4 cm s(-1)on the eastern side of the Vincennes eddy. The net transports of the AABW and CDW layers in the Vincennes eddy were 0.6 +/- 0.4 Sv (equatorward) and 0.5 +/- 0.36 Sv (poleward), respectively. The order of magnitude of the AABW current speed was confirmed by in situ mooring data. The vertical profiles of absolute velocity suggest the possibility of estimating CDW transport using a satellite altimeter.</t>
  </si>
  <si>
    <t>[Mizobata, K.; Kitade, Y.] Tokyo Univ Marine Sci &amp; Technol, Dept Ocean Sci, Tokyo, Japan; [Shimada, K.] Tokyo Univ Marine Sci &amp; Technol, Ctr Marine Res &amp; Operat, Tokyo, Japan; [Aoki, S.] Hokkaido Univ, Inst Low Temp Sci, Sapporo, Hokkaido, Japan</t>
  </si>
  <si>
    <t>Tokyo University of Marine Science &amp; Technology; Tokyo University of Marine Science &amp; Technology; Hokkaido University</t>
  </si>
  <si>
    <t>Mizobata, K (corresponding author), Tokyo Univ Marine Sci &amp; Technol, Dept Ocean Sci, Tokyo, Japan.</t>
  </si>
  <si>
    <t>mizobata@kaiyodai.ac.jp</t>
  </si>
  <si>
    <t>KITADE, Yujiro/O-1912-2014; Mizobata, Kohei/D-6369-2012</t>
  </si>
  <si>
    <t>KITADE, Yujiro/0000-0002-9312-6870; Mizobata, Kohei/0000-0001-7531-2349</t>
  </si>
  <si>
    <t>Japan Society for the Promotion of Science KAKENHI [18H05051]; Grant for Joint Research Program of the Institute of Low Temperature Science, Hokkaido University; Grants-in-Aid for Scientific Research [18H05051] Funding Source: KAKEN</t>
  </si>
  <si>
    <t>Japan Society for the Promotion of Science KAKENHI(Ministry of Education, Culture, Sports, Science and Technology, Japan (MEXT)Japan Society for the Promotion of ScienceGrants-in-Aid for Scientific Research (KAKENHI)); Grant for Joint Research Program of the Institute of Low Temperature Science, Hokkaido University; Grants-in-Aid for Scientific Research(Ministry of Education, Culture, Sports, Science and Technology, Japan (MEXT)Japan Society for the Promotion of ScienceGrants-in-Aid for Scientific Research (KAKENHI))</t>
  </si>
  <si>
    <t>We express our appreciation to anonymous reviewers for their useful and helpful comments. We also thank Captain Akira Noda and crews of the T/RV Umitaka-maru for their help. This study was supported by Japan Society for the Promotion of Science KAKENHI (Grant 18H05051) and the Grant for Joint Research Program of the Institute of Low Temperature Science, Hokkaido University.</t>
  </si>
  <si>
    <t>e2019JC015994</t>
  </si>
  <si>
    <t>10.1029/2019JC015994</t>
  </si>
  <si>
    <t>WOS:000549832900001</t>
  </si>
  <si>
    <t>Mony, L; Roberts, JL; Halpin, JA</t>
  </si>
  <si>
    <t>Mony, Laura; Roberts, Jason L.; Halpin, Jacqueline A.</t>
  </si>
  <si>
    <t>Inferring geothermal heat flux from an ice-borehole temperature profile at Law Dome, East Antarctica</t>
  </si>
  <si>
    <t>JOURNAL OF GLACIOLOGY</t>
  </si>
  <si>
    <t>Glacier geophysics; ice core; ice dynamics; ice temperature</t>
  </si>
  <si>
    <t>SUBGLACIAL WATER; WEST ANTARCTICA; OLD ICE; SHEET; FLOW; SENSITIVITY; CLIMATE; BENEATH; MODEL; RHEOLOGY</t>
  </si>
  <si>
    <t>Geothermal heat flux (GHF) is an important control on the dynamics of Antarctica's ice sheet because it controls basal melt and internal deformation. However, it is hard to estimate because of a lack of in-situ measurements. Estimating GHF from ice-borehole temperature profiles is possible by combining a heat-transfer equation and the physical properties of the ice sheet in a numerical model. In this study, we truncate ice-borehole temperature profiles to determine the minimum ratio of temperature profile depth to ice-sheet thickness required to produce acceptable GHF estimations. For Law Dome, a temperature profile that is within 60% of the local ice thickness is sufficient for an estimation that is within approximately one median absolute deviation of the whole-profile GHF estimation. This result is compared with the temperature profiles at Dome Fuji and the West Antarctic Ice Sheet divide which require a temperature profile that is 80% and more than 91% of the ice thickness, respectively, for comparable accuracy. In deriving GHF median estimations from truncated temperature profiles, it is possible to discriminate between available GHF models. This is valuable for assessing and constraining future GHF models.</t>
  </si>
  <si>
    <t>[Mony, Laura; Halpin, Jacqueline A.] Univ Tasmania, Inst Marine &amp; Antarctic Studies, Private Bag 129, Hobart, Tas 7001, Australia; [Roberts, Jason L.] Australian Antarctic Div, Channel Highway, Kingston, Tas 7050, Australia; [Roberts, Jason L.] Univ Tasmania, Antarctic Climate &amp; Ecosyst Cooperat Res Ctr, Private Bag 80, Hobart, Tas 7001, Australia</t>
  </si>
  <si>
    <t>Mony, L (corresponding author), Univ Tasmania, Inst Marine &amp; Antarctic Studies, Private Bag 129, Hobart, Tas 7001, Australia.</t>
  </si>
  <si>
    <t>lmony@utas.edu.au</t>
  </si>
  <si>
    <t>Roberts, Jason L/B-2235-2012; Halpin, Jacqueline/A-3776-2014</t>
  </si>
  <si>
    <t>Roberts, Jason L/0000-0002-3477-4069; Mony, Laura/0000-0001-7181-7833; Halpin, Jacqueline/0000-0002-4992-8681</t>
  </si>
  <si>
    <t>We thank the members of the ice-sheet group at IMAS, especially Adam Treverrow and Felicity McCormack, for reviewing and improving an earlier version of the manuscript. This research was supported under Australian Research Council's Special Research Initiative for Antarctic Gateway Partnership (Project ID SR140300001).</t>
  </si>
  <si>
    <t>0022-1430</t>
  </si>
  <si>
    <t>1727-5652</t>
  </si>
  <si>
    <t>J GLACIOL</t>
  </si>
  <si>
    <t>J. Glaciol.</t>
  </si>
  <si>
    <t>PII S0022143020000271</t>
  </si>
  <si>
    <t>10.1017/jog.2020.27</t>
  </si>
  <si>
    <t>LL9FE</t>
  </si>
  <si>
    <t>WOS:000531857800013</t>
  </si>
  <si>
    <t>Wang, JW; Yuan, QQ; Shen, HF; Liu, TT; Li, TW; Yue, LW; Shi, XG; Zhang, LP</t>
  </si>
  <si>
    <t>Wang, Jiwen; Yuan, Qiangqiang; Shen, Huanfeng; Liu, Tingting; Li, Tongwen; Yue, Linwei; Shi, Xiaogang; Zhang, Liangpei</t>
  </si>
  <si>
    <t>Estimating snow depth by combining satellite data and ground-based observations over Alaska: A deep learning approach</t>
  </si>
  <si>
    <t>JOURNAL OF HYDROLOGY</t>
  </si>
  <si>
    <t>Deep learning; Multisource data; GNSS-R; Brightness temperature; Alaska; Snow depth</t>
  </si>
  <si>
    <t>ARTIFICIAL NEURAL-NETWORK; PASSIVE MICROWAVE DATA; REMOTE-SENSING DATA; WATER EQUIVALENT; SOIL-MOISTURE; SEA-ICE; AMSR-E; RETRIEVAL; GPS; ALGORITHM</t>
  </si>
  <si>
    <t>Snow cover plays a vital role in the climate system because it is related to climate, hydrological cycle, and ecosystem. On this basis, deriving a long-term and large-scale snow depth (SD) time series and monitoring its temporal and spatial variations are crucial. Passive microwave remote sensing data in combination with in-situ SD data have long been used to retrieve SD. However, the retrieval accuracy is limited in case of sparse meteorological stations, and the high-quality applications of retrieval results are hindered in specific areas. The ground-based global navigation satellite system reflectometry (GNSS-R) method is currently a potential way to monitor SD variations with a high degree of accuracy but has a limited spatial coverage. In this study, a deep learning-based approach, which displays a stronger nonlinear expressiveness capability than conventional neural networks, was applied to estimate SD by combining satellite observations, in-situ data, and GNSS-R estimates. The model was trained and tested with data obtained in Alaska between 2008 and 2017. Results show that the proposed deep belief network model performs better than linear methods and conventional neural network models and demonstrate the effectiveness of combining GNSS-R estimation with increased cross-validation R of 0.85 and decreased RMSE of 15.40 cm. The predicted SD distribution indicates that the variations in mean SD in Alaska for March and April between 2008 and 2017 were associated with the climate anomalies and air temperature. Overall, the proposed deep learning-based method is a promising approach in the satellite-retrieved SD field.</t>
  </si>
  <si>
    <t>[Wang, Jiwen; Yuan, Qiangqiang] Wuhan Univ, Sch Geodesy &amp; Geomat, Wuhan 430079, Hubei, Peoples R China; [Yue, Linwei] China Univ Geosci, Fac Informat Engn, Wuhan 430079, Hubei, Peoples R China; [Shen, Huanfeng; Li, Tongwen] Wuhan Univ, Sch Resource &amp; Environm Sci, Wuhan 430079, Hubei, Peoples R China; [Shen, Huanfeng; Zhang, Liangpei] Collaborat Innovat Ctr Geospatial Technol, Wuhan 430079, Hubei, Peoples R China; [Shen, Huanfeng] Wuhan Univ, Key Lab Geog Informat Syst, Minist Educ, Wuhan 430079, Hubei, Peoples R China; [Zhang, Liangpei] Wuhan Univ, State Key Lab Informat Engn Surveying Mapping &amp; R, Wuhan 430079, Hubei, Peoples R China; [Liu, Tingting] Wuhan Univ, Chinese Antarctic Ctr Surveying &amp; Mapping, Wuhan 430079, Hubei, Peoples R China; [Shi, Xiaogang] Univ Glasgow, Glasgow G12 8QQ, Lanark, Scotland</t>
  </si>
  <si>
    <t>Wuhan University; China University of Geosciences; Wuhan University; Wuhan University; Wuhan University; Wuhan University; University of Glasgow</t>
  </si>
  <si>
    <t>Yuan, QQ (corresponding author), Wuhan Univ, Sch Geodesy &amp; Geomat, Wuhan 430079, Hubei, Peoples R China.;Liu, TT (corresponding author), Wuhan Univ, Chinese Antarctic Ctr Surveying &amp; Mapping, Wuhan 430079, Hubei, Peoples R China.</t>
  </si>
  <si>
    <t>wangjiwen@whu.edu.cn; qqyuan@sgg.whu.edu.cn; shenhf@whu.edu.cn; ttliu23@whu.edu.cn; litw@whu.edu.cn; yuelw@cug.edu.cn; John.Shi@glasgow.ac.uk; zlp62@whu.edu.cn</t>
  </si>
  <si>
    <t>Shen, Huanfeng/HPD-8048-2023; Liu, Tingting/HCH-2239-2022</t>
  </si>
  <si>
    <t>Shen, Huanfeng/0000-0002-4140-1869; Li, Tongwen/0000-0001-7197-3713</t>
  </si>
  <si>
    <t>Strategic Priority Research Program of the Chinese Academy of Sciences [XDA19090104]; National Natural Science Foundation of China [41922008, 41676179]; Fundamental Research Funds for the Central Universities of Wuhan University [2042019kf0213]</t>
  </si>
  <si>
    <t>Strategic Priority Research Program of the Chinese Academy of Sciences(Chinese Academy of Sciences); National Natural Science Foundation of China(National Natural Science Foundation of China (NSFC)); Fundamental Research Funds for the Central Universities of Wuhan University</t>
  </si>
  <si>
    <t>We gratefully acknowledge the support from the Strategic Priority Research Program of the Chinese Academy of Sciences (No. XDA19090104), the National Natural Science Foundation of China (Nos. 41922008 and 41676179), and the Fundamental Research Funds for the Central Universities of Wuhan University (No. 2042019kf0213). The authors would also like to thank the National Snow and Ice Data Center for providing the SSMIS brightness temperature data. The in-situ SD data were obtained from the Global Historical Climate Network. The GNSS-R SD were sourced from the PBO H2O Data Portal. The MODIS VCF data were obtained from LAADS DAAC. The ETOPO1 data were obtained from the National Geophysical Data Center of NOAA. The temperature analysis data were acquired from NOAA ESRL PSD.</t>
  </si>
  <si>
    <t>0022-1694</t>
  </si>
  <si>
    <t>1879-2707</t>
  </si>
  <si>
    <t>J HYDROL</t>
  </si>
  <si>
    <t>J. Hydrol.</t>
  </si>
  <si>
    <t>10.1016/j.jhydrol.2020.124828</t>
  </si>
  <si>
    <t>Engineering, Civil; Geosciences, Multidisciplinary; Water Resources</t>
  </si>
  <si>
    <t>Engineering; Geology; Water Resources</t>
  </si>
  <si>
    <t>MD8PK</t>
  </si>
  <si>
    <t>WOS:000544230000079</t>
  </si>
  <si>
    <t>Bory, A; Shilling, AJ; Allen, J; Azhari, A; Roth, A; Shaw, LN; Kyle, DE; Adams, JH; Amsler, CD; McClintock, JB; Baker, BJ</t>
  </si>
  <si>
    <t>Bory, Alexandre; Shilling, Andrew J.; Allen, Jessie; Azhari, Ala; Roth, Alison; Shaw, Lindsey N.; Kyle, Dennis E.; Adams, John H.; Amsler, Charles D.; McClintock, James B.; Baker, Bill J.</t>
  </si>
  <si>
    <t>Bioactivity of Spongian Diterpenoid Scaffolds from the Antarctic SpongeDendrilla antarctica</t>
  </si>
  <si>
    <t>MARINE DRUGS</t>
  </si>
  <si>
    <t>diterpenoids; dendrillins; malaria; leishmaniasis; MRSA biofilm</t>
  </si>
  <si>
    <t>NATURAL-PRODUCTS</t>
  </si>
  <si>
    <t>The Antarctic spongeDendrilla antarcticais rich in defensive terpenoids with promising antimicrobial potential. Investigation of this demosponge has resulted in the generation of a small chemical library containing diterpenoid secondary metabolites with bioactivity in an infectious disease screening campaign focused onLeishmania donovani,Plasmodium falciparum, and methicillin-resistantStaphylococcus aureus(MRSA) biofilm. In total, eleven natural products were isolated, including three new compounds designated dendrillins B-D (10-12). Chemical modification of abundant natural products led to three semisynthetic derivatives (13-15), which were also screened. Several compounds showed potency against the leishmaniasis parasite, with the natural products tetrahydroaplysulphurin-1 (4) and dendrillin B (10), as well as the semisynthetic triol15, displaying single-digit micromolar activity and low mammalian cytotoxicity. Triol15displayed the best profile against the liver-stage malaria parasites, while membranolide (5) and dendrillin C (11) were strong hits against MRSA biofilm cultures.</t>
  </si>
  <si>
    <t>[Bory, Alexandre; Shilling, Andrew J.; Baker, Bill J.] Univ S Florida, Dept Chem, 4202 E Fowler Ave,CHE205, Tampa, FL 33620 USA; [Allen, Jessie; Shaw, Lindsey N.] Univ S Florida, Dept Cell Biol Microbiol &amp; Mol Biol, 4202 E Fowler Ave,ISA2015, Tampa, FL 33620 USA; [Azhari, Ala; Roth, Alison; Kyle, Dennis E.; Adams, John H.] Univ S Florida, USF Ctr Global Hlth &amp; Infect Dis Res, 3010 USF Banyan Circle,IDRB 304, Tampa, FL 33612 USA; [Amsler, Charles D.; McClintock, James B.] Univ Alabama Birmingham, Dept Biol, Birmingham, AL 35294 USA</t>
  </si>
  <si>
    <t>State University System of Florida; University of South Florida; State University System of Florida; University of South Florida; State University System of Florida; University of South Florida; University of Alabama System; University of Alabama Birmingham</t>
  </si>
  <si>
    <t>Baker, BJ (corresponding author), Univ S Florida, Dept Chem, 4202 E Fowler Ave,CHE205, Tampa, FL 33620 USA.</t>
  </si>
  <si>
    <t>alexandre.bory@pharma.ethz.ch; ashillin@usf.edu; jessiea@usf.edu; aaazhari@kau.edu.sa; aroth1@usf.edu; shaw@usf.edu; dennis.kyle@uga.edu; ja2@usf.edu; amsler@uab.edu; mcclinto@uab.edu; bjbaker@usf.edu</t>
  </si>
  <si>
    <t>Azhari, Ala/AAW-3296-2020; Adams, John H./ABB-8458-2020; Baker, Bill/N-4312-2019; Adams, John H./G-1800-2015</t>
  </si>
  <si>
    <t>Kyle, Dennis/0000-0002-0238-965X; Azhari, Ala/0000-0001-8519-2619; Adams, John H./0000-0003-3707-7979; Allen, Jessie/0000-0002-3641-0242; Baker, Bill/0000-0003-3033-5779; Amsler, Charles/0000-0002-4843-3759; Shaw, Lindsey/0000-0002-0629-8990; Roth, Alison/0000-0001-6917-3485; Bory, Alexandre/0000-0001-5222-6894</t>
  </si>
  <si>
    <t>Nation Science Foundation from the Antarctic Organisms and Ecosystems Program [PLR-1341333, PLR-1341339]; NIH [AI103673, AI103715, AI124458]; State of Florida for Center of Excellence funding of the Center for Drug Discovery and Innovation</t>
  </si>
  <si>
    <t>Nation Science Foundation from the Antarctic Organisms and Ecosystems Program; NIH(United States Department of Health &amp; Human ServicesNational Institutes of Health (NIH) - USA); State of Florida for Center of Excellence funding of the Center for Drug Discovery and Innovation</t>
  </si>
  <si>
    <t>This research was funded by the Nation Science Foundation grant number PLR-1341333 (C.D.A. and J.B.M.) and PLR-1341339 (B.J.B.) from the Antarctic Organisms and Ecosystems Program, by NIH grants AI103673 (B.J.B., D.E.K.), AI103715 (L.N.S., B.J.B.), AI124458 (L.N.S.) and by the State of Florida for Center of Excellence funding of the Center for Drug Discovery and Innovation.</t>
  </si>
  <si>
    <t>1660-3397</t>
  </si>
  <si>
    <t>MAR DRUGS</t>
  </si>
  <si>
    <t>Mar. Drugs</t>
  </si>
  <si>
    <t>10.3390/md18060327</t>
  </si>
  <si>
    <t>Chemistry, Medicinal; Pharmacology &amp; Pharmacy</t>
  </si>
  <si>
    <t>MN9TB</t>
  </si>
  <si>
    <t>WOS:000551180900046</t>
  </si>
  <si>
    <t>Murray, AE; Avalon, NE; Bishop, L; Davenport, KW; Delage, E; Dichosa, AEK; Eveillard, D; Higham, ML; Kokkaliari, S; Lo, CC; Riesenfeld, CS; Young, RM; Chain, PSG; Baker, BJ</t>
  </si>
  <si>
    <t>Murray, Alison E.; Avalon, Nicole E.; Bishop, Lucas; Davenport, Karen W.; Delage, Erwan; Dichosa, Armand E. K.; Eveillard, Damien; Higham, Mary L.; Kokkaliari, Sofia; Lo, Chien-Chi; Riesenfeld, Christian S.; Young, Ryan M.; Chain, Patrick S. G.; Baker, Bill J.</t>
  </si>
  <si>
    <t>Uncovering the Core Microbiome and Distribution of Palmerolide inSynoicum adareanumAcross the Anvers Island Archipelago, Antarctica</t>
  </si>
  <si>
    <t>16th International Symposium on Marine Natural Products (MaNaPro ) / 11th European Conference on Marine Natural Products (ECMNP)</t>
  </si>
  <si>
    <t>SEP 01-05, 2019</t>
  </si>
  <si>
    <t>Peniche, PORTUGAL</t>
  </si>
  <si>
    <t>Antarctica; ascidian; microbiome; microbial diversity; palmerolide A; co-occurrence</t>
  </si>
  <si>
    <t>SECONDARY METABOLISM; CHEMICAL DEFENSES; SOFT CORAL; DIVERSITY; BACTERIAL; COMMUNITIES; VARIABILITY; SP.; DATABASE; ARCHAEA</t>
  </si>
  <si>
    <t>Polar marine ecosystems hold the potential for bioactive compound biodiscovery, based on their untapped macro- and microorganism diversity. Characterization of polar benthic marine invertebrate-associated microbiomes is limited to few studies. This study was motivated by our interest in better understanding the microbiome structure and composition of the ascidian,Synoicum adareanum, in which palmerolide A (PalA), a bioactive macrolide with specificity against melanoma, was isolated. PalA bears structural resemblance to a hybrid nonribosomal peptide-polyketide that has similarities to microbially-produced macrolides. We conducted a spatial survey to assess both PalA levels and microbiome composition inS. adareanumin a region of the Antarctic Peninsula near Anvers Island (64 degrees 46 ' S, 64 degrees 03 ' W). PalA was ubiquitous and abundant across a collection of 21 ascidians (3 subsamples each) sampled from seven sites across the Anvers Island Archipelago. The microbiome composition (V3-V4 16S rRNA gene sequence variants) of these 63 samples revealed a core suite of 21 bacterial amplicon sequence variants (ASVs)-20 of which were distinct from regional bacterioplankton. ASV co-occurrence analysis across all 63 samples yielded subgroups of taxa that may be interacting biologically (interacting subsystems) and, although the levels of PalA detected were not found to correlate with specific sequence variants, the core members appeared to occur in a preferred optimum and tolerance range of PalA levels. These results, together with an analysis of the biosynthetic potential of related microbiome taxa, describe a conserved, high-latitude core microbiome with unique composition and substantial promise for natural product biosynthesis that likely influences the ecology of the holobiont.</t>
  </si>
  <si>
    <t>[Murray, Alison E.; Bishop, Lucas; Higham, Mary L.; Riesenfeld, Christian S.] Desert Res Inst, Div Earth &amp; Ecosyst Sci, Reno, NV 89512 USA; [Avalon, Nicole E.; Kokkaliari, Sofia; Young, Ryan M.; Baker, Bill J.] Univ S Florida, Dept Chem, Tampa, FL 33620 USA; [Davenport, Karen W.; Dichosa, Armand E. K.; Lo, Chien-Chi; Chain, Patrick S. G.] Los Alamos Natl Lab, Biosci Div, Los Alamos, NM 87545 USA; [Delage, Erwan; Eveillard, Damien] Univ Nantes, CNRS, LS2N, F-44322 Nantes, France</t>
  </si>
  <si>
    <t>Nevada System of Higher Education (NSHE); Desert Research Institute NSHE; State University System of Florida; University of South Florida; United States Department of Energy (DOE); Los Alamos National Laboratory; Centre National de la Recherche Scientifique (CNRS); Nantes Universite</t>
  </si>
  <si>
    <t>Baker, BJ (corresponding author), Univ S Florida, Dept Chem, Tampa, FL 33620 USA.;Chain, PSG (corresponding author), Los Alamos Natl Lab, Biosci Div, Los Alamos, NM 87545 USA.</t>
  </si>
  <si>
    <t>Alison.murray@dri.edu; neavalon@usf.edu; bishoplucas95@gmail.com; kwdavenport@lanl.gov; erwan.delage@univ-nantes.fr; armand@lanl.gov; damien.eveillard@univ-nantes.fr; mary.higham@dri.edu; skokkaliari@usf.edu; chienchi@lanl.gov; csriesenfeld@gmail.com; ryan.young@nuigalway.ie; pchain@lanl.gov; bjbaker@usf.edu</t>
  </si>
  <si>
    <t>Young, Ryan M/E-9698-2019; eveillard, damien/AAQ-2363-2020; Baker, Bill/N-4312-2019</t>
  </si>
  <si>
    <t>eveillard, damien/0000-0002-8162-7360; Bishop, Lucas/0000-0001-5829-6754; Avalon, Nicole/0000-0003-3588-892X; Kokkaliari, Sofia/0000-0002-4618-5640; Delage, Erwan/0000-0002-7653-5111; Murray, Alison E/0000-0001-5790-7584; Baker, Bill/0000-0003-3033-5779; Davenport, Karen/0000-0002-2740-1344; Chain, Patrick/0000-0003-3949-3634; Dichosa, Armand/0000-0003-0640-6629</t>
  </si>
  <si>
    <t>National Institute of Health award [CA205932]; National Science Foundation [OPP-0442857, ANT-0838776, PLR-1341339, ANT-0632389, DBI-0532893]; Joint Genome Institute's Community Sequencing Program [JGI-634]</t>
  </si>
  <si>
    <t>National Institute of Health award(United States Department of Health &amp; Human ServicesNational Institutes of Health (NIH) - USA); National Science Foundation(National Science Foundation (NSF)); Joint Genome Institute's Community Sequencing Program</t>
  </si>
  <si>
    <t>Support for this research was provided in part by the National Institute of Health award (CA205932) to A.E.M., B.J.B., and P.S.G.C., with additional support from National Science Foundation awards (OPP-0442857, ANT-0838776, and PLR-1341339 to B.J.B., ANT-0632389 to A.E.M. and Postdoctoral Research Fellowship award DBI-0532893 to C.S.R.). Support for the sequencing of the bacterioplankton was provided as part of the Joint Genome Institute's Community Sequencing Program (JGI-634 to A.E.M.).</t>
  </si>
  <si>
    <t>10.3390/md18060298</t>
  </si>
  <si>
    <t>WOS:000551180900012</t>
  </si>
  <si>
    <t>Visch, W; Kononets, M; Hall, POJ; Nylund, GM; Pavia, H</t>
  </si>
  <si>
    <t>Visch, Wouter; Kononets, Mikhail; Hall, Per O. J.; Nylund, Goran M.; Pavia, Henrik</t>
  </si>
  <si>
    <t>Environmental impact of kelp (Saccharina latissima) aquaculture</t>
  </si>
  <si>
    <t>Aquaculture; Benthic oxygen uptake; Environmental impact; Kelp; Seaweed; Saccharina latissima</t>
  </si>
  <si>
    <t>SEAWEED CULTIVATION; ORGANIC-CARBON; WEST-COAST; FISH; QUALITY; BAY; BIODEPOSITS; MACROALGAE; SHELLFISH; ABUNDANCE</t>
  </si>
  <si>
    <t>The aim of the study was to assess the effect of seaweed cultivation on the coastal environment. We analysed a multitude of environmental parameters using an asymmetrical before after control impact (BACI) design, comparing the seaweed farm (impact) with multiple unaffected locations (controls). The seaweed farm had a significant positive effect on benthic infauna (p &lt; 0.05) and was found to attract 17 mobile faunal and 7 other seaweed species, indicating that the farmed crop may provide habitat to mobile faunal species. A light attenuation of approximately 40% at 5 m depth was noted at the peak of the seaweed biomass just before harvest. No changes were observed in benthic oxygen flux, dissolved nutrient concentrations, and benthic mobile fauna between farm and control sites. These results show that seaweed aquaculture has limited environmental effects, especially compared to other forms of aquaculture such as fish and bivalve farming.</t>
  </si>
  <si>
    <t>[Visch, Wouter; Nylund, Goran M.; Pavia, Henrik] Univ Gothenburg, Dept Marine Sci, Tjarno Marine Lab, SE-45296 Stromstad, Sweden; [Kononets, Mikhail; Hall, Per O. J.] Univ Gothenburg, Dept Marine Sci, Box 461, SE-40530 Gothenburg, Sweden; [Visch, Wouter] Univ Tasmania, Inst Marine &amp; Antarctic Studies, 20 Castray Esplanade, Hobart, Tas 7004, Australia</t>
  </si>
  <si>
    <t>University of Gothenburg; University of Gothenburg; University of Tasmania</t>
  </si>
  <si>
    <t>wouter.visch@marine.gu.se</t>
  </si>
  <si>
    <t>We would like to thank the crew onboard R/V Nereus and research engineer Gunnar Cervin for skillful help at sea while deploying the benthic landers and other sampling. This work was associated with the Swedish Mariculture Research Center (SWEMARC), Center for Sea and Society, University of Gothenburg. It was supported by The Swedish Foundation for Strategic Environmental Research MISTRA (grant no. 2013/75), and The Swedish Research Council Formas (grant no. 213-2013-92).</t>
  </si>
  <si>
    <t>10.1016/j.marpolbul.2020.110962</t>
  </si>
  <si>
    <t>WOS:000536184300002</t>
  </si>
  <si>
    <t>Coleine, C; Pombubpa, N; Zucconi, L; Onofri, S; Turchetti, B; Buzzini, P; Stajich, JE; Selbmann, L</t>
  </si>
  <si>
    <t>Coleine, Claudia; Pombubpa, Nuttapon; Zucconi, Laura; Onofri, Silvano; Turchetti, Benedetta; Buzzini, Pietro; Stajich, Jason E.; Selbmann, Laura</t>
  </si>
  <si>
    <t>Uncovered Microbial Diversity in Antarctic Cryptoendolithic Communities Sampling Three Representative Locations of the Victoria Land</t>
  </si>
  <si>
    <t>Antarctica; endolithic communities; habitat; sampling effort; fungi; bacteria; amplicon sequencing</t>
  </si>
  <si>
    <t>MCMURDO DRY VALLEYS; FUNGI; BIODIVERSITY; LIFE; HOT; MICROORGANISMS; SANDSTONE; RADIATION; BACTERIA; ALGAE</t>
  </si>
  <si>
    <t>The endolithic niche represents an ultimate refuge to microorganisms in the Mars-like environment of the Antarctic desert. In an era of rapid global change and desertification, the interest in these border ecosystems is increasing due to speculation on how they maintain balance and functionality at the dry limits of life. To assure a reliable estimation of microbial diversity, proper sampling must be planned in order to avoid the necessity of re-sampling as reaching these remote locations is risky and requires tremendous logistical and economical efforts. In this study, we seek to determine the minimum number of samples for uncovering comprehensive bacterial and fungal diversity, comparing communities in strict vicinity to each other. We selected three different locations of the Victoria Land (Continental Antarctica) at different altitudes and showing sandstone outcrops of a diverse nature and origin-Battleship promontory (834 m above sea level (a.s.l.), Southern VL), Trio Nunatak (1,470 m a.s.l., Northern VL) and Mt New Zealand (3,100 m a.s.l., Northern VL). Overall, we found that a wider sampling would be required to capture the whole amplitude of microbial diversity, particularly in Northern VL. We concluded that the inhomogeneity of the rock matrix and the stronger environmental pressure at higher altitudes may force the communities to a higher local diversification.</t>
  </si>
  <si>
    <t>[Coleine, Claudia; Zucconi, Laura; Onofri, Silvano; Selbmann, Laura] Univ Tuscia, Dept Ecol &amp; Biol Sci, I-01100 Viterbo, Italy; [Pombubpa, Nuttapon; Stajich, Jason E.] Univ Calif Riverside, Dept Microbiol &amp; Plant Pathol, Riverside, CA 92521 USA; [Turchetti, Benedetta; Buzzini, Pietro] Univ Perugia, Dept Agr Food &amp; Environm Sci, I-06121 Perugia, Italy; [Selbmann, Laura] Italian Natl Antarctic Museum MNA, Mycol Sect, I-16166 Genoa, Italy</t>
  </si>
  <si>
    <t>Tuscia University; University of California System; University of California Riverside; University of Perugia</t>
  </si>
  <si>
    <t>Coleine, C; Selbmann, L (corresponding author), Univ Tuscia, Dept Ecol &amp; Biol Sci, I-01100 Viterbo, Italy.;Selbmann, L (corresponding author), Italian Natl Antarctic Museum MNA, Mycol Sect, I-16166 Genoa, Italy.</t>
  </si>
  <si>
    <t>coleine@unitus.it; npomb001@ucr.edu; zucconi@unitus.it; onofri@unitus.it; benedetta.turchetti@unipg.it; pietro.buzzini@unipg.it; jason.stajich@ucr.edu; selbmann@unitus.it</t>
  </si>
  <si>
    <t>Coleine, Claudia/AAE-1889-2020; Zucconi, L./U-9781-2018; Stajich, Jason Eric/C-7297-2008; Selbmann, Laura/L-3056-2013</t>
  </si>
  <si>
    <t>Coleine, Claudia/0000-0002-9289-6179; Zucconi, L./0000-0001-9793-2303; Stajich, Jason Eric/0000-0002-7591-0020; Selbmann, Laura/0000-0002-8967-3329; Buzzini, Pietro/0000-0001-6793-0606; Pombubpa, Nuttapon/0000-0003-3385-5331; turchetti, benedetta/0000-0002-7370-3028</t>
  </si>
  <si>
    <t>Italian National Program for Antarctic Researches; Italian Antarctic National Museum (MNA); Royal Thai government fellowship; NSF [DBI-1429826]; NIH [S10-OD016290]</t>
  </si>
  <si>
    <t>Italian National Program for Antarctic Researches; Italian Antarctic National Museum (MNA); Royal Thai government fellowship; NSF(National Science Foundation (NSF)); NIH(United States Department of Health &amp; Human ServicesNational Institutes of Health (NIH) - USA)</t>
  </si>
  <si>
    <t>L.S.: C.C., and L.Z. wish to thank the Italian National Program for Antarctic Researches for funding sampling campaigns and research activities in Italy in the frame of PNRA projects. The Italian Antarctic National Museum (MNA) is kindly acknowledged for financial support to the Mycological Section of the MNA and for providing rock samples used in this study and stored in the Culture Collection of Fungi from Extreme Environments (CCFEE), University of Tuscia, Italy. J.E.S. is a CIFAR fellow in the Fungal Kingdom: Threats and Opportunities program. N.P. was supported by a Royal Thai government fellowship. Data analyses were performed on the High-Performance Computing Cluster at the University of California-Riverside in the Institute of Integrative Genome Biology supported by NSF DBI-1429826 and NIH S10-OD016290.</t>
  </si>
  <si>
    <t>10.3390/microorganisms8060942</t>
  </si>
  <si>
    <t>ML2DB</t>
  </si>
  <si>
    <t>WOS:000549282100001</t>
  </si>
  <si>
    <t>Pérez-Huerta, A; Walker, SE; Cappelli, C</t>
  </si>
  <si>
    <t>Perez-Huerta, Alberto; Walker, Sally E.; Cappelli, Chiara</t>
  </si>
  <si>
    <t>In Situ Geochemical Analysis of Organics in Growth Lines of Antarctic Scallop Shells: Implications for Sclerochronology</t>
  </si>
  <si>
    <t>atom probe tomography (APT); biomineralization; proteoglycans; carboxylic acid; Adamussium colbecki; Antarctica; proxies; Mg/Ca; delta N-15</t>
  </si>
  <si>
    <t>ADAMUSSIUM-COLBECKI; CARBONATE</t>
  </si>
  <si>
    <t>Bivalve shells are extensively used as bioarchives for paleoclimate and paleoenvironmental reconstructions. Proxy calibrations in recent shells are the basis for sclerochronology and the applications of geochemistry data to fossils. Shell geochemical information, however, could be altered with the disappearance of intercrystalline organic matrix components, including those linked to shell growth increments, during early diagenesis. Thus, an evaluation of the chemistry of such organics is needed for the correct use of sclerochronological records in fossil shells. Here, we use atom probe tomography (APT) for in situ geochemical characterization of the insoluble organic matrix in shell growth increments in the Antarctic scallop, Adamussium colbecki. We confirm the presence of carboxylated S-rich proteoglycans, possibly involved in calcite nucleation and growth in these scallops, with significant concentrations of magnesium and calcium. Diagenetic modification of these organic components could impact proxy data based on Mg/Ca ratios, but more importantly the use of the delta N-15 proxy, since most of the shell nitrogen is likely bound to the amide groups of proteins. Overall, our findings reinforce the idea that shell organics need to be accounted for in the understanding of geochemical proxies.</t>
  </si>
  <si>
    <t>[Perez-Huerta, Alberto; Cappelli, Chiara] Univ Alabama, Dept Geol Sci, Tuscaloosa, AL 35487 USA; [Walker, Sally E.] Univ Georgia, Dept Geol, Athens, GA 30602 USA</t>
  </si>
  <si>
    <t>University of Alabama System; University of Alabama Tuscaloosa; University System of Georgia; University of Georgia</t>
  </si>
  <si>
    <t>Pérez-Huerta, A (corresponding author), Univ Alabama, Dept Geol Sci, Tuscaloosa, AL 35487 USA.</t>
  </si>
  <si>
    <t>aphuerta@ua.edu; swalker@gly.uga.edu; ccappelli@ua.edu</t>
  </si>
  <si>
    <t>Cappelli, Chiara/GQO-9136-2022; Cappelli, Chiara/GPS-4375-2022</t>
  </si>
  <si>
    <t>Cappelli, Chiara/0000-0001-7590-6227; Cappelli, Chiara/0000-0001-7590-6227; Perez-Huerta, Alberto/0000-0003-0642-4309</t>
  </si>
  <si>
    <t>U.S. National Science Foundation (NSF)-EAR-Antarctic Sciences [EAR-1745064]; U.S. National Science Foundation (NSF) [ANT-0739512, OPP-1745057, EAR-1647012]</t>
  </si>
  <si>
    <t>U.S. National Science Foundation (NSF)-EAR-Antarctic Sciences; U.S. National Science Foundation (NSF)(National Science Foundation (NSF))</t>
  </si>
  <si>
    <t>This research was funded by the U.S. National Science Foundation (NSF)-EAR-Antarctic Sciences (#EAR-1745064) to S.E.W. and A.P.-H.; and partially funded by the U.S. National Science Foundation (NSF)Instrumentation and Facilities Program (#EAR-1647012) to A.P.-H. and Polar Program (#ANT-0739512 and #OPP-1745057) to S.E.W.</t>
  </si>
  <si>
    <t>10.3390/min10060529</t>
  </si>
  <si>
    <t>MN8ND</t>
  </si>
  <si>
    <t>WOS:000551097800001</t>
  </si>
  <si>
    <t>Stoffel, MA; Acevedo-Whitehouse, K; Morales-Duran, N; Grosser, S; Chakarov, N; Krueger, O; Nichols, HJ; Elorriaga-Verplancken, FR; Hoffman, JI</t>
  </si>
  <si>
    <t>Stoffel, Martin A.; Acevedo-Whitehouse, Karina; Morales-Duran, Nami; Grosser, Stefanie; Chakarov, Nayden; Krueger, Oliver; Nichols, Hazel J.; Elorriaga-Verplancken, Fernando R.; Hoffman, Joseph, I</t>
  </si>
  <si>
    <t>Early sexual dimorphism in the developing gut microbiome of northern elephant seals</t>
  </si>
  <si>
    <t>MOLECULAR ECOLOGY</t>
  </si>
  <si>
    <t>gut microbiome; health; life history; pinnipeds; sex-differences; wild mammal</t>
  </si>
  <si>
    <t>INTESTINAL MICROBIOTA; FORAGING BEHAVIOR; COMMUNITY; DIET; WILD; PHYLOGENY; EVOLUTION; BACTERIA; ANIMALS; PACKAGE</t>
  </si>
  <si>
    <t>The gut microbiome is an integral part of a species' ecology, but we know little about how host characteristics impact its development in wild populations. Here, we explored the role of such intrinsic factors in shaping the gut microbiome of northern elephant seals (Mirounga angustirostris) during a critical developmental window of 6 weeks after weaning, when the pups stay ashore without feeding. We found substantial sex differences in the early-life gut microbiome, even though males and females could not yet be distinguished morphologically. Sex and age both explained around 15% of the variation in gut microbial beta diversity, while microbial communities sampled from the same individual showed high levels of similarity across time, explaining another 40% of the variation. Only a small proportion of the variation in beta diversity was explained by health status, assessed by full blood counts, but clinically healthy individuals had a greater microbial alpha diversity than their clinically abnormal peers. Across the post-weaning period, the northern elephant seal gut microbiome was highly dynamic. We found evidence for several colonization and extinction events as well as a decline inBacteroidesand an increase inPrevotella, a pattern that has previously been associated with the transition from nursing to solid food. Lastly, we show that genetic relatedness was correlated with gut microbiome similarity in males but not females, again reflecting early sex differences. Our study represents a naturally diet-controlled and longitudinal investigation of how intrinsic factors shape the early gut microbiome in a species with extreme sex differences in morphology and life history.</t>
  </si>
  <si>
    <t>[Stoffel, Martin A.; Chakarov, Nayden; Krueger, Oliver; Nichols, Hazel J.; Hoffman, Joseph, I] Bielefeld Univ, Dept Anim Behav, Bielefeld, Germany; [Stoffel, Martin A.] Liverpool John Moores Univ, Fac Sci, Sch Nat Sci &amp; Psychol, Liverpool, Merseyside, England; [Stoffel, Martin A.] Univ Edinburgh, Inst Evolutionary Biol, Edinburgh, Midlothian, Scotland; [Acevedo-Whitehouse, Karina; Morales-Duran, Nami] Autonomous Univ Queretaro, Sch Nat Sci, Unit Basic &amp; Appl Microbiol, Queretaro, Mexico; [Acevedo-Whitehouse, Karina] Marine Mammal Ctr, Sausalito, CA USA; [Grosser, Stefanie] Ludwig Maximilians Univ Munchen, Div Evolutionary Biol, Fac Biol, Planegg Martinsried, Germany; [Nichols, Hazel J.] Swansea Univ, Coll Sci, Dept Biosci, Swansea, W Glam, Wales; [Elorriaga-Verplancken, Fernando R.] Inst Politecn Nacl, Ctr Interdisciplinario Ciencias Marinas CICIMAR I, Dept Pesquerias &amp; Biol Marina, La Paz, Mexico; [Hoffman, Joseph, I] British Antarctic Survey, Cambridge, England</t>
  </si>
  <si>
    <t>University of Bielefeld; Liverpool John Moores University; University of Edinburgh; Universidad Autonoma de Queretaro; University of Munich; Swansea University; Instituto Politecnico Nacional - Mexico; UK Research &amp; Innovation (UKRI); Natural Environment Research Council (NERC); NERC British Antarctic Survey</t>
  </si>
  <si>
    <t>Stoffel, MA (corresponding author), Univ Edinburgh, Inst Evolutionary Biol, Edinburgh, Midlothian, Scotland.</t>
  </si>
  <si>
    <t>martin.adam.stoffel@gmail.com</t>
  </si>
  <si>
    <t>; Hoffman, Joseph/K-7725-2012</t>
  </si>
  <si>
    <t>Stoffel, Martin/0000-0003-4030-3543; Elorriaga-Verplancken, Fernando R./0000-0002-7360-8039; Hoffman, Joseph/0000-0001-5895-8949</t>
  </si>
  <si>
    <t>NERC [bas0100035] Funding Source: UKRI</t>
  </si>
  <si>
    <t>0962-1083</t>
  </si>
  <si>
    <t>1365-294X</t>
  </si>
  <si>
    <t>MOL ECOL</t>
  </si>
  <si>
    <t>Mol. Ecol.</t>
  </si>
  <si>
    <t>10.1111/mec.15385</t>
  </si>
  <si>
    <t>Biochemistry &amp; Molecular Biology; Ecology; Evolutionary Biology</t>
  </si>
  <si>
    <t>Biochemistry &amp; Molecular Biology; Environmental Sciences &amp; Ecology; Evolutionary Biology</t>
  </si>
  <si>
    <t>MC4CA</t>
  </si>
  <si>
    <t>WOS:000543235900014</t>
  </si>
  <si>
    <t>Li, XQ; Shokr, M; Hui, FM; Chi, ZH; Heil, P; Chen, ZQ; Yu, YN; Zhai, MX; Cheng, X</t>
  </si>
  <si>
    <t>Li, Xinqing; Shokr, Mohammed; Hui, Fengming; Chi, Zhaohui; Heil, Petra; Chen, Zhuoqi; Yu, Yining; Zhai, Mengxi; Cheng, Xiao</t>
  </si>
  <si>
    <t>The spatio-temporal patterns of landfast ice in Antarctica during 2006-2011 and 2016-2017 using high-resolution SAR imagery</t>
  </si>
  <si>
    <t>Landfast ice; Antarctica; SAR images; Remote sensing</t>
  </si>
  <si>
    <t>LUTZOW-HOLM BAY; SEA-ICE; EAST ANTARCTICA; ICEBERG DISTRIBUTIONS; SOUTHERN-OCEAN; SURFACE; VARIABILITY; SHELF</t>
  </si>
  <si>
    <t>Landfast ice is an important component of the Antarctic sea ice regime. It affects the Antarctic climate and ecological system. In this study, the first high-resolution, long time series of the landfast ice edge from 2006 to 2011 and 2016 to 2017 is presented. The dataset was produced based on the improved net gradient difference algorithm using 2470 SAR scenes from ENVISAT and Sentinel-1A/B as well as manual analysis of MODIS imagery to fill in SAR data gaps. The study results show that the landfast ice area in November for all studied years was approximately 49.49 +/- 3.25 x 10(4) km(2), accounting for about 3%-4% of the total Antarctic sea ice area. The maximum area was 55.70 x 10(4) km(2) in November 2007, compared to the minimum area 44.01x10(4) km(2) in 2011. The area in West Antarctica was about 40% of that in East Antarctica. The distribution of landfast ice in Antarctica has significant regional differences. The extent in the Indian Ocean sector is the maximum with a mean value of 16.49 +/- 1.1x 10(4) km(2); however, the ratio of the landfast ice area to the sea ice area in the Pacific Ocean sector is the highest. Twenty-four landfast ice zones with groups of small, grounded icebergs were identified, most of which were located in East Antarctica, particularly along the Wilkes Land and Oates Land. Two cases are presented to illustrate how giant, grounded icebergs affected landfast ice. Results from this study are well suited to underpin the Antarctic climate or ecological system studies.</t>
  </si>
  <si>
    <t>[Li, Xinqing; Hui, Fengming; Chen, Zhuoqi; Yu, Yining; Cheng, Xiao] Sun Yat Sen Univ, Sch Geospatial Engn &amp; Sci, Guangzhou 510275, Guangdong, Peoples R China; [Li, Xinqing; Hui, Fengming; Chen, Zhuoqi; Yu, Yining; Cheng, Xiao] Southern Marine Sci &amp; Engn Guangdong Lab Zhuhai, Zhuhai 519082, Peoples R China; [Li, Xinqing; Hui, Fengming; Chen, Zhuoqi; Yu, Yining; Cheng, Xiao] Beijing Normal Univ, State Key Lab Remote Sensing Sci, Beijing 100875, Peoples R China; [Li, Xinqing; Hui, Fengming; Chen, Zhuoqi; Yu, Yining; Cheng, Xiao] Beijing Normal Univ, Coll Global Change &amp; Earth Syst Sci, Beijing 100875, Peoples R China; [Li, Xinqing; Hui, Fengming; Chen, Zhuoqi; Yu, Yining; Cheng, Xiao] Univ Corp Polar Res, Beijing 100875, Peoples R China; [Shokr, Mohammed] Environm &amp; Climate Change Canada, Sci &amp; Technol Branch, Toronto, ON M3H 5T4, Canada; [Chi, Zhaohui] Texas A&amp;M Univ, Dept Geog, Geospatial Sci Applicat &amp; Technol Ctr, College Stn, TX 77843 USA; [Heil, Petra] Univ Tasmania, Australian Antarctic Div, Hobart, Tas 7001, Australia; [Heil, Petra] Univ Tasmania, Antarctic Climate &amp; Ecosyst Cooperat Res Ctr, Hobart, Tas 7001, Australia; [Zhai, Mengxi] Polar Res Inst China, MNR Key Lab Polar Sci, Shanghai 200136, Peoples R China</t>
  </si>
  <si>
    <t>Sun Yat Sen University; Southern Marine Science &amp; Engineering Guangdong Laboratory; Southern Marine Science &amp; Engineering Guangdong Laboratory (Zhuhai); Beijing Normal University; Beijing Normal University; Environment &amp; Climate Change Canada; Texas A&amp;M University System; Texas A&amp;M University College Station; University of Tasmania; Australian Antarctic Division; University of Tasmania; Antarctic Climate &amp; Ecosystems Cooperative Research Centre (ACE CRC); Polar Research Institute of China</t>
  </si>
  <si>
    <t>Hui, FM; Cheng, X (corresponding author), Sun Yat Sen Univ, Sch Geospatial Engn &amp; Sci, Guangzhou 510275, Guangdong, Peoples R China.</t>
  </si>
  <si>
    <t>huifm@mail.sysu.edu.cn; chengxiao9@mail.sysu.edu.cn</t>
  </si>
  <si>
    <t>Yu, Yining/ABD-3966-2020; Cheng, Xiao/AAT-6307-2020; Li, Xinqing/AAT-5475-2020</t>
  </si>
  <si>
    <t>Li, Xinqing/0000-0002-3984-3203; yu, yining/0000-0002-9197-995X; Chi, Zhaohui/0000-0002-4842-9573; Heil, Petra/0000-0003-2078-0342</t>
  </si>
  <si>
    <t>National Natural Science Foundation of China [41676176, 41676182, 41830536]; Australian Government through Australian Antarctic Science projects [4301, 4390]; Cooperative Research Centre Programme through the Antarctic Climate and Ecosystems Cooperative Research Centre (ACE CRC); International Space Science Institute grant [406]</t>
  </si>
  <si>
    <t>National Natural Science Foundation of China(National Natural Science Foundation of China (NSFC)); Australian Government through Australian Antarctic Science projects; Cooperative Research Centre Programme through the Antarctic Climate and Ecosystems Cooperative Research Centre (ACE CRC)(Australian GovernmentDepartment of Industry, Innovation and ScienceCooperative Research Centres (CRC) Programme); International Space Science Institute grant</t>
  </si>
  <si>
    <t>This study was supported by the National Natural Science Foundation of China (Grant Nos. 41676176, 41676182, and 41830536). P. Heil was supported by the Australian Government through Australian Antarctic Science projects 4301 and 4390, the Cooperative Research Centre Programme through the Antarctic Climate and Ecosystems Cooperative Research Centre (ACE CRC) and the International Space Science Institute grant 406.</t>
  </si>
  <si>
    <t>10.1016/j.rse.2020.111736</t>
  </si>
  <si>
    <t>LA5CY</t>
  </si>
  <si>
    <t>WOS:000523965600028</t>
  </si>
  <si>
    <t>Suaria, G; Achtypi, A; Perold, V; Lee, JR; Pierucci, A; Bornman, TG; Aliani, S; Ryan, PG</t>
  </si>
  <si>
    <t>Suaria, Giuseppe; Achtypi, Aikaterini; Perold, Vonica; Lee, Jasmine R.; Pierucci, Andrea; Bornman, Thomas G.; Aliani, Stefano; Ryan, Peter G.</t>
  </si>
  <si>
    <t>Microfibers in oceanic surface waters: A global characterization</t>
  </si>
  <si>
    <t>FT-IR SPECTROSCOPY; MARINE-ENVIRONMENT; TEXTILE FIBERS; INCLUDING MICROPLASTICS; ANTHROPOGENIC FIBERS; SYNTHETIC-FIBERS; PLASTIC FIBERS; COTTON FIBERS; FRESH-WATER; IDENTIFICATION</t>
  </si>
  <si>
    <t>Microfibers are ubiquitous contaminants of emerging concern. Traditionally ascribed to the microplastics family, their widespread occurrence in the natural environment is commonly reported in plastic pollution studies, based on the assumption that fibers largely derive from wear and tear of synthetic textiles. By compiling a global dataset from 916 seawater samples collected in six ocean basins, we show that although synthetic polymers currently account for two-thirds of global fiber production, oceanic fibers are mainly composed of natural polymers. mu FT-IR characterization of similar to 2000 fibers revealed that only 8.2% of oceanic fibers are synthetic, with most being cellulosic (79.5%) or of animal origin (12.3%). The widespread occurrence of natural fibers throughout marine environments emphasizes the necessity of chemically identifying microfibers before classifying them as microplastics. Our results highlight a considerable mismatch between the global production of synthetic fibers and the current composition of marine fibers, a finding that clearly deserves further attention.</t>
  </si>
  <si>
    <t>[Suaria, Giuseppe; Achtypi, Aikaterini; Aliani, Stefano] CNR ISMAR Inst Marine Sci Natl Res Council, I-19032 La Spezia, Italy; [Perold, Vonica; Ryan, Peter G.] Univ Cape Town, DST NRF Ctr Excellence, FitzPatrick Inst, ZA-7701 Rondebosch, South Africa; [Lee, Jasmine R.] Monash Univ, Sch Biol Sci, Clayton, Vic 3800, Australia; [Pierucci, Andrea] Univ Cagliari, Dept Life &amp; Environm Sci, I-09126 Cagliari, Italy; [Bornman, Thomas G.] Nelson Mandela Univ, SAEON, ZA-6031 Port Elizabeth, South Africa; [Bornman, Thomas G.] Nelson Mandela Univ, Coastal &amp; Marine Res Inst, ZA-6031 Port Elizabeth, South Africa</t>
  </si>
  <si>
    <t>Consiglio Nazionale delle Ricerche (CNR); Istituto di Scienze Marine (ISMAR-CNR); University of Cape Town; National Research Foundation - South Africa; Monash University; University of Cagliari; National Research Foundation - South Africa; South African Environmental Observation Network (SAEON); Nelson Mandela University; Nelson Mandela University</t>
  </si>
  <si>
    <t>Suaria, G (corresponding author), CNR ISMAR Inst Marine Sci Natl Res Council, I-19032 La Spezia, Italy.</t>
  </si>
  <si>
    <t>giuseppe.suaria@sp.ismar.cnr.it</t>
  </si>
  <si>
    <t>Aliani, Stefano/B-5854-2012; Pierucci, Andrea/AAK-5634-2020; Bornman, Thomas George/V-7794-2019; Pierucci, Andrea/GQA-4598-2022; Suaria, Giuseppe/O-4210-2014</t>
  </si>
  <si>
    <t>Aliani, Stefano/0000-0002-2555-4398; Pierucci, Andrea/0000-0002-4252-1184; Bornman, Thomas George/0000-0003-1868-479X; Pierucci, Andrea/0000-0002-4252-1184; Suaria, Giuseppe/0000-0002-4290-349X; Lee, Jasmine/0000-0003-3847-1679; Ryan, Peter/0000-0002-3356-2056; ACHTYPI, Aikaterini/0000-0002-3416-1123</t>
  </si>
  <si>
    <t>ACE Foundation; JPI Oceans project BASEMAN</t>
  </si>
  <si>
    <t>ACE was a research cruise of the Swiss Polar Institute, supported by funding from the ACE Foundation. The South African Departments of Environmental Affairs and Science and Technology and the South African National Antarctic Programme provided logistic support on the IIOE2, SEAmester II, and 2017 Marion Island relief cruises. Additional funding was provided by the JPI Oceans project BASEMAN (defining the baselines and standards for microplastics analyses in European waters).</t>
  </si>
  <si>
    <t>eaay8493</t>
  </si>
  <si>
    <t>10.1126/sciadv.aay8493</t>
  </si>
  <si>
    <t>LY8OH</t>
  </si>
  <si>
    <t>WOS:000540787200007</t>
  </si>
  <si>
    <t>Tsuji, M; Kudoh, S</t>
  </si>
  <si>
    <t>Tsuji, Masaharu; Kudoh, Sakae</t>
  </si>
  <si>
    <t>Soil Yeasts in the Vicinity of Syowa Station, East Antarctica: Their Diversity and Extracellular Enzymes, Cold Adaptation Strategies, and Secondary Metabolites</t>
  </si>
  <si>
    <t>Antarctica; cold adaptation; extracellular enzymes; soil yeast diversity</t>
  </si>
  <si>
    <t>ICE-FREE AREA; PSYCHROPHILIC ENZYMES; PROTEINS</t>
  </si>
  <si>
    <t>Antarctica is known as one of the harshest environments on Earth, with a frigid and dry climate. Soil yeasts living in such extreme environments can grow by decomposing organic compounds at sub-zero temperatures. Thus far, a list of lichen and non-lichen fungi isolated from the area near Syowa Station, the base of the Japanese Antarctic research expedition, has been compiled and a total of 76 species of fungi have been reported. Yeast, especially basidiomycete yeast, is the dominant fungus in Antarctica. This mini-review summarizes a survey of the yeast diversity in the soil of Eastern Ongul Island and the ability of these yeasts to secrete extracellular enzymes. We also describe the yeast diversity in the soil of the Skarvesnes ice-free region and how these yeasts have adapted to the sub-zero environment. Further, we describe the secondary metabolites of these yeasts, whose production is induced by cold stress.</t>
  </si>
  <si>
    <t>[Tsuji, Masaharu] Asahikawa Coll, Natl Inst Technol, Dept Mat Chem, Asahikawa, Hokkaido 0718142, Japan; [Kudoh, Sakae] Natl Inst Polar Res NIPR, Biol Grp, Tachikawa, Tokyo 1908158, Japan; [Kudoh, Sakae] SOKENDAI Grad Univ Adv Studies, Dept Polar Sci, Tachikawa, Tokyo 1908158, Japan</t>
  </si>
  <si>
    <t>Tsuji, M (corresponding author), Asahikawa Coll, Natl Inst Technol, Dept Mat Chem, Asahikawa, Hokkaido 0718142, Japan.</t>
  </si>
  <si>
    <t>tsuji@edu.asahikawa-nct.ac.jp; skudoh@nipr.ac.jp</t>
  </si>
  <si>
    <t>Tsuji, Masaharu/0000-0002-9375-7998</t>
  </si>
  <si>
    <t>10.3390/su12114518</t>
  </si>
  <si>
    <t>MC6JX</t>
  </si>
  <si>
    <t>WOS:000543391800181</t>
  </si>
  <si>
    <t>Anderson, JTH; Wilson, GS; Jones, RS; Fink, D; Fujioka, T</t>
  </si>
  <si>
    <t>Anderson, Jacob T. H.; Wilson, Gary S.; Jones, R. Selwyn; Fink, David; Fujioka, Toshiyuki</t>
  </si>
  <si>
    <t>Ice surface lowering of Skelton Glacier, Transantarctic Mountains, since the Last Glacial Maximum: Implications for retreat of grounded ice in the western Ross Sea</t>
  </si>
  <si>
    <t>East Antarctic Ice Sheet; Ross Sea; Last Glacial Maximum; Holocene; Cosmogenic isotopes</t>
  </si>
  <si>
    <t>ANTARCTIC ICE; HATHERTON GLACIER; EXPOSURE AGES; MCMURDO SOUND; VICTORIA LAND; SHEET; DYNAMICS; FLUCTUATIONS; QUATERNARY; HISTORY</t>
  </si>
  <si>
    <t>Quantifying the contribution of the East Antarctic Ice Sheet (EAIS) to sea-level rise during the last deglaciation is complicated by the limited opportunities to constrain ice-sheet models. The nunatak, Escalade Peak, provides a gauge for past ice surface elevation changes and behaviour throughout the last glacial cycle. Geomorphological mapping, geological evidence and Be-10 cosmogenic-nuclide exposure dating at Escalade Peak, provide new constraints on the ice surface history of the Skelton Neve since the Last Glacial Maximum (LGM). An elevation transect from the eastern margin of Escalade Peak indicates that the ice surface of the Skelton Neve was at least 50 m and perhaps &gt;120 m higher than present during the LGM. In contrast, surface-exposure ages from a suite of inner moraines (blue-ice moraines) adjacent to Escalade Peak do not provide independent ice surface elevation constraints, but may provide an indirect constraint on the timing of thinning due to exhumation-ablation processes. Maximum simple exposure ages from the inner moraines suggest ice surface ablation was initiated by 19.2 ka, but the majority of ice surface lowering at Escalade Peak likely occurred after similar to 15 ka and reached the present-day ice level at similar to 6 ka. These findings suggest that slow flowing inland sites of EAIS outlet glaciers, such as southern Skelton Neve, experienced minimal ice surface elevation change since the LGM and record an EAIS outlet glacier and western Ross Sea retreat signature rather than widespread Ross Sea retreat. The ice surface lowering is likely to have been in response to retreat of the grounded ice in the western Ross Embayment causing a reduction in buttressing of the Skelton Glacier and draw down into the Ross Sea. (C) 2020 Elsevier Ltd. All rights reserved.</t>
  </si>
  <si>
    <t>[Anderson, Jacob T. H.; Wilson, Gary S.] Univ Otago, Dept Geol, Dept Marine Sci, POB 56, Dunedin, New Zealand; [Wilson, Gary S.] GNS Sci, POB 30368, Wellington 5040, New Zealand; [Jones, R. Selwyn] Monash Univ, Sch Earth Atmosphere &amp; Environm, Wellington Rd, Clayton, Vic 3800, Australia; [Fink, David; Fujioka, Toshiyuki] Australian Nucl Sci &amp; Technol Org, New Illawarra Rd, Lucas Heights, NSW 2234, Australia; [Fujioka, Toshiyuki] Ctr Nacl Invest Evoluc Humana, Burgos 09002, Spain</t>
  </si>
  <si>
    <t>University of Otago; GNS Science - New Zealand; Monash University; Australian Nuclear Science &amp; Technology Organisation; Centro Nacional de Investigacion de La Evolucion Humana (CENIEH)</t>
  </si>
  <si>
    <t>Anderson, JTH (corresponding author), Univ Otago, Dept Geol, Dept Marine Sci, POB 56, Dunedin, New Zealand.</t>
  </si>
  <si>
    <t>jacob.anderson@otago.ac.nz</t>
  </si>
  <si>
    <t>Fujioka, Toshiyuki/AAO-8853-2020; Jones, Richard Selwyn/AAJ-3949-2021</t>
  </si>
  <si>
    <t>Fujioka, Toshiyuki/0000-0002-5270-788X; Jones, Richard Selwyn/0000-0003-2988-0999; Anderson, Jacob/0000-0002-4329-4200</t>
  </si>
  <si>
    <t>New Zealand Ministry for Business, Innovation and Employment [CO5X1001]; Australian Institute of Nuclear Science and Engineering Postgraduate Research Award [10925]</t>
  </si>
  <si>
    <t>New Zealand Ministry for Business, Innovation and Employment(New Zealand Ministry of Business, Innovation and Employment (MBIE)); Australian Institute of Nuclear Science and Engineering Postgraduate Research Award</t>
  </si>
  <si>
    <t>This work was supported by New Zealand Ministry for Business, Innovation and Employment contract CO5X1001 and Australian Institute of Nuclear Science and Engineering Postgraduate Research Award 10925. We thank Bob Dagg and Andy Cole for assistance in the field and Antarctica New Zealand, Kenn Borek Air Ltd. and Helicopters New Zealand for transportation and logistical support. Charles Mifsud, Steve Kotevski and others at ANSTO are thanked for their assistance with sample preparation. We thank Andrew Hein, Derek Fabel and one anonymous reviewer for their comments to help strengthen the paper.</t>
  </si>
  <si>
    <t>10.1016/j.quascirev.2020.106305</t>
  </si>
  <si>
    <t>LN7ZA</t>
  </si>
  <si>
    <t>WOS:000533150700006</t>
  </si>
  <si>
    <t>Santos, TP; Ballalai, JM; Franco, DR; Oliveira, RR; Lessa, DO; Venancio, IM; Chiessi, CM; Kuhnert, H; Johnstone, H; Albuquerque, ALS</t>
  </si>
  <si>
    <t>Santos, Thiago P.; Ballalai, Joao M.; Franco, Daniel R.; Oliveira, Romulo R.; Lessa, Douglas O.; Venancio, Igor M.; Chiessi, Cristiano M.; Kuhnert, Henning; Johnstone, Heather; Albuquerque, Ana Luiza S.</t>
  </si>
  <si>
    <t>Asymmetric response of the subtropical western South Atlantic thermocline to the Dansgaard-Oeschger events of Marine Isotope Stages 5 and 3</t>
  </si>
  <si>
    <t>South Atlantic central water; Abrupt millennial-scale events; Bipolar seesaw; Atlantic meridional overturning circulation; Paleoceanography; Climate dynamics</t>
  </si>
  <si>
    <t>NORTH-ATLANTIC; MILLENNIAL-SCALE; GLACIAL CLIMATE; DEEP-WATER; PLANKTONIC-FORAMINIFERA; CLEANING PROCEDURES; ANTARCTIC ICE; OVERTURNING CIRCULATION; MG/CA PALEOTHERMOMETRY; CHRONOLOGY AICC2012</t>
  </si>
  <si>
    <t>The last glacial period (116-11.7 ka BP) was an interval characterized by a sequence of abrupt millennial-scale events well documented in Greenland and Antarctica ice-cores. Throughout this period, Greenland cold stadials were accompanied by warm conditions in the thermocline to intermediate waters of the Atlantic Ocean that may have played a role in both the basal melting of ice shelves and the rapid atmospheric warming during the onset of warm interstadials. Climate model simulations indicated an accentuated response of the subtropical western South Atlantic thermocline to the disturbances in the Atlantic circulation. Such works encourage investigations upon thermocline/deep-dwelling planktic foraminifera in this region; however, a study with this aim was not performed. Here we present a paleoceanographic reconstruction from the subtropical western South Atlantic based on the thermocline planktic foraminifera Globorotalia inflata. Our high-resolution delta O-18 record for the last glacial period presents a millennial-scale variability that strongly resembles the structure of the Greenland Dansgaard-Oeschger cycles during Marine Isotope Stage (MIS) 5. During MIS 3, this millennial-scale variability is absent or considerably dampened. Mg/Ca-derived temperature and seawater delta O-18 corrected for ice-volume for the MIS 5 interval demonstrate that the region was warmer and saltier (colder and fresher) during early-glacial stadials (interstadials). Our data suggest a reorganization of the northward heat transport throughout the last glacial, in which regions as far south as 24 degrees S acted as heat reservoirs in periods of weakened Atlantic Meridional Overturning Circulation during MIS 5 but not necessarily (or only marginally) during MIS 3. (C) 2020 Elsevier Ltd. All rights reserved.</t>
  </si>
  <si>
    <t>[Santos, Thiago P.; Ballalai, Joao M.; Lessa, Douglas O.; Albuquerque, Ana Luiza S.] Univ Fed Fluminense, Programa Geociencias Geoquim, Niteroi, RJ, Brazil; [Franco, Daniel R.; Oliveira, Romulo R.] Observ Nacl, Coordenacao Geofis, Rio De Janeiro, Brazil; [Venancio, Igor M.] Natl Inst Space Res INPE, Ctr Weather Forecasting &amp; Climate Studies CPTEC, Cachoeira Paulista, Brazil; [Chiessi, Cristiano M.] Univ Sao Paulo, Escola Artes Ciencias &amp; Humanidades, Sao Paulo, Brazil; [Kuhnert, Henning; Johnstone, Heather] Univ Bremen, MARUM Ctr Marine Environm Sci, Bremen, Germany</t>
  </si>
  <si>
    <t>Universidade Federal Fluminense; Instituto Nacional de Pesquisas Espaciais (INPE); Universidade de Sao Paulo; University of Bremen</t>
  </si>
  <si>
    <t>Santos, TP (corresponding author), Univ Fed Fluminense, Programa Geociencias Geoquim, Niteroi, RJ, Brazil.</t>
  </si>
  <si>
    <t>thiagopds@id.uff.br</t>
  </si>
  <si>
    <t>Chiessi, Cristiano Mazur/JAZ-0806-2023; Santos, Thiago P./AAN-6506-2021; Venancio, Igor M/I-5893-2014; Franco, Daniel R/J-8724-2012; Chiessi, Cristiano Mazur/E-1916-2012; Albuquerque, Ana Luiza/C-5167-2013</t>
  </si>
  <si>
    <t>Chiessi, Cristiano Mazur/0000-0003-3318-8022; Venancio, Igor M/0000-0003-3118-4247; Franco, Daniel R/0000-0002-7790-1224; Chiessi, Cristiano Mazur/0000-0003-3318-8022; Albuquerque, Ana Luiza/0000-0003-1267-6190; Santos, Thiago/0000-0002-9273-3329; Ballalai, Joao Marcelo/0000-0002-8896-6816; Kuhnert, Henning/0000-0001-5242-4495</t>
  </si>
  <si>
    <t>CAPES/IODP [88882.151088/2017-01]; CAPES [564/2015, 88881.313535/2019e01, 88887.156152/2017-00]; CNPq [302607/2016-1, 422255/2016-5, 306385/2013-9, 99999.002675/201503]; FAPESP [2018/15123-4]; Alexander von Humboldt Foundation; Coordenacao de Aperfeicoamento de Pessoal de Nivel Superior -Brasil (CAPES) [23038.001417/2914-71]; CNPq Project RAiN [406322/2018-0]</t>
  </si>
  <si>
    <t>CAPES/IODP; CAPES(Coordenacao de Aperfeicoamento de Pessoal de Nivel Superior (CAPES)); CNPq(Conselho Nacional de Desenvolvimento Cientifico e Tecnologico (CNPQ)); FAPESP(Fundacao de Amparo a Pesquisa do Estado de Sao Paulo (FAPESP)); Alexander von Humboldt Foundation(Alexander von Humboldt Foundation); Coordenacao de Aperfeicoamento de Pessoal de Nivel Superior -Brasil (CAPES)(Coordenacao de Aperfeicoamento de Pessoal de Nivel Superior (CAPES)); CNPq Project RAiN</t>
  </si>
  <si>
    <t>We thank R. Kowsman (CENPES/Petrobras) and Petrobras Core Repository staff (Maca~e/Petrobras) for providing the sediment core employed in this research. T.P.S acknowledges the financial support from CAPES/IODP (grant 88882.151088/2017-01). CAPES financially supported I.M.V. with a scholarship (grant 88887.156152/2017-00). A.L.A. is a CNPq senior researcher (grant 306385/2013-9) and thanks to them for financial support (grant 99999.002675/201503). C.M.C. acknowledges the financial support from FAPESP (grant 2018/15123-4), CAPES (grants 564/2015 and 88881.313535/2019e01), CNPq (grants 302607/2016-1 and 422255/2016-5) and the Alexander von Humboldt Foundation. This study was financed in part by the Coordenac~ao de Aperfeicoamento de Pessoal de Nivel Superior -Brasil (CAPES) -23038.001417/2914-71 (Paleoceano Project) and CNPq Project RAiN (grant 406322/2018-0). The data reported in this paper will be archived in Pangaea (www.pangaea.de).We are grateful to Julia Gottschalk, the editor Antje Volker and an anonymous reviewer for their insightful and constructive comments.</t>
  </si>
  <si>
    <t>10.1016/j.quascirev.2020.106307</t>
  </si>
  <si>
    <t>WOS:000533150700002</t>
  </si>
  <si>
    <t>Tesi, T; Belt, ST; Gariboldi, K; Muschitiello, F; Smik, L; Finocchiaro, F; Giglio, F; Colizza, E; Gazzurra, G; Giordano, P; Morigi, C; Capotondi, L; Nogarotto, A; Köseoglu, D; Di Roberto, A; Gallerani, A; Langone, L</t>
  </si>
  <si>
    <t>Tesi, T.; Belt, S. T.; Gariboldi, K.; Muschitiello, F.; Smik, L.; Finocchiaro, F.; Giglio, F.; Colizza, E.; Gazzurra, G.; Giordano, P.; Morigi, C.; Capotondi, L.; Nogarotto, A.; Koseoglu, D.; Di Roberto, A.; Gallerani, A.; Langone, L.</t>
  </si>
  <si>
    <t>Resolving sea ice dynamics in the north-western Ross Sea during the last 2.6 ka: From seasonal to millennial timescales</t>
  </si>
  <si>
    <t>Ross sea; Fast ice; Laminated sediments; IPSO25; Sea ice</t>
  </si>
  <si>
    <t>HIGHLY BRANCHED ISOPRENOIDS; SOUTHERN ANNULAR MODE; PALMER-DEEP; ANTARCTIC PENINSULA; DIATOM RECORD; MASS-BALANCE; HOLOCENE; SEDIMENTS; IDENTIFICATION; VARIABILITY</t>
  </si>
  <si>
    <t>Time-series analyses of satellite images reveal that sea ice extent in the Ross Sea has experienced significant changes over the last 40 years, likely triggered by large-scale atmospheric anomalies. However, resolving how sea ice in the Ross Sea has changed over longer timeframes has until now remained more elusive. Here we used a laminated sediment piston core (14.6 m) collected from the Edisto inlet (Western Ross Sea) to reconstruct fast ice dynamics over the last 2.6 ka. Our goal was to first understand the climate expression of selected well-defined sediment laminae and then use these characteristics for reconstructing past sea ice behaviour across the whole sedimentary sequence. We used the recently established sea ice diatom biomarker proxy IPSO25 in combination with diatom census counts and bulk analyses. Analyses performed on a suite of discrete laminae revealed statistically significant differences between dark and light laminae reflecting different depositional conditions. Based on their respective biogeochemical fingerprints, we infer that dark laminae accumulated during sea ice thaws in early summer. Under these conditions, laminae contain relatively high concentrations of IPSO25 and display an enriched delta C-13 composition for the bulk organic matter (OM). While diatom assemblages in dark laminae are relatively homogenous, as the thaw continues later in the summer, Corethron pennatum becomes the dominant diatom species, resulting in the formation of light laminae characterized by low IPSO25 concentrations. Since C. pennatum can migrate vertically through the water column to uptake nutrients and avoid competition in oligotrophic waters, its high concentration likely reflects stratified and ice-free surface waters typical of late summer. Down-core trends show that the correlation between sediment brightness and geochemical fingerprint (i.e., IPSO25 and delta C-13) holds throughout the record. Based on the knowledge gained at lamina level, our down-core high-resolution reconstruction shows that the summer fast ice coverage changed dramatically during the late Holocene. Specifically, we conclude that the Edisto inlet experienced regular early summer opening between 2.6 ka, and ca. 0.7 ka, after which, coastal fast ice persisted during summer months and ice-free conditions became less frequent. Comparison with previous regional ice core data suggests that the sudden cooling recorded over the Victoria Land Coast region since 0.7 ka might potentially explain our observation of persistent summer fast ice in the Western Ross Sea. Our study has shown that multi-proxy data derived from laminated sediments can provide hitherto unknown detail regarding past summer sea ice dynamics in coastal Antarctic regions. (C) 2020 Elsevier Ltd. All rights reserved.</t>
  </si>
  <si>
    <t>[Tesi, T.; Giglio, F.; Giordano, P.; Langone, L.] Consiglio Nazl Ric ISP CNR, Ist Sci Polari, Via P Gobetti 101, I-40129 Bologna, Italy; [Belt, S. T.; Smik, L.; Koseoglu, D.] Univ Plymouth, Biogeochem Res Ctr, Sch Geog Earth &amp; Environm Sci, Plymouth PL4 8AA, Devon, England; [Gariboldi, K.; Gazzurra, G.; Morigi, C.] Univ Pisa, Dipartimento Sci Terra, Via Santa Maria 53, I-56126 Pisa, Italy; [Muschitiello, F.] Univ Cambridge, Dept Geog, Cambridge CB2 3EN, England; [Finocchiaro, F.; Colizza, E.] Univ Trieste, Dipartimento Matemat &amp; Geosci, Via E Weiss 2, I-34127 Trieste, Italy; [Morigi, C.] Geol Survey Denmark &amp; Greenland GEUS, Oster Voldgade 10, DK-1350 Copenhagen, Denmark; [Capotondi, L.; Gallerani, A.] Consiglio Nazl Ric ISMAR CNR, Ist Sci Marine, Via P Gobetti 101, I-40129 Bologna, Italy; [Nogarotto, A.] Univ Ca Foscari Venezia, Campus Sci,Via Torino 155, I-30172 Venice, Mestre, Italy; [Di Roberto, A.] Ist Nazl Geofis &amp; Vulcanol INGV, Sez Pisa, Via Faggiola 32, I-56126 Pisa, Italy</t>
  </si>
  <si>
    <t>Consiglio Nazionale delle Ricerche (CNR); Istituto di Scienze Polari (ISP-CNR); University of Plymouth; University of Pisa; University of Cambridge; University of Trieste; Geological Survey Of Denmark &amp; Greenland; Consiglio Nazionale delle Ricerche (CNR); Istituto di Scienze Marine (ISMAR-CNR); Universita Ca Foscari Venezia</t>
  </si>
  <si>
    <t>Tesi, T (corresponding author), Consiglio Nazl Ric ISP CNR, Ist Sci Polari, Via P Gobetti 101, I-40129 Bologna, Italy.</t>
  </si>
  <si>
    <t>tommaso.tesi@cnr.it</t>
  </si>
  <si>
    <t>Morigi, Caterina/B-3316-2012; Lucilla, Capotondi/C-8874-2015; Di Roberto, Alessio/AAH-1595-2019</t>
  </si>
  <si>
    <t>Morigi, Caterina/0000-0003-1340-9932; Lucilla, Capotondi/0000-0003-3282-7910; Di Roberto, Alessio/0000-0003-1167-8290; Nogarotto, Alessio/0000-0002-8034-6049; Colizza, Ester/0000-0002-9026-6667; FINOCCHIARO, Furio/0000-0002-6478-6052; Smik, Lukas/0000-0003-2280-7342</t>
  </si>
  <si>
    <t>CARISBO foundation [2017/0334]; Programma Nazionale Ricerche in Antartide -PNRA [PEA2013/AN2.03_HOLO-FERNE]</t>
  </si>
  <si>
    <t>CARISBO foundation(Fondazione Carisbo); Programma Nazionale Ricerche in Antartide -PNRA</t>
  </si>
  <si>
    <t>We thank the crew of the R/V Italica for their assistance during cruises. T.T. acknowledges funding from the CARISBO foundation (2017/0334). L.L acknowledges funding from the Programma Nazionale Ricerche in Antartide -PNRA (PEA2013/AN2.03_HOLO-FERNE). We thank Massimo Plessi, Antonella Gandolfi and Fabio Savelli for their assistance in the lab. All data from the current study can be found in the Supplementary Material. Finally, we thank two anonymous reviewers for providing supportive and useful feedback on the original manuscript.</t>
  </si>
  <si>
    <t>10.1016/j.quascirev.2020.106299</t>
  </si>
  <si>
    <t>WOS:000533150700011</t>
  </si>
  <si>
    <t>Venkataramana, V; Anilkumar, N; Swadling, K; Mishra, RK; Tripathy, SC; Sarkar, A; Augusta, SM; Sabu, P; Pillai, HUK</t>
  </si>
  <si>
    <t>Venkataramana, V.; Anilkumar, N.; Swadling, K.; Mishra, R. K.; Tripathy, S. C.; Sarkar, A.; Augusta, S. M.; Sabu, P.; Pillai, Honey U. K.</t>
  </si>
  <si>
    <t>Distribution of zooplankton in the Indian sector of the Southern Ocean</t>
  </si>
  <si>
    <t>chlorophyll a; copepods; multiple plankton sampler; nutrients; Southern Ocean fronts</t>
  </si>
  <si>
    <t>PHYTOPLANKTON BLOOM; DISTRIBUTION PATTERNS; SEASONAL SUCCESSION; COMMUNITY STRUCTURE; SEA; CIRCULATION; ANTARCTICA; AUSTRALIA; COPEPODS; GROWTH</t>
  </si>
  <si>
    <t>The community composition of zooplankton with an emphasis on copepods was assessed in the frontal zones of the Indian sector of the Southern Ocean (SO) during summer 2013. Copepods were the dominant group in both the bongo net and multiple plankton sampler across the entire region. High zooplankton abundance was recorded along each transect in the Polar Front (PF). Community structure in this front was dominated by common taxa, including Ctenocalanus citer, Clausocalanus spp., Calanoides acutus, Calanus propinquus, Calanus australis and Rhincalanus gigas, which together accounted for &gt; 62% of the total abundance. Calocalanus spp., Neocalanus tonsus and C. propinquus were indicator species in the Sub-Tropical Front (STF), Sub-Antarctic Front and PF, respectively. A strong contrast in population structure and biovolume was observed between then PF and the STF. The community structure of smaller copepods was associated with the high-temperature region, whereas communities of larger copepods were associated with the low-temperature region. Thus, it seems probable that physical and biological characteristics of the SO frontal regions are controlling the abundance and distribution of zooplankton community structure by restricting some species to the warmer stratified zones and some species to the well-mixed zone.</t>
  </si>
  <si>
    <t>[Venkataramana, V.; Anilkumar, N.; Mishra, R. K.; Tripathy, S. C.; Augusta, S. M.; Sabu, P.] Minist Earth Sci, Natl Ctr Polar &amp; Ocean Res, Vasco Da Gama 403804, Goa, India; [Swadling, K.] Univ Tasmania, Inst Marine &amp; Antarctic Studies, Hobart, Tas 7000, Australia; [Swadling, K.] Univ Tasmania, Cooperat Res Ctr, Antarctic Climate &amp; Ecosyst, Hobart, Tas 7000, Australia; [Sarkar, A.] Kuwait Inst Sci Res, Safat 13109, Kuwait; [Pillai, Honey U. K.] Zool Survey India, M Block, Kolkata 700053, India</t>
  </si>
  <si>
    <t>Ministry of Earth Sciences (MoES) - India; National Centre for Polar and Ocean Research (NCPOR); University of Tasmania; Antarctic Climate &amp; Ecosystems Cooperative Research Centre (ACE CRC); University of Tasmania; Kuwait Institute for Scientific Research; Zoological survey of India</t>
  </si>
  <si>
    <t>Venkataramana, V (corresponding author), Minist Earth Sci, Natl Ctr Polar &amp; Ocean Res, Vasco Da Gama 403804, Goa, India.</t>
  </si>
  <si>
    <t>venkat@ncaor.gov.in</t>
  </si>
  <si>
    <t>Venkataramana, Vankara/0000-0002-3925-015X; Swadling, Kerrie/0000-0002-7620-841X; Tripathy, Dr. Sarat Chandra/0000-0002-2437-8660</t>
  </si>
  <si>
    <t>PII S0954102019000579</t>
  </si>
  <si>
    <t>10.1017/S0954102019000579</t>
  </si>
  <si>
    <t>WOS:000532284500002</t>
  </si>
  <si>
    <t>Schmidt, AE; Ballard, G</t>
  </si>
  <si>
    <t>Schmidt, Annie E.; Ballard, Grant</t>
  </si>
  <si>
    <t>Significant chick loss after early fast ice breakup at a high-latitude emperor penguin colony</t>
  </si>
  <si>
    <t>Cape Crozier; climate change; sea ice</t>
  </si>
  <si>
    <t>EAST ANTARCTICA</t>
  </si>
  <si>
    <t>Emperor penguins require stable fast ice, sea ice anchored to land or ice shelves, on which to lay eggs and raise chicks. As the climate warms, changes in sea ice are expected to lead to substantial declines at many emperor penguin colonies. The most southerly colonies have been predicted to remain buffered from the direct impacts of warming for much longer. Here, we report on the unusually early breakup of fast ice at one of the two southernmost emperor penguin colonies, Cape Crozier (77.5 degrees S), in 2018, an event that may have resulted in a substantial loss of chicks from the colony. Fast ice dynamics can be highly variable and dependent on local conditions, but earlier fast ice breakup, influenced by increasing wind speed, as well as higher surface air temperatures, is a likely outcome of climate change. What we observed at Cape Crozier in 2018 highlights the vulnerability of this species to untimely storm events and could be an early sign that even this high-latitude colony is not immune to the effects of warming. Long-term monitoring will be key to understanding this species' response to climate change and altered sea ice dynamics.</t>
  </si>
  <si>
    <t>[Schmidt, Annie E.; Ballard, Grant] Point Blue Conservat Sci, 3820 Cypress Dr,11, Petaluma, CA 94954 USA</t>
  </si>
  <si>
    <t>Schmidt, AE (corresponding author), Point Blue Conservat Sci, 3820 Cypress Dr,11, Petaluma, CA 94954 USA.</t>
  </si>
  <si>
    <t>aschmidt@pointblue.org</t>
  </si>
  <si>
    <t>Schmidt, Annie/0000-0001-6144-9950</t>
  </si>
  <si>
    <t>National Science Foundation Office of Polar Programs [0125608, 0439759, 0944141, 1543541, 1543498]; Office of Polar Programs (OPP); Directorate For Geosciences [1543498, 0125608] Funding Source: National Science Foundation; Office of Polar Programs (OPP); Directorate For Geosciences [0439759, 1543541] Funding Source: National Science Foundation</t>
  </si>
  <si>
    <t>National Science Foundation Office of Polar Programs(National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</si>
  <si>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Funding for fieldwork and for preparing this manuscript was provided by the National Science Foundation Office of Polar Programs grants 0125608, 0439759, 0944141, 1543541 and 1543498.</t>
  </si>
  <si>
    <t>PII S0954102020000048</t>
  </si>
  <si>
    <t>10.1017/S0954102020000048</t>
  </si>
  <si>
    <t>WOS:000532284500003</t>
  </si>
  <si>
    <t>Watson, LA; Stark, JS; Johnstone, G; Wapstra, E; Miller, K</t>
  </si>
  <si>
    <t>Watson, Leslie A.; Stark, Jonathan S.; Johnstone, Glenn; Wapstra, Erik; Miller, Karen</t>
  </si>
  <si>
    <t>Antarctic sea anemone distribution, abundance and relationships with habitat composition, community structure and anthropogenic disturbance</t>
  </si>
  <si>
    <t>Actinaria; benthic community; biodiversity; human impact; marine benthos; photoquadrat</t>
  </si>
  <si>
    <t>PERMUTATION TESTS; RECRUITMENT; CONTAMINATION; SEDIMENTS; ANTHOZOA; COAST; OIL</t>
  </si>
  <si>
    <t>Understanding the distribution, abundance and habitat preferences of species in the Southern Ocean provides a foundation for assessing the impacts of environmental change and anthropogenic disturbance on Antarctic ecosystems. In near-shore waters at Casey and Davis Stations, photoquadrat surveys were used to determine sea anemone distribution and abundance, habitat preferences, associations with other species and the impact of human disturbance on sea anemone distribution. Two distinct sea anemone morphotypes were found in this study: large sea anemones that require hard substrate for attachment and small, burrowing sea anemones found in muddy sediment. The large sea anemones were found in rocky habitats, with the exception of some sedimentary habitats where other biota were used as substrate. The large sea anemones were associated with a diverse community of epibenthic species found in rocky habitats. The burrowing sea anemones were associated with a less diverse assemblage of sediment-dwelling epibenthos. At Casey Station, sea anemones were more abundant in habitats adjacent to a former waste disposal site than at control sites. The reason for this is not yet known, but may be due to high organic matter inputs or, alternatively, a longer sea ice duration providing protection from ice scour.</t>
  </si>
  <si>
    <t>[Watson, Leslie A.; Wapstra, Erik; Miller, Karen] Univ Tasmania, Sch Nat Sci, Private Bag 55, Hobart, Tas 7001, Australia; [Stark, Jonathan S.; Johnstone, Glenn] Australian Antarctic Div, 203 Channel Hwy, Kingston, Tas 7050, Australia; [Miller, Karen] Australian Inst Marine Sci, 35 Stirling Hwy, Crawley, WA 6009, Australia</t>
  </si>
  <si>
    <t>University of Tasmania; Australian Antarctic Division; Australian Institute of Marine Science</t>
  </si>
  <si>
    <t>Watson, LA (corresponding author), Univ Tasmania, Sch Nat Sci, Private Bag 55, Hobart, Tas 7001, Australia.</t>
  </si>
  <si>
    <t>leslie.watson@utas.edu.au</t>
  </si>
  <si>
    <t>Miller, Karen/V-4098-2019; Stark, Jonathan/ABF-4025-2020; Watson, Leslie/HKM-5475-2023; Watson, Leslie/K-7487-2019; Wapstra, Erik/J-7482-2014</t>
  </si>
  <si>
    <t>Stark, Jonathan/0000-0002-4268-8072; Watson, Leslie/0000-0002-3391-4533; Watson, Leslie/0000-0002-3391-4533; Wapstra, Erik/0000-0002-2050-8026; Johnstone, Glenn/0000-0002-9302-4794</t>
  </si>
  <si>
    <t>Australian Antarctic Division [2948, 4180, 3051]</t>
  </si>
  <si>
    <t>Australian Antarctic Division</t>
  </si>
  <si>
    <t>This work was supported by the Australian Antarctic Division (www.antarctica.gov.au), projects 2948, 4180 and 3051.</t>
  </si>
  <si>
    <t>PII S0954102019000567</t>
  </si>
  <si>
    <t>10.1017/S0954102019000567</t>
  </si>
  <si>
    <t>WOS:000532284500004</t>
  </si>
  <si>
    <t>Olmastroni, S; Fattorini, N; Pezzo, F; Focardi, S</t>
  </si>
  <si>
    <t>Olmastroni, Silvia; Fattorini, Niccolo; Pezzo, Francesco; Focardi, Silvano</t>
  </si>
  <si>
    <t>Gone fishing: Adelie penguin site-specific foraging tactics and breeding performance</t>
  </si>
  <si>
    <t>Adelie penguin; breeding success; diet; foraging trip; polynya; Ross Sea</t>
  </si>
  <si>
    <t>ROSS SEA; ANTARCTIC SILVERFISH; PLEURAGRAMMA-ANTARCTICUM; ENVIRONMENTAL-CONDITIONS; ABUNDANCE; COLONIES; BEHAVIOR; CHICKS; GROWTH; KRILL</t>
  </si>
  <si>
    <t>The ecological drivers underlying breeding performance are expected to differ across the geographical range of seabird species, but few studies have compared trade-offs between colonies with different local conditions. During chick-rearing (2000-01), we compared the foraging trips, diet and breeding parameters of two Adelie penguin colonies in the Ross Sea, at Edmonson Point (EdPo; 2000 breeding pairs) and Inexpressible Island (InIs; 24 000 breeding pairs). Penguins from InIs travelled farther and performed longer feeding trips. The quantity of food brought to the nest was the same for the two colonies, but penguins from InIs brought more fish and less krill. Eggs hatched earlier at EdPo. Breeding success did not differ, but chick weight during hatching-fledging was greater at InIs. Despite worse weather conditions at InIs, the larger proportion of high-energy food brought by penguins from InIs (i.e. fish) may explain their offspring's better performance. In addition, the persistence of fast ice at EdPo may have led to greater energy expenditure of breeding individuals, possibly reducing chick growth. The greater intraspecific competition expected at InIs may have been reduced by longer foraging trips and/or counteracted by the more nutritious diet. Our findings reveal complex trade-offs between foraging effort and environmental constraints in determining the breeding performance of Adelie penguins.</t>
  </si>
  <si>
    <t>[Olmastroni, Silvia; Focardi, Silvano] Univ Siena, Dipartimento Sci Fis Terra &amp; Ambiente, Via Mattioli 4, I-53100 Siena, Italy; [Olmastroni, Silvia] Museo Nazl Antartide F Ippolito, Via Laterina 8, I-53100 Siena, Italy; [Fattorini, Niccolo] Univ Siena, Dipartimento Sci Vita, Via Mattioli 4, I-53100 Siena, Italy; [Pezzo, Francesco] ISPRA, Via Ca Fornacetta 9, I-40064 Ozzano Dell Emilia, BO, Italy</t>
  </si>
  <si>
    <t>University of Siena; University of Siena; Italian Institute for Environmental Protection &amp; Research (ISPRA)</t>
  </si>
  <si>
    <t>Olmastroni, S (corresponding author), Univ Siena, Dipartimento Sci Fis Terra &amp; Ambiente, Via Mattioli 4, I-53100 Siena, Italy.;Olmastroni, S (corresponding author), Museo Nazl Antartide F Ippolito, Via Laterina 8, I-53100 Siena, Italy.</t>
  </si>
  <si>
    <t>silvia.olmastroni@unisi.it</t>
  </si>
  <si>
    <t>Pezzo, Francesco/JKJ-1816-2023; Fattorini, Niccolò/AAJ-9976-2020; OLMASTRONI, Silvia/G-6267-2018</t>
  </si>
  <si>
    <t>Pezzo, Francesco/0000-0003-4437-3805; Fattorini, Niccolò/0000-0001-8022-7464; OLMASTRONI, Silvia/0000-0002-9319-9914</t>
  </si>
  <si>
    <t>Ministry of Education, University and Research (MIUR) project [PNRA1999/1.3]</t>
  </si>
  <si>
    <t>Ministry of Education, University and Research (MIUR) project(Ministry of Education, Universities and Research (MIUR))</t>
  </si>
  <si>
    <t>The Programma Nazionale di Ricerche in Antartide (PNRA) provided logistical support. This research was funded by Ministry of Education, University and Research (MIUR) project PNRA1999/1.3.</t>
  </si>
  <si>
    <t>10.1017/S0954102020000085</t>
  </si>
  <si>
    <t>WOS:000532284500005</t>
  </si>
  <si>
    <t>Dove, IA; Leventer, A; Metcalf, MJ; Brachfeld, SA; Dunbar, RB; Manley, P; Shevenell, AE; Murray, RW; Hommeyer, M; Kryc, KA; McLenaghan, N; Taylor, F; Huber, BA</t>
  </si>
  <si>
    <t>Dove, Isabel A.; Leventer, Amy; Metcalf, Meredith J.; Brachfeld, Stefanie A.; Dunbar, Robert B.; Manley, Patricia; Shevenell, Amelia E.; Murray, Richard W.; Hommeyer, Matthew; Kryc, Kelly A.; McLenaghan, Natalie; Taylor, Fiona; Huber, Bruce A.</t>
  </si>
  <si>
    <t>Marine geological investigation of Edward VIII Gulf, Kemp Coast, East Antarctica</t>
  </si>
  <si>
    <t>East Antarctic Ice Sheet; Holocene; ice-sheet stability; mCDW; palaeoclimate; sediment cores</t>
  </si>
  <si>
    <t>LUTZOW-HOLM BAY; ICE-SHEET; HOLOCENE GLACIER; SEDIMENT; HISTORY; SHELF; OCEAN; DYNAMICS; RETREAT; REGION</t>
  </si>
  <si>
    <t>A physical oceanographic, geophysical and marine geological survey of Edward VIII Gulf, Kemp Coast, collected data from conductivity-temperature-depth casts, multi-beam bathymetric swath mapping and 3.5 kHz sub-bottom surveying. Modified circumpolar deep water (mCDW) is observed in Edward VIII Gulf, as well as notable bathymetric features including mega-scale glacial lineations and a 1750 m-deep trough. Sedimentological, geochemical, rock-magnetic and micropalaeontological analysis of two kasten cores document regional palaeoclimate and palaeo-oceanographic conditions over the past 8000 years, with a warm period occurring from c. 8 to 4 ka and a shift to cooler conditions beginning at c. 4 ka and persisting until at least 0.9 ka. Sediment packages &gt; 40 m thick within deep troughs in Edward VIII Gulf present potential targets for higher-resolution Holocene and deglacial climate studies. Despite the presence of mCDW on the shelf, inland bed topography consisting of highland terrain suggests the likelihood of relative stability of this sector of the East Antarctic Ice Sheet.</t>
  </si>
  <si>
    <t>[Dove, Isabel A.; Leventer, Amy] Colgate Univ, Dept Geol, Hamilton, NY 13346 USA; [Metcalf, Meredith J.] Eastern Connecticut State Univ, Dept Environm Earth Sci, Willimantic, CT 06226 USA; [Brachfeld, Stefanie A.] Montclair State Univ, Dept Earth &amp; Environm Studies, Montclair, NJ 07043 USA; [Dunbar, Robert B.] Stanford Univ, Dept Earth Syst Sci, Stanford, CA 94305 USA; [Manley, Patricia] Middlebury Coll, Dept Geol, Middlebury, VT 05753 USA; [Shevenell, Amelia E.; Hommeyer, Matthew] Univ S Florida, Coll Marine Sci, St Petersburg, FL 33701 USA; [Murray, Richard W.] Woods Hole Oceanog Inst, Woods Hole, MA 02543 USA; [Kryc, Kelly A.] New England Aquarium, Anderson Cabot Ctr Ocean Life, Boston, MA 02110 USA; [McLenaghan, Natalie] NOAA, Silver Spring, MD 20910 USA; [Taylor, Fiona] Univ Tasmania, Coll Sci &amp; Engn, Hobart, Tas 7001, Australia; [Huber, Bruce A.] Lamont Doherty Earth Observ, Palisades, NY 10964 USA</t>
  </si>
  <si>
    <t>Colgate University; Connecticut State University System; Eastern Connecticut State University; Montclair State University; Stanford University; State University System of Florida; University of South Florida; Woods Hole Oceanographic Institution; National Oceanic Atmospheric Admin (NOAA) - USA; University of Tasmania; Columbia University</t>
  </si>
  <si>
    <t>Dove, IA (corresponding author), Colgate Univ, Dept Geol, Hamilton, NY 13346 USA.</t>
  </si>
  <si>
    <t>idove@colgate.edu</t>
  </si>
  <si>
    <t>Shevenell, Amelia E/C-2757-2015; Taylor, Fiona/JQW-3774-2023</t>
  </si>
  <si>
    <t>Leventer, Amy/0000-0001-9401-0987; Huber, Bruce/0000-0001-6413-1614; Brachfeld, Stefanie/0000-0003-4612-2866; Dunbar, Robert/0000-0002-9728-5609; Hommeyer, Matthew/0009-0001-2655-5042</t>
  </si>
  <si>
    <t>National Science Foundation [9909367, 9909793, 9909803, 9909837]</t>
  </si>
  <si>
    <t>We thank the Edison-Chouest Offshore crew and the Raytheon Polar Services technical staff who participated on cruise NBP01-01, and Kathleen Gavahan, who produced the swath map in Fig. 3. We also thank two anonymous reviewers for their helpful and insightful comments. The Coring Holocene Antarctic Ocean Sediment (CHAOS) NBP01-01 cruise was supported by National Science Foundation grants 9909367 to Amy Leventer and Charlie McClennen, 9909793 to Patricia Manley, 9909803 to Stefanie A. Brachfeld and 9909837 to Robert B. Dunbar.</t>
  </si>
  <si>
    <t>PII S0954102020000097</t>
  </si>
  <si>
    <t>10.1017/S0954102020000097</t>
  </si>
  <si>
    <t>WOS:000532284500006</t>
  </si>
  <si>
    <t>Lawrence, JP; Doran, PT; Winslow, LA; Priscu, JC</t>
  </si>
  <si>
    <t>Lawrence, Jade P.; Doran, Peter T.; Winslow, Luke A.; Priscu, John C.</t>
  </si>
  <si>
    <t>Subglacial brine flow and wind-induced internal waves in Lake Bonney, Antarctica</t>
  </si>
  <si>
    <t>dry valleys; hypersalinity; lakes; proglacial; temperature</t>
  </si>
  <si>
    <t>MCMURDO DRY VALLEYS; TAYLOR GLACIER; VICTORIA-LAND; BLOOD FALLS; ICE; GEOMICROBIOLOGY</t>
  </si>
  <si>
    <t>Brine beneath Taylor Glacier has been proposed to enter the proglacial west lobe of Lake Bonney (WLB) as well as from Blood Falls, a surface discharge point at the Taylor Glacier terminus. The brine strongly influences the geochemistry of the water column of WLB. Year-round measurements from this study are the first to definitively identify brine intrusions from a subglacial entry point into WLB. Furthermore, we excluded input from Blood Falls by focusing on winter dynamics when the absence of an open water moat prevents surface brine entry. Due to the extremely high salinities below the chemocline in WLB, density stratification is dominated by salinity, and temperature can be used as a passive tracer. Cold brine intrusions enter WLB at the glacier face and intrude into the water column at the depth of neutral buoyancy, where they can be identified by anomalously cold temperatures at that depth. High-resolution measurements also reveal under-ice internal waves associated with katabatic wind events, a novel finding that challenges long-held assumptions about the stability of the WLB water column.</t>
  </si>
  <si>
    <t>[Lawrence, Jade P.; Doran, Peter T.] Louisiana State Univ, Dept Geol, Baton Rouge, LA 70803 USA; [Winslow, Luke A.] Rensselaer Polytech Inst, Dept Biol Sci, Troy, NY 12180 USA; [Priscu, John C.] Montana State Univ, Dept Land Resources &amp; Environm Sci, Bozeman, MT 59717 USA</t>
  </si>
  <si>
    <t>Louisiana State University System; Louisiana State University; Rensselaer Polytechnic Institute; Montana State University System; Montana State University Bozeman</t>
  </si>
  <si>
    <t>Lawrence, JP (corresponding author), Louisiana State Univ, Dept Geol, Baton Rouge, LA 70803 USA.</t>
  </si>
  <si>
    <t>jadeplawrence@gmail.com</t>
  </si>
  <si>
    <t>National Science Foundation's McMurdo Long Term Ecological Research project [1637708]; NASA Astrobiology Science and Technology for Exploring Planets (ASTEP) programme [NNX07AM88G]; Office of Polar Programs (OPP); Directorate For Geosciences [1637708] Funding Source: National Science Foundation</t>
  </si>
  <si>
    <t>National Science Foundation's McMurdo Long Term Ecological Research project(National Science Foundation (NSF)); NASA Astrobiology Science and Technology for Exploring Planets (ASTEP) programme(National Aeronautics &amp; Space Administration (NASA)); Office of Polar Programs (OPP); Directorate For Geosciences(National Science Foundation (NSF)NSF - Directorate for Geosciences (GEO))</t>
  </si>
  <si>
    <t>This research was supported primarily through the National Science Foundation's McMurdo Long Term Ecological Research project (Grant 1637708). Data generated by the autonomous vehicle ENDURANCE was funded by the NASA Astrobiology Science and Technology for Exploring Planets (ASTEP) programme (#NNX07AM88G).</t>
  </si>
  <si>
    <t>PII S0954102020000036</t>
  </si>
  <si>
    <t>10.1017/S0954102020000036</t>
  </si>
  <si>
    <t>WOS:000532284500007</t>
  </si>
  <si>
    <t>Atalah, J; Blamey, L; Köhler, H; Alfaro-Valdés, HM; Galarce, C; Alvarado, C; Sancy, M; Páez, M; Blamey, JM</t>
  </si>
  <si>
    <t>Atalah, Joaquin; Blamey, Lotse; Kohler, Hans; Alfaro-Valdes, Hilda M.; Galarce, Carlos; Alvarado, Claudia; Sancy, Mamie; Paez, Maritza; Blamey, Jenny M.</t>
  </si>
  <si>
    <t>Study of an Antarctic thermophilic consortium and its influence on the electrochemical behavior of aluminum alloy 7075-T6</t>
  </si>
  <si>
    <t>BIOELECTROCHEMISTRY</t>
  </si>
  <si>
    <t>Corrosion; Aluminum alloy; Thermophiles; Biofilm; Catalase; Peroxidase</t>
  </si>
  <si>
    <t>CORROSION; CATALASE; INHIBITION; IMPEDANCE; MECHANISM; BACTERIA</t>
  </si>
  <si>
    <t>Common alloys used for the manufacture of aircrafts are subject to different forms of environmental deterioration. A major one is corrosion, and there is a strong body of evidence suggesting that environmental microorganisms initiate and accelerate it. The development of an appropriate strategy to reduce this process depends on the knowledge concerning the factors involved in corrosion. In this work, a biofilm forming bacterial consortium was extracted in situ from the corrosion products formed in an aircraft exposed to Antarctic media. Two thermophilic bacteria, an Anoxybacillus and a Staphylococcus strain, were successfully isolated from this consortium. Two extracellular enzymes previously speculated to participate in corrosion, catalase and peroxidase, were detected in the extracellular fraction of the consortium. Additionally, we assessed the individual contribution of those thermophilic microorganisms on the corrosion process of 7075-T6 aluminum alloy, which is widely used in aeronautical industry, through electrochemical methods and surface analysis techniques. (C) 2019 Published by Elsevier B.V.</t>
  </si>
  <si>
    <t>[Atalah, Joaquin; Blamey, Lotse; Kohler, Hans; Alfaro-Valdes, Hilda M.; Blamey, Jenny M.] Fdn Biociencia, Jose Domingo Canas 2280, Santiago, Chile; [Galarce, Carlos] Pontificia Univ Catolica Chile, Fac Ingn, Dept Ingn Hidraul &amp; Ambiental, Av Vicuna Mackenna 4860, Santiago, Chile; [Alvarado, Claudia] Acad Politecn Aeronaut, Fuerza Aerea Chile, Av Jose Miguel Carrera 11087, Santiago, Chile; [Sancy, Mamie] Pontificia Univ Catolica Chile, Fac Ingn, Escuela Construcc Civil, Av Vicuna Mackenna 4860, Santiago, Chile; [Paez, Maritza] Univ Santiago Chile, Fac Quim &amp; Biol, Dept Quim Mat, Alameda 3363, Santiago, Chile; [Blamey, Jenny M.] Univ Santiago Chile, Fac Quim &amp; Biol, Alameda 3363, Santiago, Chile</t>
  </si>
  <si>
    <t>Pontificia Universidad Catolica de Chile; Pontificia Universidad Catolica de Chile; Universidad de Santiago de Chile; Universidad de Santiago de Chile</t>
  </si>
  <si>
    <t>Blamey, JM (corresponding author), Fdn Biociencia, Jose Domingo Canas 2280, Santiago, Chile.;Blamey, JM (corresponding author), Univ Santiago Chile, Fac Quim &amp; Biol, Alameda 3363, Santiago, Chile.</t>
  </si>
  <si>
    <t>jblamey@bioscience.cl</t>
  </si>
  <si>
    <t>Alvarado, Claudia/ECH-1671-2022; Blamey, Jenny M/M-2637-2014; Sancy, Mamié/GYU-9241-2022; Galarce, Carlos/AAR-9405-2021; Paez, Maritza/M-2010-2014; Sancy, Mamie/L-6270-2014</t>
  </si>
  <si>
    <t>Blamey, Jenny M/0000-0002-7640-316X; paez, maritza/0000-0001-5881-884X; Sancy, Mamie/0000-0001-9523-2629; GALARCE GUTIERREZ, CARLOS/0000-0002-4250-3998</t>
  </si>
  <si>
    <t>PROJECT PIA-Conicyt Grant [ACT 1412]; FONDECYT [1160604, 3190756]; FONDEQUIP [EQM160036]; AFOSR [FA9550-19-1-0234]</t>
  </si>
  <si>
    <t>PROJECT PIA-Conicyt Grant; FONDECYT(Comision Nacional de Investigacion Cientifica y Tecnologica (CONICYT)CONICYT FONDECYT); FONDEQUIP; AFOSR(United States Department of DefenseAir Force Office of Scientific Research (AFOSR))</t>
  </si>
  <si>
    <t>The authors gratefully acknowledge the financial support of PROJECT PIA-Conicyt Grant ACT 1412, FONDECYT (Grants 1160604 and 3190756), FONDEQUIP EQM160036 and AFOSR Grant FA9550-19-1-0234.; In addition, we would like to thank Doctor Jorge Pavez, Doctor Carlos Silva, for their contribution in obtaining the AFM images and to Miss Rocio Orellana from the Electronic Microscopy laboratory, Facultad de Odontologia Universidad de Chile, for her assistance with the SEM and EDX imaging.</t>
  </si>
  <si>
    <t>ELSEVIER SCIENCE SA</t>
  </si>
  <si>
    <t>PO BOX 564, 1001 LAUSANNE, SWITZERLAND</t>
  </si>
  <si>
    <t>1567-5394</t>
  </si>
  <si>
    <t>1878-562X</t>
  </si>
  <si>
    <t>Bioelectrochemistry</t>
  </si>
  <si>
    <t>10.1016/j.bioelechem.2019.107450</t>
  </si>
  <si>
    <t>Biochemistry &amp; Molecular Biology; Biology; Biophysics; Electrochemistry</t>
  </si>
  <si>
    <t>Biochemistry &amp; Molecular Biology; Life Sciences &amp; Biomedicine - Other Topics; Biophysics; Electrochemistry</t>
  </si>
  <si>
    <t>LL8TU</t>
  </si>
  <si>
    <t>WOS:000531827700031</t>
  </si>
  <si>
    <t>McCallum, A</t>
  </si>
  <si>
    <t>McCallum, Adrian</t>
  </si>
  <si>
    <t>Quantitative Comparison of Cone Penetration Testing Tip Resistance Data with Ground-Penetrating Radar Amplitude Data</t>
  </si>
  <si>
    <t>JOURNAL OF COLD REGIONS ENGINEERING</t>
  </si>
  <si>
    <t>HIGH-RESOLUTION; FIRN; STRATIGRAPHY; CPT</t>
  </si>
  <si>
    <t>Both cone penetration test (CPT) tip resistance data and ground-penetrating radar (GPR) amplitude data vary at the interface of snow layers of different density. Therefore, relationships between these data should be observable, enabling spatial extrapolation of CPT tip resistance values using GPR. Quantitative analysis of GPR amplitude data occurs in pavement analysis, but these techniques have not been applied to snow. GPR sounding using a commercially available ground-coupled 400 MHz antenna was conducted in the immediate vicinity of numerous CPT holes in Antarctic firn. Comparison between CPT tip resistance and GPR amplitude data reveals that extrapolation of point CPT resistance data is possible over large spatial areas by tracking GPR horizons that equate with CPT resistance value. In addition, GPR amplitude and polarity can reveal information about relative snowpack density. GPR can be used efficaciously with CPT snow resistance data, enabling efficient extrapolation of snow physical properties across large areas. Complementary use of GPR with CPT can enhance site investigation procedures for the development of polar infrastructure.</t>
  </si>
  <si>
    <t>[McCallum, Adrian] Univ Sunshine Coast, Sch Sci &amp; Engn, Geotech Engn, Sippy Downs, Qld 4558, Australia</t>
  </si>
  <si>
    <t>University of the Sunshine Coast</t>
  </si>
  <si>
    <t>McCallum, A (corresponding author), Univ Sunshine Coast, Sch Sci &amp; Engn, Geotech Engn, Sippy Downs, Qld 4558, Australia.</t>
  </si>
  <si>
    <t>amccallu@usc.edu.au</t>
  </si>
  <si>
    <t>McCallum, Adrian/0000-0002-3718-614X</t>
  </si>
  <si>
    <t>Menzies Foundation, Australia</t>
  </si>
  <si>
    <t>This research was only possible due to the generous assistance of Lankelma and Gardline Geosciences and the British Antarctic Survey, both in Cambridge, UK, and Halley Research Station, Antarctica. Funding assistance was provided by The Menzies Foundation, Australia. Constructive advice from three anonymous reviewers improved this manuscript considerably.</t>
  </si>
  <si>
    <t>ASCE-AMER SOC CIVIL ENGINEERS</t>
  </si>
  <si>
    <t>RESTON</t>
  </si>
  <si>
    <t>1801 ALEXANDER BELL DR, RESTON, VA 20191-4400 USA</t>
  </si>
  <si>
    <t>0887-381X</t>
  </si>
  <si>
    <t>1943-5495</t>
  </si>
  <si>
    <t>J COLD REG ENG</t>
  </si>
  <si>
    <t>J. Cold Reg. Eng.</t>
  </si>
  <si>
    <t>10.1061/(ASCE)CR.1943-5495.0000206</t>
  </si>
  <si>
    <t>LL7OX</t>
  </si>
  <si>
    <t>WOS:000531747200010</t>
  </si>
  <si>
    <t>Martin, CI; Quirchmayr, R</t>
  </si>
  <si>
    <t>Martin, Calin Iulian; Quirchmayr, Ronald</t>
  </si>
  <si>
    <t>A steady stratified purely azimuthal flow representing the Antarctic Circumpolar Current</t>
  </si>
  <si>
    <t>MONATSHEFTE FUR MATHEMATIK</t>
  </si>
  <si>
    <t>Antarctic Circumpolar Current; Variable density; Azimuthal flows; Eddy viscosity; Geophysical fluid dynamics</t>
  </si>
  <si>
    <t>WAVES; DYNAMICS; MODEL; WIND; PRESSURE; EQUATION; EDDIES</t>
  </si>
  <si>
    <t>We construct an explicit steady stratified purely azimuthal flow for the governing equations of geophysical fluid dynamics. These equations are considered in a setting that applies to the Antarctic Circumpolar Current, accounting for eddy viscosity and forcing terms.</t>
  </si>
  <si>
    <t>[Martin, Calin Iulian] Univ Vienna, Fac Math, Vienna, Austria; [Quirchmayr, Ronald] KTH Royal Inst Technol, Dept Math, Stockholm, Sweden</t>
  </si>
  <si>
    <t>University of Vienna; Royal Institute of Technology</t>
  </si>
  <si>
    <t>Quirchmayr, R (corresponding author), KTH Royal Inst Technol, Dept Math, Stockholm, Sweden.</t>
  </si>
  <si>
    <t>calin.martin@univie.ac.at; ronaldq@kth.se</t>
  </si>
  <si>
    <t>Martin, Calin/D-3284-2013</t>
  </si>
  <si>
    <t>Martin, Calin/0000-0002-5800-9265; Quirchmayr, Ronald/0000-0002-2240-1812</t>
  </si>
  <si>
    <t>Austrian Science Fund (FWF) [P30878] Funding Source: Austrian Science Fund (FWF); Austrian Science Fund FWF [P 30878] Funding Source: Medline</t>
  </si>
  <si>
    <t>Austrian Science Fund (FWF)(Austrian Science Fund (FWF)); Austrian Science Fund FWF(Austrian Science Fund (FWF))</t>
  </si>
  <si>
    <t>0026-9255</t>
  </si>
  <si>
    <t>1436-5081</t>
  </si>
  <si>
    <t>MONATSH MATH</t>
  </si>
  <si>
    <t>Mon.heft. Math.</t>
  </si>
  <si>
    <t>10.1007/s00605-019-01332-3</t>
  </si>
  <si>
    <t>LN2YX</t>
  </si>
  <si>
    <t>Green Published, Green Submitted, hybrid</t>
  </si>
  <si>
    <t>WOS:000532810600007</t>
  </si>
  <si>
    <t>Wearing, MG; Kingslake, J; Worster, MG</t>
  </si>
  <si>
    <t>Wearing, Martin G.; Kingslake, Jonathan; Worster, M. Grae</t>
  </si>
  <si>
    <t>Can unconfined ice shelves provide buttressing via hoop stresses?</t>
  </si>
  <si>
    <t>Antarctic glaciology; ice shelves; ice velocity; ice dynamics; ice-shelf break-up</t>
  </si>
  <si>
    <t>DYNAMICS; SHEET; FLOW; DISINTEGRATION; SURFACE</t>
  </si>
  <si>
    <t>The stress balance within an ice shelf is key to the resistance, or buttressing, it can provide and in part controls the rate of ice discharge from the upstream ice sheet. Unconfined ice shelves are widely assumed to provide no buttressing. However, theory and laboratory-scale analogue experiments have shown that unconfined, floating viscous flows generate buttressing via hoop stresses. Hoop stress results from the viscous resistance to spreading perpendicular to the flow direction in a diverging flow. We build on theoretical work to explore the controls on the magnitude of hoop-stress buttressing, deducing that buttressing increases with increasing effective viscosity and increasing divergence. We use an idealised model calibrated to unconfined sections of Antarctic ice shelves and find that many shelves have low effective viscosity, most likely due to extensive damage resulting from high extensional stresses. Therefore, they are unable to sustain the large hoop stresses required to resist flow. Some ice shelves that are surrounded by sea ice year-round have a greater effective viscosity and can provide buttressing, suggesting that sea ice reduces fracturing. However, we find that most unconfined ice shelves provide insignificant buttressing today, even when hoop stresses are considered in the stress balance.</t>
  </si>
  <si>
    <t>[Wearing, Martin G.; Kingslake, Jonathan] Columbia Univ, Lamont Doherty Earth Observ, New York, NY 10027 USA; [Worster, M. Grae] Univ Cambridge, Dept Appl Math &amp; Theoret Phys, Cambridge, England</t>
  </si>
  <si>
    <t>Columbia University; University of Cambridge</t>
  </si>
  <si>
    <t>Wearing, MG (corresponding author), Columbia Univ, Lamont Doherty Earth Observ, New York, NY 10027 USA.</t>
  </si>
  <si>
    <t>wearing@ldeo.columbia.edu</t>
  </si>
  <si>
    <t>Wearing, Martin/0000-0002-8927-8564</t>
  </si>
  <si>
    <t>NSF [1743310]; Directorate For Geosciences; Office of Polar Programs (OPP) [1743310] Funding Source: National Science Foundation</t>
  </si>
  <si>
    <t>The authors would like to thank Robert Arthern for his helpful and insightful comments during the development of this work. We are also grateful for the comments from our two reviewers and the scientific editor, which helped to improve the manuscript. We acknowledge funding from NSF (award number 1743310).</t>
  </si>
  <si>
    <t>PII S0022143019001011</t>
  </si>
  <si>
    <t>10.1017/jog.2019.101</t>
  </si>
  <si>
    <t>WOS:000531857800001</t>
  </si>
  <si>
    <t>Cole, DM</t>
  </si>
  <si>
    <t>Cole, D. M.</t>
  </si>
  <si>
    <t>On the physical basis for the creep of ice: the high temperature regime</t>
  </si>
  <si>
    <t>Ice dynamics; ice physics; ice rheology</t>
  </si>
  <si>
    <t>DISLOCATION-BASED ANALYSIS; POLYCRYSTALLINE ICE; INTERNAL-FRICTION; STRESS; STRAIN; DEFORMATION; ATTENUATION; PARTICLES; MODEL; FLOW</t>
  </si>
  <si>
    <t>This work quantifies the increased temperature sensitivity of the constitutive behavior of ice with proximity to the melting point in terms of dislocation mechanics. An analysis of quasistatic and dynamic cyclic loading data for several ice types leads to the conclusion that high temperature (e.g. T &gt;= -8 degrees C) behavior is the result of a thermally induced increase in the number of mobile dislocations rather than an increase in the activation energy of dislocation glide or the introduction of a new deformation mechanism. The relationship between dislocation density and temperature is quantified and the model is shown to adequately represent the published minimum creep rate vs stress data for isotropic granular freshwater ice for -48 &lt;= T &lt;= -0.01 degrees C.</t>
  </si>
  <si>
    <t>[Cole, D. M.] ERDC CRREL, 72 Lyme Rd, Hanover, NH 03755 USA</t>
  </si>
  <si>
    <t>United States Department of Defense; United States Army; U.S. Army Corps of Engineers; U.S. Army Engineer Research &amp; Development Center (ERDC); Cold Regions Research &amp; Engineering Laboratory (CRREL)</t>
  </si>
  <si>
    <t>david.mcg.cole@gmail.com</t>
  </si>
  <si>
    <t>Office of Naval Research Sea Ice Mechanics Initiative [N0001495MP30001, N0001496MP30021]; ERDC-CRREL's In-house Independent Laboratory Research Program; US National Science Foundation Office of Polar Programs, Arctic Natural Sciences Program [OPP 011737, PLR 1022703]</t>
  </si>
  <si>
    <t>Office of Naval Research Sea Ice Mechanics Initiative; ERDC-CRREL's In-house Independent Laboratory Research Program; US National Science Foundation Office of Polar Programs, Arctic Natural Sciences Program</t>
  </si>
  <si>
    <t>The work described herein covers many years of field and laboratory studies, projects funded by numerous agencies and, most importantly, several colleagues and co-workers without whom this paper would not be possible. In chronological order, the author is grateful for support from the following projects: Office of Naval Research Sea Ice Mechanics Initiative, Grants No. N0001495MP30001 and N0001496MP30021; ERDC-CRREL's In-house Independent Laboratory Research Program; US National Science Foundation Office of Polar Programs, Arctic Natural Sciences Program Awards No. OPP 011737 and PLR 1022703. All of the quasistatic cyclic loading experiments on various ice types were conducted by Mr. Glenn Durell (CRREL-Ret.) and his skill, diligence and creativity are the foundation of this and many related efforts. An indispensable colleague in the Arctic and Antarctic fieldwork was Prof. J.P. Dempsey of Clarkson University, Potsdam NY. The author also thanks Dr Adam Treverrow of the Antarctic Climate &amp; Ecosystems Cooperative Research Centre, Hobart, Tasmania for providing archival data from the Australian program and numerous helpful technical exchanges during the writing of this manuscript.</t>
  </si>
  <si>
    <t>PII S0022143020000155</t>
  </si>
  <si>
    <t>10.1017/jog.2020.15</t>
  </si>
  <si>
    <t>WOS:000531857800005</t>
  </si>
  <si>
    <t>Dryak, MC; Enderlin, EM</t>
  </si>
  <si>
    <t>Dryak, M. C.; Enderlin, E. M.</t>
  </si>
  <si>
    <t>Analysis of Antarctic Peninsula glacier frontal ablation rates with respect to iceberg melt-inferred variability in ocean conditions</t>
  </si>
  <si>
    <t>Antarctic glaciology; glacier ablation phenomena; icebergs; melt - basal; remote sensing</t>
  </si>
  <si>
    <t>WORDIE ICE SHELF; MARINE-TERMINATING GLACIERS; FLEMING GLACIER; MASS-BALANCE; DRIVEN; DISINTEGRATION; GREENLAND; EVOLUTION; DISCHARGE; RETREAT</t>
  </si>
  <si>
    <t>Marine-terminating glaciers on the Antarctic Peninsula (AP) have retreated, accelerated and thinned in response to climate change in recent decades. Ocean warming has been implicated as a trigger for these changes in glacier dynamics, yet little data exist near glacier termini to assess the role of ocean warming here. We use remotely-sensed iceberg melt rates seaward of two glaciers on the eastern and six glaciers on the western AP from 2013 to 2019 to explore connections between variations in ocean conditions and glacier frontal ablation. We find iceberg melt rates follow regional ocean temperature variations, with the highest melt rates (mean approximate to 10 cm d(-1)) at Cadman and Widdowson glaciers in the west and the lowest melt rates (mean approximate to 0.5 cm d(-1)) at Crane Glacier in the east. Near-coincident glacier frontal ablation rates from 2014 to 2018 vary from 450 m a(-1) at Edgeworth and Blanchard glaciers to 3000 m a(-1) at Seller Glacier, former Wordie Ice Shelf tributary. Variations in iceberg melt rates and glacier frontal ablation rates are significantly positively correlated around the AP (Spearman's rho = 0.71, p-value = 0.003). We interpret this correlation as support for previous research suggesting submarine melting of glacier termini exerts control on glacier frontal dynamics around the AP.</t>
  </si>
  <si>
    <t>[Dryak, M. C.] Univ Maine, Climate Change Inst, Orono, ME USA; [Dryak, M. C.] Univ Maine, Sch Earth &amp; Climate Sci, Orono, ME USA; [Enderlin, E. M.] Boise State Univ, Dept Geosci, Boise, ID 83725 USA</t>
  </si>
  <si>
    <t>University of Maine System; University of Maine Orono; University of Maine System; University of Maine Orono; Idaho; Boise State University</t>
  </si>
  <si>
    <t>Enderlin, EM (corresponding author), Boise State Univ, Dept Geosci, Boise, ID 83725 USA.</t>
  </si>
  <si>
    <t>ellynenderlin@boisestate.edu</t>
  </si>
  <si>
    <t>Dryak-Vallies, Mariama/0000-0003-4292-0895; Enderlin, Ellyn/0000-0002-8266-7719</t>
  </si>
  <si>
    <t>NSF Office of Polar Programs [1643455, 1933764]; Office of Polar Programs (OPP); Directorate For Geosciences [1933764] Funding Source: National Science Foundation; Office of Polar Programs (OPP); Directorate For Geosciences [1643455] Funding Source: National Science Foundation</t>
  </si>
  <si>
    <t>NSF Office of Polar Programs(National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</si>
  <si>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work was supported by the NSF Office of Polar Programs awards 1643455 and 1933764 awarded to Ellyn Enderlin. We thank Alison Cook for glacier area and terminus extent data for the Antarctic Peninsula, Alex Gardner for ITS_LIVE velocities, NSIDC for GoLIVE velocities, Thorsten Seehaus and Jan Wuite for SAR-derived velocity datasets. We thank Carlos Moffat for helping provide an oceanographic context for iceberg melt rates, Rachel Carr for her editorial recommendations during the review process, and three anonymous reviewers for their recommended improvements to the manuscript.</t>
  </si>
  <si>
    <t>10.1017/jog.2020.21</t>
  </si>
  <si>
    <t>WOS:000531857800009</t>
  </si>
  <si>
    <t>Miles, BWJ; Stokes, CR; Jenkins, A; Jordan, JR; Jamieson, SSR; Gudmundsson, GH</t>
  </si>
  <si>
    <t>Miles, B. W. J.; Stokes, C. R.; Jenkins, A.; Jordan, J. R.; Jamieson, S. S. R.; Gudmundsson, G. H.</t>
  </si>
  <si>
    <t>Intermittent structural weakening and acceleration of the Thwaites Glacier Tongue between 2000 and 2018</t>
  </si>
  <si>
    <t>Antarctic glaciology; calving; ice shelves; ice velocity; ice; ocean interactions</t>
  </si>
  <si>
    <t>AMUNDSEN SEA EMBAYMENT; ANTARCTIC ICE-SHEET; WEST ANTARCTICA; PINE ISLAND; EAST ANTARCTICA; RETREAT; SHELF; DYNAMICS; WIDESPREAD; STABILITY</t>
  </si>
  <si>
    <t>Evolving conditions at the terminus of Thwaites Glacier will be important in determining the rate of its future sea-level contribution over the coming decades. Here, we use remote-sensing observations to investigate recent changes (2000-2018) in the structure and velocity of Thwaites Glacier and its floating tongue. We show that the main trunk of Thwaites Glacier has accelerated by 38% over this period, while its previously intact floating tongue has transitioned to a weaker melange of fractured icebergs bounded by sea ice. However, the rate of structural weakening and acceleration was not uniform across the observational period and we identify two periods of rapid acceleration and structural weakening (2006-2012; 2016-2018), separated by a period of deceleration and re-advance of the structurally-intact shear margin boundary (2012-2015). The timing of these accelerations/decelerations strongly suggests a link to variable ocean forcing. The weakened tongue now has some dependency on landfast sea ice for structural integrity and is vulnerable to changes in landfast ice persistency. Future reductions in landfast sea ice could manifest from changes in climate and/or the imminent removal of the B-22A iceberg from the Thwaites embayment. Such changes could have important implications for the integrity of the ice tongue and future glacier discharge.</t>
  </si>
  <si>
    <t>[Miles, B. W. J.; Stokes, C. R.; Jamieson, S. S. R.] Univ Durham, Dept Geog, Durham DH1 3LE, England; [Jenkins, A.; Jordan, J. R.; Gudmundsson, G. H.] Northumbria Univ, Dept Geog &amp; Environm Sci, Newcastle Upon Tyne NE1 8ST, Tyne &amp; Wear, England; [Jenkins, A.] British Antarctic Survey, Nat Environm Res Council, Cambridge, England</t>
  </si>
  <si>
    <t>Durham University; Northumbria University; UK Research &amp; Innovation (UKRI); Natural Environment Research Council (NERC); NERC British Antarctic Survey</t>
  </si>
  <si>
    <t>Miles, BWJ (corresponding author), Univ Durham, Dept Geog, Durham DH1 3LE, England.</t>
  </si>
  <si>
    <t>a.w.j.miles@durham.ac.uk</t>
  </si>
  <si>
    <t>Stokes, Chris R/A-1957-2011; Jenkins, Adrian/IUN-2406-2023; Gudmundsson, Gudmundur Hilmar/AAU-5987-2020; Jamieson, Stewart/B-8330-2013</t>
  </si>
  <si>
    <t>Gudmundsson, Gudmundur Hilmar/0000-0003-4236-5369; Miles, Bertie/0000-0002-3388-4688; Jordan, Jim/0000-0001-8117-1976; Jenkins, Adrian/0000-0002-9117-0616; Jamieson, Stewart/0000-0002-9036-2317</t>
  </si>
  <si>
    <t>Natural Environment Research Council [NE/R000824/1]; NERC [bas0100033, NE/J005770/1, NE/R000824/1, NE/R000719/1] Funding Source: UKRI</t>
  </si>
  <si>
    <t>This work was funded by the Natural Environment Research Council (grant number: NE/R000824/1). MODIS imagery from the NASA WorldView Explorer is available at https://worldview.earthdata.nasa.gov/. Sentinel-1 imagery is available from the Copernicus Open Access Hub (https://scihub.copernicus.eu/). Landsat imagery is freely available and can be downloaded via Earth Explorer (https://earthexplorer.usgs.gov/). ESA SNAP software can be freely downloaded at http://step.esa.int/main/download/. GoLive Landsat-8 velocities are available at https://doi.org/10.7265/N5ZP442B.Amundsen Sea velocities from 2000 and 2002 are available at https://doi.org/10.5067/MEASURES/CRYOSPHERE/nsidc-0545.001.MEaSUREs annual ice velocity maps are available at https://doi.org/10.5067/9T4EPQXTJYW9. Grounding lines data are available at https://doi.org/10.5067/IKBWW4RYHF1Q. Ice-front positions collected in this study will be deposited in the NERC polar observation data centre upon publication. Velocity time series are available as a supplementary dataset. We would like to thank two anonymous reviewers and the editor - Helen Amanda Fricker -for providing constructive comments which led to the improvement of this manuscript.</t>
  </si>
  <si>
    <t>PII S0022143020000209</t>
  </si>
  <si>
    <t>10.1017/jog.2020.20</t>
  </si>
  <si>
    <t>Green Accepted, gold, Green Published</t>
  </si>
  <si>
    <t>WOS:000531857800011</t>
  </si>
  <si>
    <t>Lee, EY; Wolfgring, E; Tejada, MLG; Harry, DL; Wainman, CC; Chun, SS; Schnetger, B; Brumsack, HJ; Maritati, A; Martinez, M; Richter, C; Li, YX; Riquier, L; MacLeod, KG; Waller, TR; Borissova, I; Petrizzo, MR; Huber, BT; Kim, Y</t>
  </si>
  <si>
    <t>Lee, Eun Young; Wolfgring, Erik; Tejada, Maria Luisa G.; Harry, Dennis L.; Wainman, Carmine C.; Chun, Seung Soo; Schnetger, Bernhard; Brumsack, Hans-Juergen; Maritati, Alessandro; Martinez, Mathieu; Richter, Carl; Li, Yong-Xiang; Riquier, Laurent; MacLeod, Kenneth G.; Waller, Thomas R.; Borissova, Irina; Petrizzo, Maria Rose; Huber, Brian T.; Kim, Yongmi</t>
  </si>
  <si>
    <t>IODP Expedition 369 Sci Party</t>
  </si>
  <si>
    <t>Early Cretaceous subsidence of the Naturaliste Plateau defined by a new record of volcaniclastic-rich sequence at IODP Site U1513</t>
  </si>
  <si>
    <t>Naturaliste Plateau; Volcaniclastic-rich sequence; Subsidence; East Gondwana breakup; IODP Site U1513</t>
  </si>
  <si>
    <t>LARGE IGNEOUS PROVINCE; SOUTHERN PERTH BASIN; WESTERN-AUSTRALIA; INDIAN-OCEAN; GEOCHEMICAL CHARACTERISTICS; KERGUELEN PLUME; BUNBURY BASALT; GONDWANA; BREAKUP; SEA</t>
  </si>
  <si>
    <t>The Naturaliste Plateau is a submarine continental ribbon rifted from the southwest Australian margin during the Early Cretaceous breakup of East Gondwana. It occupied a key position near the juncture of Greater India and the boundary between Australia and Antarctica. However, details of the Early Cretaceous evolution of the plateau are not well known because of limited data. Drilling at Site U1513 during IODP Expedition 369 recovered the first complete Lower Cretaceous succession on the eastern Naturaliste Plateau. The succession includes syn-rift volcanic rocks, Hauterivian to early Aptian volcanidastic-rich sedimentary rocks, and Albian daystone strata. The 235m thick volcaniclastic-rich sequence represents the missing post-breakup record in the southwest Australian rifted margin. It spans the transition from syn- to post-rift phase during the final stages of breakup between Greater India and Australia-Antarctica. We report the lithological, petrophysical, geochemical, paleontological, and paleomagnetic characteristics of the sequence, and then synthesize the results to define the Early Cretaceous depositional environment and subsidence history of the Naturaliste Plateau. From the early Hauterivian, weathered volcanic products were eroded and re-deposited locally as a volcanidastic-rich sequence, with a major contribution from the southern Naturaliste Plateau. The depositional environment evolved from a shelf to upper bathyal condition during the Hauterivian through early Barremian with a decreasing sedimentation rate. This period is defined as a late syn-rift subsidence phase by NW-SE trending extension. After the final breakup with Greater India, the plateau remained at upper bathyal depths with little deposition until the early Aptian. Midlower bathyal depths inferred from the Albian claystone strata suggest that the post-rift thermal subsidence commenced during the late Aptian. This two-phase post-rift subsidence reflects the proximity or high temperature of mantle plume, possibly the Kerguelen plume, and its westward migration relative to the southwest Australian rifted margin. (C) 2020 International Association for Gondwana Research. Published by Elsevier B.V. All rights reserved.</t>
  </si>
  <si>
    <t>[Lee, Eun Young; Chun, Seung Soo] Chonnam Natl Univ, Fac Earth Syst &amp; Environm Sci, Gwangju 61186, South Korea; [Wolfgring, Erik] Univ Vienna, Dept Geodynam &amp; Sedimentol, A-1090 Vienna, Austria; [Tejada, Maria Luisa G.] Japan Agcy Marine Earth Sci &amp; Technol, Inst Marine Geodynam IMG, Yokosuka, Kanagawa 2370061, Japan; [Harry, Dennis L.] Colorado State Univ, Dept Geosci, Ft Collins, CO 80523 USA; [Wainman, Carmine C.] Univ Adelaide, Australian Sch Petr, Adelaide, SA 5005, Australia; [Schnetger, Bernhard; Brumsack, Hans-Juergen] Carl von Ossietzky Univ Oldenburg, Inst Chem &amp; Biol Marine Environm ICBM, D-26111 Oldenburg, Germany; [Maritati, Alessandro] Univ Tasmania, Inst Marine &amp; Antarctic Studies, Hobart, Tas 7001, Australia; [Martinez, Mathieu] Univ Rennes, Geosci Rennes, CNRS, UMR 6118, F-35000 Rennes, France; [Richter, Carl] Univ Louisiana Lafayette, Sch Geosci, Lafayette, LA 70504 USA; [Li, Yong-Xiang] Nanjing Univ, Sch Earth Sci &amp; Engn, Nanjing 210046, Peoples R China; [Riquier, Laurent] Sorbonne Univ, Inst Sci Terre Paris ISTeP, F-75005 Paris, France; [MacLeod, Kenneth G.] Univ Missouri, Dept Geol Sci, Columbia, MO 65211 USA; [Waller, Thomas R.; Huber, Brian T.] Smithsonian Inst, Natl Museum Nat Hist, Washington, DC 20560 USA; [Borissova, Irina] Geosci Australia, Canberra, ACT 2601, Australia; [Petrizzo, Maria Rose] Univ Milan, Dept Earth Sci, I-20133 Milan, Italy; [Kim, Yongmi] Korea Univ Sci &amp; Technol, Dept Petr Resources Technol, Daejeon 34113, South Korea</t>
  </si>
  <si>
    <t>Chonnam National University; University of Vienna; Japan Agency for Marine-Earth Science &amp; Technology (JAMSTEC); Colorado State University; University of Adelaide; Carl von Ossietzky Universitat Oldenburg; University of Tasmania; Centre National de la Recherche Scientifique (CNRS); CNRS - National Institute for Earth Sciences &amp; Astronomy (INSU); Universite de Rennes; University of Louisiana Lafayette; Nanjing University; Sorbonne Universite; University of Missouri System; University of Missouri Columbia; Smithsonian Institution; Smithsonian National Museum of Natural History; Geoscience Australia; University of Milan; University of Science &amp; Technology (UST)</t>
  </si>
  <si>
    <t>Lee, EY (corresponding author), Chonnam Natl Univ, Fac Earth Syst &amp; Environm Sci, Gwangju 61186, South Korea.</t>
  </si>
  <si>
    <t>eun.y.lee@chonnam.ac.kr; erik.wolfgring@univie.ac.at; mtejada@jamstec.go.jp; Dennis.Harry@colostate.edu</t>
  </si>
  <si>
    <t>Petrizzo, Maria Rose/M-8672-2013; li, yong/HDN-3885-2022; li, yongxiang/GPW-6930-2022; Riquier, Laurent/AAZ-4381-2020; Lee, Eun Young/AGT-7876-2022; Brumsack, Hans-Jürgen/O-7942-2016; MacLeod, Kenneth/GWU-8940-2022; MacLeod, Kenneth Gillies/C-4042-2017; Wolfgring, Erik/HMP-6346-2023; Martinez, Mathieu/AAA-7127-2020</t>
  </si>
  <si>
    <t>Riquier, Laurent/0000-0001-5510-2061; Lee, Eun Young/0000-0001-7334-2050; MacLeod, Kenneth Gillies/0000-0002-6016-0837; Wolfgring, Erik/0000-0003-3457-2026; Martinez, Mathieu/0000-0003-0741-2940; Batenburg, Sietske J./0000-0002-4076-1248; Maritati, Alessandro/0000-0003-0587-8237</t>
  </si>
  <si>
    <t>K-IODP by the Ministry of Oceans and Fisheries; KRF program by the Ministry of Science and ICT through the NRF of Korea [2017H1D3A1A01054745]; Brian J. O'Neill Memorial Scholarship - Grzybowski Foundation; U.S. Science Support Program Post-Expedition Research Award [70GG00939]; Australian Government through the ARC LIEF Grant [LE160100067]; ECORD; IODPFrance; NERC [NE/R012261/1] Funding Source: UKRI</t>
  </si>
  <si>
    <t>K-IODP by the Ministry of Oceans and Fisheries; KRF program by the Ministry of Science and ICT through the NRF of Korea; Brian J. O'Neill Memorial Scholarship - Grzybowski Foundation; U.S. Science Support Program Post-Expedition Research Award; Australian Government through the ARC LIEF Grant; ECORD; IODPFrance; NERC(UK Research &amp; Innovation (UKRI)Natural Environment Research Council (NERC))</t>
  </si>
  <si>
    <t>This research used data and samples provided by the International Ocean Discovery Program(IODP). We thank technical staffs of IODP Expedition 369 and crew members of the JOIDES Resolution for their critical contributions, and Geoscience Australia for providing us with invaluable data. We acknowledge financial support by K-IODP by the Ministry of Oceans and Fisheries and KRF program by the Ministry of Science and ICT through the NRF of Korea (2017H1D3A1A01054745) to E.Y.L., Brian J. O'Neill Memorial Scholarship awarded by the Grzybowski Foundation to E.W., J-DESC toM.L.G.T., U.S. Science Support Program Post-Expedition Research Award (70GG00939) to D.L.H., ANZIC supported by the Australian Government through the ARC LIEF Grant (LE160100067) to C.C.W., A.M. and L.W., and ECORD and IODPFrance to L.R. and M.M. Special thanks go to Daniel Mantle and Adam Charles (MGPalaeo) for palynological analysis, to Michael Wagreich, Susanne Gier and the KBSI Gwangju Center for sample analysis, and to Yusuke Kubo, Shigako Nigi and Ryo Yamaoka of the KCC for facilitating our visit and core descriptions (Request No. 071241IODP). We thank C. Lehners and E. Gruendken from the Microbiogeochemistry group at the ICBM for sample preparation and XRF analysis. This manuscript was improved significantly from the thorough reviews of H.K.H. Olierook, two anonymous reviewers and the editorial handling of M. Santosh.</t>
  </si>
  <si>
    <t>10.1016/j.gr.2019.12.007</t>
  </si>
  <si>
    <t>LJ3RI</t>
  </si>
  <si>
    <t>WOS:000530084800001</t>
  </si>
  <si>
    <t>Król, P; Kusiak, MA; Dunkley, DJ; Wilde, SA; Yi, K; Lee, S; Kocjan, I</t>
  </si>
  <si>
    <t>Krol, Piotr; Kusiak, Monika A.; Dunkley, Daniel J.; Wilde, Simon A.; Yi, Keewook; Lee, Shinae; Kocjan, Izabela</t>
  </si>
  <si>
    <t>Diversity of Archean crust in the eastern Tula Mountains, Napier Complex, East Antarctica</t>
  </si>
  <si>
    <t>East Antarctica; Enderby Land; Napier Complex; Archean granitoids; U-Pb Geochronology; Zircon</t>
  </si>
  <si>
    <t>HIGH-TEMPERATURE METAMORPHISM; EARLY CONTINENTAL-CRUST; ITSAQ GNEISS COMPLEX; MT. RIISER-LARSEN; U-PB AGES; ENDERBY LAND; UHT METAMORPHISM; EOARCHEAN ROCKS; PLATE-TECTONICS; TRACE-ELEMENTS</t>
  </si>
  <si>
    <t>The Napier Complex of Enderby and Kemp Lands forms the north-western part of the East Antarctic Shield and consists predominantly of gneisses and granulites metamorphosed during a ca. 2.8 Ga high-grade and a ca. 2.5 Ga ultra-high temperature event. The western segment of the Napier Complex includes coastal outcrops, islands and nunataks around Amundsen and Casey Bays, and the Tula Mountains. This region records some of the highest metamorphic temperatures measured on Earth, affecting a variety of gneisses as old as ca. 3.8 Ga. Five samples of orthogneiss from the less-studied eastern Tula Mountains, including three granitic, one trondhjemitic and one dioritic gneiss, were dated by zircon U-Pb Secondary Ion Mass Spectrometry (SIMS). The three orthogneisses yield protolith ages of 3750 +/- 35 Ma (granitic), 3733 +/- 21 (trondhjemitic) Ma and 3560 +/- 42 Ma (dioritic), whereas the two other granitic orthogneisses record ages of 2903 +/- 14 Ma and 2788 +/- 24 Ma. Zircon growth during metamorphism occurred at 2826 +/- 10 Ma, and also between 2530 Ma and 2480 Ma. Samples from the Tula Mountains can be geochemically subdivided into Y-HREE-Nb-Ta depleted and undepleted groups. Eoarchean granitoids are included in both geochemical groups, as are Meso- and Neoarchean granitoids. The Y-HREE-Nb-Ta depleted granitoids can be generated by medium- to high-pressure melting of malic crust, whereas undepleted granitoids can be generated by low-pressure melting. However, relatively high potassium contents in most samples, and the presence of xenoaystic/inherited zircon in some, reflect the likely involvement of felsic crustal sources. This diversity in granitoid composition occurs across the Napier Complex. The lack of a simple correlation between protolith age and geochemical type is an indication that magmatism during the Eoarchean (and later) involved diverse sources and processes, including re-melting and recycling of various crustal components, rather than just the formation of juvenile crust. (C) 2020 International Association for Gondwana Research. Published by Elsevier B.V. All rights reserved.</t>
  </si>
  <si>
    <t>[Krol, Piotr; Kusiak, Monika A.; Kocjan, Izabela] Polish Acad Sci, Inst Geol Sci, Warsaw, Poland; [Dunkley, Daniel J.] Univ Silesia Katowice, Fac Earth Sci, Sosnowiec, Poland; [Wilde, Simon A.] Curtin Univ, Sch Earth &amp; Planetary Sci, Perth, WA, Australia; [Yi, Keewook; Lee, Shinae] Korea Basic Sci Inst KBSI, Ochang Campus, Cheongju, Chungcheongbuk, South Korea</t>
  </si>
  <si>
    <t>Polish Academy of Sciences; Institute of Geological Sciences of the Polish Academy of Sciences; University of Silesia in Katowice; Curtin University; Korea Basic Science Institute (KBSI)</t>
  </si>
  <si>
    <t>Król, P (corresponding author), Polish Acad Sci, Inst Geol Sci, Warsaw, Poland.</t>
  </si>
  <si>
    <t>piotr.krol@twarda.pan.pl</t>
  </si>
  <si>
    <t>Wilde, Simon Alexander/C-5174-2009; Yi, Keewook/R-3356-2019; Kusiak, Monika A./P-4395-2019; Kusiak, Monika A./B-7026-2015</t>
  </si>
  <si>
    <t>Wilde, Simon Alexander/0000-0002-4546-8278; Yi, Keewook/0000-0003-1331-1142; Kusiak, Monika A./0000-0003-2042-8621</t>
  </si>
  <si>
    <t>NCN [UMO2016/21/B/ST10/02067]; KBSI under the RD program [D37700]</t>
  </si>
  <si>
    <t>NCN; KBSI under the RD program</t>
  </si>
  <si>
    <t>This research was funded by a NCN grant UMO2016/21/B/ST10/02067 to MAK and was supported by KBSI under the R&amp;D program (Project No. D37700) supervised by the Ministry of Science and ICT, Korea. Samples for this study come from the legacy archive of Geoscience Australia, and were made available thanks to Chris Carson and Alix Post. We thank an anonymous reviewer for their constructive comments and Prof. T. Tsunogae for editorial handling of the manuscript. This is KBSI contribution #187.</t>
  </si>
  <si>
    <t>10.1016/j.gr.2019.12.014</t>
  </si>
  <si>
    <t>WOS:000530084800009</t>
  </si>
  <si>
    <t>Zignego, MI; Gemelli, P</t>
  </si>
  <si>
    <t>Zignego, Mario Ivan; Gemelli, Paolo</t>
  </si>
  <si>
    <t>A smart mockup for a small habitat</t>
  </si>
  <si>
    <t>INTERNATIONAL JOURNAL OF INTERACTIVE DESIGN AND MANUFACTURING - IJIDEM</t>
  </si>
  <si>
    <t>Small habitat; Habitat design; Smart structures; User experience; Simulation; Prototyping</t>
  </si>
  <si>
    <t>The aim of this paper is to propose an innovative process in small habitats design based on the use of smart material and structures. Space flights represents the extreme challenge in design for long time life support systems, nevertheless a number of analogues of space mission exists: submarines, terrestrial explorations, supertankers, mountaineering, natural and built simulators, small remote community and Antarctic winter bases. The concept proposed here is based on the use of a mockup enhanced by the utilization of smart materials and smart structures that permits to track the user experience and consequently optimize shapes, volumes, lights, color and the others characteristics. After a review of habitats users' needs and specification from the space industry, a list of recommendations for the small habitat design is proposed. This work represent a preliminary research useful to address the components of the problem: the needs of people that will use the habitat for long time (onboard submarines, ships, or other confined situation), the psycho-environmental variables to be used in the design process to achieve the well-being of crew and guest, and the related technological issues.</t>
  </si>
  <si>
    <t>[Zignego, Mario Ivan; Gemelli, Paolo] Univ Genoa, Dept Architecture &amp; Design, Genoa, Italy</t>
  </si>
  <si>
    <t>University of Genoa</t>
  </si>
  <si>
    <t>Zignego, MI (corresponding author), Univ Genoa, Dept Architecture &amp; Design, Genoa, Italy.</t>
  </si>
  <si>
    <t>zignego@arch.unige.it; gemelli@arch.unige.it</t>
  </si>
  <si>
    <t>1955-2513</t>
  </si>
  <si>
    <t>1955-2505</t>
  </si>
  <si>
    <t>INT J INTERACT DES M</t>
  </si>
  <si>
    <t>Int. J. Interact. Des. Manuf.-IJIDeM</t>
  </si>
  <si>
    <t>10.1007/s12008-019-00629-9</t>
  </si>
  <si>
    <t>Engineering, Manufacturing</t>
  </si>
  <si>
    <t>LI3TC</t>
  </si>
  <si>
    <t>WOS:000529407800010</t>
  </si>
  <si>
    <t>McLaskey, AK; Keister, JE; Yebra, L</t>
  </si>
  <si>
    <t>McLaskey, Anna K.; Keister, Julie E.; Yebra, Lidia</t>
  </si>
  <si>
    <t>Individual growth rate (IGR) and aminoacyl-tRNA synthetases (AARS) activity as individual-based indicators of growth rate of North Pacific krill, Euphausia pacifica</t>
  </si>
  <si>
    <t>ELECTRON-TRANSPORT-SYSTEM; ANTARCTIC KRILL; BODY LENGTH; SUPERBA; ZOOPLANKTON; TEMPERATURE; RESPIRATION; METABOLISM; COPEPODA; PROTEIN</t>
  </si>
  <si>
    <t>We investigated aminoacyl-tRNA synthetases (AARS) activity and individual growth rate (IGR) as individual-based in situ indicators of growth in adult krill, Euphausia pacifica. AARS enzymes catalyze the first step in protein synthesis while the IGR method is based on changes in body length during molting. Growth rates of field-collected krill were measured via the IGR method and individuals were subsequently preserved for AARS analysis to yield paired measurements. Our results show that conditions during the IGR incubation period influenced AARS activity in these individuals precluding a direct comparison but revealing the different timescales across which these two measures integrate. Importantly, they show that AARS activity provides a snap-shot image of an organism's metabolism, while IGR of krill is thought to integrate their environmental experience over several days. Each method would require repeated measurements to estimate population growth rates integrated over seasonal or generational time scales. As part of this project, we investigated how specific the AARS assay is to protein synthesis by testing a modified protocol that includes an additional blank and found evidence that the current assay may be measuring other cellular processes in addition to its intended signal. Our results suggest that a new NADH Blank might be optimized to improve the specificity of the assay.</t>
  </si>
  <si>
    <t>[McLaskey, Anna K.; Keister, Julie E.] Univ Washington, Sch Oceanog, Seattle, WA 98105 USA; [Yebra, Lidia] Ctr Oceanog Malaga, Inst Espanol Oceanog, Malaga 29640, Spain; [McLaskey, Anna K.] Univ British Columbia, Inst Oceans &amp; Fisheries, Vancouver, BC V6T 1Z4, Canada</t>
  </si>
  <si>
    <t>University of Washington; University of Washington Seattle; Spanish Institute of Oceanography; University of British Columbia</t>
  </si>
  <si>
    <t>McLaskey, AK (corresponding author), Univ Washington, Sch Oceanog, Seattle, WA 98105 USA.;McLaskey, AK (corresponding author), Univ British Columbia, Inst Oceans &amp; Fisheries, Vancouver, BC V6T 1Z4, Canada.</t>
  </si>
  <si>
    <t>a.mclaskey@oceans.ubc.ca</t>
  </si>
  <si>
    <t>Yebra, Lidia/AAV-4112-2020; Keister, Julie/AAD-5734-2019</t>
  </si>
  <si>
    <t>Yebra, Lidia/0000-0001-6399-299X; Keister, Julie/0000-0002-9385-5889; McLaskey, Anna/0000-0002-4399-6130</t>
  </si>
  <si>
    <t>Washington Ocean Acidification Center, the University of Washington School of Oceanography; National Science Foundation (NSF) Graduate Research Fellowship Program [DGE-1256082]; NSF [OCE-1657992]</t>
  </si>
  <si>
    <t>Washington Ocean Acidification Center, the University of Washington School of Oceanography; National Science Foundation (NSF) Graduate Research Fellowship Program(National Science Foundation (NSF)); NSF(National Science Foundation (NSF))</t>
  </si>
  <si>
    <t>This research was supported by the Washington Ocean Acidification Center, the University of Washington School of Oceanography, the National Science Foundation (NSF) Graduate Research Fellowship Program under Grant No. DGE-1256082 (AKM), and NSF award OCE-1657992 to JEK.</t>
  </si>
  <si>
    <t>10.1016/j.jembe.2020.151360</t>
  </si>
  <si>
    <t>WOS:000529798200005</t>
  </si>
  <si>
    <t>Haas, B; Fleming, A; McGee, J; Haward, M</t>
  </si>
  <si>
    <t>Haas, Bianca; Fleming, Aysha; McGee, Jeffrey; Haward, Marcus</t>
  </si>
  <si>
    <t>Regional fisheries organizations and sustainable development goals 13 and 14: Insights from stakeholders</t>
  </si>
  <si>
    <t>FISHERIES RESEARCH</t>
  </si>
  <si>
    <t>Fisheries management; High seas; Stakeholder perception; Sustainability</t>
  </si>
  <si>
    <t>CLIMATE-CHANGE; MANAGEMENT; GOVERNANCE; IMPACT; PARTICIPATION; LESSONS; OCEAN</t>
  </si>
  <si>
    <t>The importance of the oceans is highlighted by the United Nations Sustainable Development Goals (SDGs) through SDG 14, that aims to conserve and sustainably use the oceans, seas and marine resources for sustainable use. Regional Fisheries Organizations (RFOs) play a key role in managing fisheries on the high seas and therefore are vital for supporting the successful implementation of SDG 14. SDG 14 is intrinsically linked with SDG 13 (the need to take urgent action to combat climate change and its impacts). As biophysical impacts arise from human-induced climate change affect oceans, and fisheries therein, it is important that RFOs take account of such impacts on the management of fisheries. This paper examines the engagement of RFOs with SDG 14 and climate change through an analysis of interviews with 36 RFO stakeholders. The results show that even though there is consensus concerning the importance of climate change and SDG 14, most of the RFOs are not directly engaging with these two SDGs. However, it was stated that the work done by RFOs, to end overfishing, positively contributes to the realization of climate change and SDG 14, although the actions taken by RFOs need to increase in scale and speed if they are to fulfil their responsibility to effectively manage human impacts on ocean resources. Furthermore, member countries play a key role in supporting or resisting progress. This paper contributes to a gap in the literature concerning current perceptions of stakeholders of the issues RFOs are facing concerning the SDG 14 and climate change.</t>
  </si>
  <si>
    <t>[Haas, Bianca; McGee, Jeffrey; Haward, Marcus] Inst Marine &amp; Antarctic Studies, Private Bag 129, Hobart, Tas 7001, Australia; [Fleming, Aysha] CSIRO, Land &amp; Water Castray Esplanade, Battery Point, Tas 7004, Australia; [McGee, Jeffrey] Univ Tasmania, Fac Law, Private Bag 89, Hobart, Tas 7001, Australia; [Haas, Bianca; Fleming, Aysha; McGee, Jeffrey; Haward, Marcus] Univ Tasmania, Ctr Marine Socioecol, Private Bag 129, Hobart, Tas 7001, Australia</t>
  </si>
  <si>
    <t>University of Tasmania; Commonwealth Scientific &amp; Industrial Research Organisation (CSIRO); University of Tasmania; University of Tasmania</t>
  </si>
  <si>
    <t>Haas, B (corresponding author), Inst Marine &amp; Antarctic Studies, Private Bag 129, Hobart, Tas 7001, Australia.</t>
  </si>
  <si>
    <t>Fleming, Aysha/E-8753-2011; McGee, Jeffrey s/K-7322-2015; Haward, Marcus/G-3369-2014</t>
  </si>
  <si>
    <t>Fleming, Aysha/0000-0001-9895-1928; Haward, Marcus/0000-0003-4775-0864; Haas, Bianca/0000-0002-7322-2929</t>
  </si>
  <si>
    <t>0165-7836</t>
  </si>
  <si>
    <t>1872-6763</t>
  </si>
  <si>
    <t>FISH RES</t>
  </si>
  <si>
    <t>Fish Res.</t>
  </si>
  <si>
    <t>10.1016/j.fishres.2020.105529</t>
  </si>
  <si>
    <t>LC4PB</t>
  </si>
  <si>
    <t>WOS:000525305200014</t>
  </si>
  <si>
    <t>Kim, M; Kim, HC; Im, J; Lee, S; Han, H</t>
  </si>
  <si>
    <t>Kim, Miae; Kim, Hyun-Cheol; Im, Jungho; Lee, Sanggyun; Han, Hyangsun</t>
  </si>
  <si>
    <t>Object-based landfast sea ice detection over West Antarctica using time series ALOS PALSAR data</t>
  </si>
  <si>
    <t>Landfast sea ice; L-band SAR; ALOS PALSAR; Object correlation analysis; Machine learning</t>
  </si>
  <si>
    <t>CORRELATION IMAGE-ANALYSIS; L-BAND SAR; EAST ANTARCTICA; CLASSIFICATION; RADAR; VARIABILITY; MACHINE; COVER; SEGMENTATION; RESOLUTION</t>
  </si>
  <si>
    <t>Landfast sea ice (fast ice) is an important feature prevalent around the Antarctic coast, which is affected by climate change and energy exchanges with the atmosphere and ocean. This study proposed a method for detection of the West Antarctic fast ice using the Advanced Land Observing Satellite Phased Array L-band SAR (ALOS PALSAR) images. The algorithm has combined image segmentation, image correlation analysis, and machine learning techniques (i.e., random forest (RF), extremely randomized trees (ERT), and logistic regression (LR)). We used SAR images with a baseline of 5 days that are not in the same orbit but overlap each other as overlaps between swaths in adjacent orbits are often available in the polar regions. The underlying assumption for the proposed fast ice detection algorithm is that fast ice regions in SAR images with a time interval of 5 days are highly correlated. The object-based approach proposed in this study was well suited to high-resolution SAR images in deriving spatially homogeneous fast ice regions. The image segmentation results using the optimized parameters showed a distinct difference in the backscatter temporal evolution between fast ice and pack ice regions. Correlation and STD of backscattering coefficients were found to be the most significant variables for the object-based fast ice detection from two temporally separated images. In overall, the quantitative and qualitative evaluation demonstrated that the algorithm was an effective approach to detect fast ice with high accuracies. The models well detected various fast ice regions in the West Antarctica but misclassified some objects. The misclassifications occurred toward the edge of fast ice regions with relatively rapid changes in backscattering between both data acquisitions. On the other hand, few fast ice objects were misclassified as uniform backscattering over time occurred by chance on very small objects far from the coast. Very old multi-year fast ice regions with high backscattered signals were also a source for some misclassifications. This may be due to the sensitivity of L-band to snow structure to some extent and a thinner ice over the region with either ice growth (no deformation) or closing (slight deformation) between both images. Heavy snow load on the ice could be another error source for some misclassification as well. The approach allowed for the reliable detection of fast ice regions by using L-band SAR images with a small local incidence angle difference.</t>
  </si>
  <si>
    <t>[Kim, Miae; Im, Jungho] Ulsan Natl Inst Sci &amp; Technol, Sch Urban &amp; Environm Engn, Ulsan 44919, South Korea; [Kim, Miae] Karlsruhe Inst Technol, Inst Meteorol &amp; Climate Res, D-76128 Karlsruhe, Germany; [Kim, Miae] Karlsruhe Inst Technol, Inst Photogrammetry &amp; Remote Sensing, D-76128 Karlsruhe, Germany; [Kim, Hyun-Cheol] Korea Polar Res Inst, Unit Arctic Sea Ice Predict, Incheon 21990, South Korea; [Lee, Sanggyun] UCL, Ctr Polar Observat &amp; Modelling, Earth Sci, London WC1E 6BS, England; [Han, Hyangsun] Kangwon Natl Univ, Div Geol &amp; Geophys, Chunchon 24341, Gangwon Do, South Korea</t>
  </si>
  <si>
    <t>Ulsan National Institute of Science &amp; Technology (UNIST); Helmholtz Association; Karlsruhe Institute of Technology; Helmholtz Association; Karlsruhe Institute of Technology; Korea Polar Research Institute (KOPRI); University of London; University College London; Kangwon National University</t>
  </si>
  <si>
    <t>Im, J (corresponding author), Ulsan Natl Inst Sci &amp; Technol, Sch Urban &amp; Environm Engn, Ulsan 44919, South Korea.</t>
  </si>
  <si>
    <t>ersgis@unist.ac.kr</t>
  </si>
  <si>
    <t>Han, Hyangsun/AAE-7670-2022; Kim, Hyun-Cheol/AAP-1250-2020; Im, Jungho/K-6257-2017</t>
  </si>
  <si>
    <t>Han, Hyangsun/0000-0002-0414-519X; Kim, Hyun-Cheol/0000-0002-6831-9291; Kim, Miae/0000-0002-9805-7261; Im, Jungho/0000-0002-4506-6877</t>
  </si>
  <si>
    <t>Korea Polar Research Institute (KOPRI) [PE20080]; Korea Meteorological Administration Research and Development Program [KMIPA 2017-7010]; Space Technology Development Program through the National Research Foundation of Korea (NRF) - Ministry of Science, ICT, &amp; Future Planning [NRF-2017M1A3A3A02015981]; Ministry of Interior and Safety (MOIS), Korea [2019-MOIS32-015]</t>
  </si>
  <si>
    <t>Korea Polar Research Institute (KOPRI); Korea Meteorological Administration Research and Development Program(Korea Meteorological Administration (KMA)); Space Technology Development Program through the National Research Foundation of Korea (NRF) - Ministry of Science, ICT, &amp; Future Planning(National Research Foundation of Korea); Ministry of Interior and Safety (MOIS), Korea</t>
  </si>
  <si>
    <t>This study was supported by the Korea Polar Research Institute (KOPRI) grant PE20080 (Study on remote sensing for quantitative analysis of changes in the Arctic cryosphere), by the Korea Meteorological Administration Research and Development Program under Grant KMIPA 2017-7010, by the Space Technology Development Program through the National Research Foundation of Korea (NRF) funded by the Ministry of Science, ICT, &amp; Future Planning (NRF-2017M1A3A3A02015981) and by Ministry of Interior and Safety (MOIS), Korea (2019-MOIS32-015). Special thanks to Dr. Wolfgang Dierking for valuable discussion of the research findings.</t>
  </si>
  <si>
    <t>10.1016/j.rse.2020.111782</t>
  </si>
  <si>
    <t>WOS:000523965600019</t>
  </si>
  <si>
    <t>Souza, JS; Padilha, JA; Pessoa, ARL; do Sul, JAI; Alves, MAS; Lobo-Hajdu, G; Malm, O; Costa, ES; Torres, JPM</t>
  </si>
  <si>
    <t>Souza, J. S.; Padilha, J. A.; Pessoa, A. R. L.; do Sul, J. A. Ivar; Alves, M. A. S.; Lobo-Hajdu, G.; Malm, O.; Costa, E. S.; Torres, J. P. M.</t>
  </si>
  <si>
    <t>Trace elements in feathers of Cape Petrel (Daption capense) from Antarctica</t>
  </si>
  <si>
    <t>Procellariiformes; Sex identification; Mercury; Marine pollution; Non-invasive sample</t>
  </si>
  <si>
    <t>MERCURY LEVELS; HEAVY-METAL; TROPHIC POSITION; SEX; SELENIUM; CADMIUM; SEABIRDS; FOOD; ACCUMULATION; ISLAND</t>
  </si>
  <si>
    <t>The Cape petrel (Daption capense) has circumpolar distribution and potential to be used as sentinels of trace elements levels in the Antarctic environment. This study measured trace elements in carcass feathers (n = 30) of this yet under-studied Procellariiform species, in King George Island, Antarctica. This non-invasive sampling method was useful for quantifying mercury (Hg), cadmium (Cd), selenium (Se), and to perform the sex identification of birds. There were no significant differences between males and females for Hg (mean +/- SD, 973 +/- 930 ng g(-1); 977 +/- 570 ng g(-1)) and Se (3919 +/- 637 ng g(-1); 3782 +/- 799 ng g(-1)), levels but males had significantly lower Cd levels than females (101 +/- 76 ng g(-1); 293 +/- 251 ng g(-1)), respectively. Hg concentration in D. capense is lower than other Procellariiformes which indicate interspecific variations that may be related to their proximity to pollution sources. The reason for males having significantly lower Cd levels than females is unknown. This opportunistic and non-invasive sampling strategy can be useful in the environmental monitoring of the trace elements in polar environments.</t>
  </si>
  <si>
    <t>[Souza, J. S.; Padilha, J. A.; Pessoa, A. R. L.; Malm, O.; Torres, J. P. M.] Univ Fed Rio de Janeiro, Inst Biofis Carlos Chagas Filho, Lab Radioisotopos Eduardo Penna Franca, Av Carlos Chagas Filho,373 CCS,Bloco G,Sala G0-61, BR-21941902 Rio De Janeiro, RJ, Brazil; [Souza, J. S.] Adam Mickiewicz Univ, Fac Chem, Dept Analyt Chem, Uniwersytetu Poznanskiego 8, PL-61614 Poznan, Poland; [Souza, J. S.; Alves, M. A. S.] Univ Estado Rio de Janeiro, Dept Ecol, Lab Ecol Aves, Rua Sao Francisco Xavier 524, BR-20550011 Rio De Janeiro, RJ, Brazil; [do Sul, J. A. Ivar] Leibniz Inst Baltic Sea Res, Seestr 15, D-18119 Rostock, Germany; [Lobo-Hajdu, G.] Univ Estado Rio de Janeiro, Lab Genet Marinha, Dept Genet, Rua Sao Francisco Xavier 524, BR-20550013 Rio De Janeiro, RJ, Brazil; [Costa, E. S.] Univ Estadual Rio Grande do Sul, Programa Posgrad Ambiente &amp; Sustentabilidade, Unidade Univ Hortensias, Rua Assis Brasil 842, BR-95400000 Sao Francisco De Paula, RS, Brazil</t>
  </si>
  <si>
    <t>Universidade Federal do Rio de Janeiro; Adam Mickiewicz University; Universidade do Estado do Rio de Janeiro; Leibniz Institut fur Ostseeforschung Warnemunde; Universidade do Estado do Rio de Janeiro; Universidade Estadual do Rio Grande do Sul (UERGS)</t>
  </si>
  <si>
    <t>Souza, JS (corresponding author), Univ Fed Rio de Janeiro, Inst Biofis Carlos Chagas Filho, Lab Radioisotopos Eduardo Penna Franca, Av Carlos Chagas Filho,373 CCS,Bloco G,Sala G0-61, BR-21941902 Rio De Janeiro, RJ, Brazil.;Souza, JS (corresponding author), Adam Mickiewicz Univ, Fac Chem, Dept Analyt Chem, Uniwersytetu Poznanskiego 8, PL-61614 Poznan, Poland.;Souza, JS (corresponding author), Univ Estado Rio de Janeiro, Dept Ecol, Lab Ecol Aves, Rua Sao Francisco Xavier 524, BR-20550011 Rio De Janeiro, RJ, Brazil.</t>
  </si>
  <si>
    <t>julianasouzabiologia@gmail.com</t>
  </si>
  <si>
    <t>de Assis Padilha, Janeide/S-1115-2016; Rodrigues de Lira Pessoa, Adriana/HMV-6030-2023; Alves, Maria Alice S./B-3548-2013; Lobo-Hajdu, Gisele/A-6709-2008; torres, joao/AAI-8390-2021</t>
  </si>
  <si>
    <t>de Assis Padilha, Janeide/0000-0002-1901-5822; Lobo-Hajdu, Gisele/0000-0001-7792-9609; torres, joao/0000-0002-2510-1612; A. IVAR DO SUL, JULIANA/0000-0003-0851-3559; de Lira Pessoa, Adriana/0000-0002-0806-5541; Malm, Olaf/0000-0002-4116-7160; Alves, Maria Alice S./0000-0002-0622-270X; Souza-Kasprzyk, Juliana/0000-0003-2307-8006</t>
  </si>
  <si>
    <t>National Council for Scientific and Technological Development (CNPq/MCT) [557049/2009-1]; Rio de Janeiro State Foundation of Support for Research (FAPERJ); CNPq [305798/2014-6]; FAPERJ [E-26/203191/2015]</t>
  </si>
  <si>
    <t>National Council for Scientific and Technological Development (CNPq/MCT)(Conselho Nacional de Desenvolvimento Cientifico e Tecnologico (CNPQ)Fundacao de Apoio a Pesquisa do Distrito Federal (FAPDF)); Rio de Janeiro State Foundation of Support for Research (FAPERJ)(Fundacao Carlos Chagas Filho de Amparo a Pesquisa do Estado do Rio De Janeiro (FAPERJ)); CNPq(Conselho Nacional de Desenvolvimento Cientifico e Tecnologico (CNPQ)); FAPERJ(Fundacao Carlos Chagas Filho de Amparo a Pesquisa do Estado do Rio De Janeiro (FAPERJ))</t>
  </si>
  <si>
    <t>The authors thank the National Council for Scientific and Technological Development (CNPq/MCT: 557049/2009-1), the Rio de Janeiro State Foundation of Support for Research (FAPERJ) for project funding and the Brazilian Antarctic Program (PROANTAR). Dra. Daniele Kasper (UFRJ) for reviewing a draft of the manuscript and Dr. Peter Convey (BAS) for language-editing the last version of this manuscript are acknowledged. J. Souza, A. Pessoa and J. Padilha thank CNPq for their scholarships. M. Alves also thanks CNPq (#305798/2014-6) and FAPERJ (# E-26/203191/2015) for funding. All samples were collected with the permission of the PROANTAR and PROANTAR Environmental Assessment Group (GAAm), coordinated by the Brazilian Ministry of Environment.</t>
  </si>
  <si>
    <t>10.1007/s00300-020-02683-6</t>
  </si>
  <si>
    <t>MAY 2020</t>
  </si>
  <si>
    <t>WOS:000536750100001</t>
  </si>
  <si>
    <t>Short, S; Díaz, R; Quiñones, J; Beltrán, J; Farías, JG; Graether, SP; Bravo, LA</t>
  </si>
  <si>
    <t>Short, Stefania; Diaz, Rommy; Quinones, John; Beltran, Jorge; Farias, Jorge G.; Graether, Steffen P.; Bravo, Leon A.</t>
  </si>
  <si>
    <t>Effect of in vitro cold acclimation of Deschampsia antarctica on the accumulation of proteins with antifreeze activity</t>
  </si>
  <si>
    <t>JOURNAL OF EXPERIMENTAL BOTANY</t>
  </si>
  <si>
    <t>Antifreeze proteins; apoplastic extracts; cold acclimation; Deschampsia antarctica; ice recrystallization inhibition; thermal hysteresis</t>
  </si>
  <si>
    <t>ICE RECRYSTALLIZATION INHIBITION; VASCULAR PLANTS; STRUCTURING PROTEINS; FROZEN; GROWTH</t>
  </si>
  <si>
    <t>Deschampsia antarctica has managed to colonize the maritime Antarctic. One of the main factors associated with its tolerance to low temperatures is the presence of apoplastic proteins with antifreeze activity. This work focuses on the effect of cold acclimation of D. antarctica on the accumulation of apoplastic proteins with antifreeze activity. Antifreeze proteins present in apoplastic extracts were purified by ice affinity purification, and their identity was determined by protein sequencing. D. antarctica plants were subjected to 22 days of cold acclimation at 4 degrees C. The highest content of apoplastic proteins with antifreeze activity was obtained at between 12 and 16 days of acclimation. Protein sequencing allowed their identification with &gt;95% probability. Percentage coverage was 74% with D. antarctica ice recrystallization inhibition protein 1 (DaIRIP1) and 55% with DaIRIP3. Cold acclimation of D. antarctica improved the yield of apoplastic proteins, and resulted in an increase in the antifreeze activity of apoplastic extracts. An in silico analysis suggested that the fluctuations presented by the three-dimensional structures of DaIRIPs help to explain the presence of certain DaIRIPs in apoplastic extracts under the cold acclimation conditions evaluated.</t>
  </si>
  <si>
    <t>[Short, Stefania; Quinones, John; Beltran, Jorge; Farias, Jorge G.] Univ La Frontera, Dept Chem Engn, Ave Francisco Salazar 01145, Temuco 4811230, Chile; [Diaz, Rommy] Univ La Frontera, Dept Basic Sci, Ave Francisco Salazar 01145, Temuco 4811230, Chile; [Graether, Steffen P.] Univ Guelph, Dept Mol &amp; Cellular Biol, 50 Stone Rd E, Guelph, ON N1G 2W1, Canada; [Bravo, Leon A.] Univ La Frontera, Dept Agron Sci &amp; Nat Resources, Ave Francisco Salazar 01145, Temuco 4811230, Chile</t>
  </si>
  <si>
    <t>Universidad de La Frontera; Universidad de La Frontera; University of Guelph; Universidad de La Frontera</t>
  </si>
  <si>
    <t>Bravo, LA (corresponding author), Univ La Frontera, Dept Agron Sci &amp; Nat Resources, Ave Francisco Salazar 01145, Temuco 4811230, Chile.</t>
  </si>
  <si>
    <t>leon.bravo@ufrontera.cl</t>
  </si>
  <si>
    <t>Bravo, León/AAO-8437-2020; Graether, Steffen P./AFU-0892-2022; Farias, Jorge G./H-4119-2018; Quiñones, John/AAV-3084-2021; Graether, Steffen P./AAR-8849-2021</t>
  </si>
  <si>
    <t>Bravo, León/0000-0003-4705-4842; Graether, Steffen P./0000-0002-2356-3936; Farias, Jorge G./0000-0001-7660-9603; Graether, Steffen P./0000-0002-2356-3936; Quinones Diaz, John/0000-0002-5353-3084</t>
  </si>
  <si>
    <t>FONDECYT projects [1180387, 1151173]; NSERC [2016-04253]; CONICYT National Doctorate Scholarships [21150278]; Canada Chile Leadership Exchange Scholarships Program; Postdoctoral project FONDECYT [3190287]; NEXER [NXR17-0002]</t>
  </si>
  <si>
    <t>FONDECYT projects(Comision Nacional de Investigacion Cientifica y Tecnologica (CONICYT)CONICYT FONDECYT); NSERC(Natural Sciences and Engineering Research Council of Canada (NSERC)); CONICYT National Doctorate Scholarships; Canada Chile Leadership Exchange Scholarships Program; Postdoctoral project FONDECYT(Comision Nacional de Investigacion Cientifica y Tecnologica (CONICYT)CONICYT FONDECYT); NEXER</t>
  </si>
  <si>
    <t>This work was financially supported by FONDECYT projects 1180387 (to JGF) and 1151173 (to LAB), NEXER (NXR17-0002) (to LAB), NSERC Discovery grant (2016-04253) (to SPG), CONICYT National Doctorate Scholarships no. 21150278 (to SS), and the Canada Chile Leadership Exchange Scholarships Program (to SS). We would like to acknowledge Postdoctoral project FONDECYT no. 3190287. We would like to thank the Department of Molecular and Cellular Biology, University of Guelph, Canada, and the Department of Food Science, University of Guelph, Canada, for providing access to their equipment.</t>
  </si>
  <si>
    <t>0022-0957</t>
  </si>
  <si>
    <t>1460-2431</t>
  </si>
  <si>
    <t>J EXP BOT</t>
  </si>
  <si>
    <t>J. Exp. Bot.</t>
  </si>
  <si>
    <t>MAY 30</t>
  </si>
  <si>
    <t>10.1093/jxb/eraa071</t>
  </si>
  <si>
    <t>LV9TT</t>
  </si>
  <si>
    <t>WOS:000538790700011</t>
  </si>
  <si>
    <t>Howgego, J</t>
  </si>
  <si>
    <t>Howgego, Joshua</t>
  </si>
  <si>
    <t>Lost meteorites of the Antarctic</t>
  </si>
  <si>
    <t>NEW SCIENTIST</t>
  </si>
  <si>
    <t>NEW SCIENTIST LTD</t>
  </si>
  <si>
    <t>25 BEDFORD ST, LONDON, ENGLAND</t>
  </si>
  <si>
    <t>0262-4079</t>
  </si>
  <si>
    <t>NEW SCI</t>
  </si>
  <si>
    <t>New Sci.</t>
  </si>
  <si>
    <t>LU2LU</t>
  </si>
  <si>
    <t>WOS:000537592000030</t>
  </si>
  <si>
    <t>Izaguirre, I; Allende, L; Schiaffino, MR</t>
  </si>
  <si>
    <t>Izaguirre, Irina; Allende, Luz; Romina Schiaffino, M.</t>
  </si>
  <si>
    <t>Phytoplankton in Antarctic lakes: biodiversity and main ecological features</t>
  </si>
  <si>
    <t>Phytoplankton; Antarctic lakes; Extreme environments; Diversity and ecology; Review</t>
  </si>
  <si>
    <t>FRESH-WATER ECOSYSTEMS; TEMPORAL PLANKTON DYNAMICS; MCMURDO DRY VALLEYS; KING-GEORGE ISLAND; HOPE BAY; CIERVA POINT; MICROBIAL COMMUNITY; LIVINGSTON ISLAND; TROPHIC STATUS; BACTERIOPLANKTON COMMUNITY</t>
  </si>
  <si>
    <t>Antarctica holds a great number of inland lakes whose characteristics vary from ultra-oligotrophic to hypereutrophic, and from freshwater to hypersaline. The harsh conditions in these ecosystems (extremely low temperatures, large annual variation in solar radiation, light limitation below the ice) account for adaptive strategies of the selected phytoplankton species; some of them are mixotrophy, formation of resistant cysts, starch accumulation, pigment adaptation and motility. Algal richness is comparatively lower than in other parts of the world, although molecular studies are now revealing a biodiversity much higher than that previously based on morphological identifications. Many lakes are permanently stratified, such as perennially ice-covered or saline meromictic, whereas shallow lakes in coastal regions are usually ice-free in summer, accounting for contrasting patterns in their phytoplankton temporal dynamics. Simple and short food webs are characteristic of Antarctic lakes, where phytoplankton fraction &gt; 2 mu m is usually dominated by nanoflagellates. In this review, we provide an overview of the current knowledge about phytoplankton of Antarctic lakes, including information on biodiversity (morphological-based, functional and molecular), and the main ecological aspects (colonization, endemism, ecological strategies, temporal dynamics, biotic interactions). We compared ecosystems of different trophic status and from Continental and Maritime Antarctica, including own data from manipulative experiments.</t>
  </si>
  <si>
    <t>[Izaguirre, Irina] Univ Buenos Aires, Fac Ciencias Exactas &amp; Nat, Dept Ecol Genet Evoluc IEGEBA UBA CONICET, Buenos Aires, DF, Argentina; [Allende, Luz] Univ Nacl Gen Sarmiento, Inst Conurbano, Consejo Nacl Invest Cient &amp; Tecn CONICET, Buenos Aires, Buenos Aires, Argentina; [Romina Schiaffino, M.] Univ Nacl Noroeste Prov Buenos Aires, Dept Ciencias Basicas &amp; Expt, Buenos Aires, Junin, Argentina; [Romina Schiaffino, M.] UNNOBA UNSAdA CONICET, Ctr Invest &amp; Transferencia Noroeste Prov Buenos A, Buenos Aires, DF, Argentina</t>
  </si>
  <si>
    <t>University of Buenos Aires; Consejo Nacional de Investigaciones Cientificas y Tecnicas (CONICET); Universidad Nacional del Noroeste de la Provincia de Buenos Aires</t>
  </si>
  <si>
    <t>Izaguirre, I (corresponding author), Univ Buenos Aires, Fac Ciencias Exactas &amp; Nat, Dept Ecol Genet Evoluc IEGEBA UBA CONICET, Buenos Aires, DF, Argentina.</t>
  </si>
  <si>
    <t>iri@ege.fcen.uba.ar</t>
  </si>
  <si>
    <t>Schiaffino, Maria Romina/0000-0002-9383-2003</t>
  </si>
  <si>
    <t>ANPCYT (Agencia Nacional de Promociones Cientificas y Tecnicas) [FONCYT/PICT 04440, PICT 32732]; ANPCYT (Spanish Project Mixantar) [REN2002-11396-E/ANT]</t>
  </si>
  <si>
    <t>ANPCYT (Agencia Nacional de Promociones Cientificas y Tecnicas); ANPCYT (Spanish Project Mixantar)(ANPCyT)</t>
  </si>
  <si>
    <t>The own data reported in this review was obtained during several Antarctic campaigns from 1991 to 2007. Many grants have supported our investigations, among them: ANPCYT (Agencia Nacional de Promociones Cientificas y Tecnicas, FONCYT/PICT 04440; PICT 32732; Spanish Project Mixantar (REN2002-11396-E/ANT). We thank the logistic support given by the Direccion Nacional del Antartico from Argentina during the different Antarctic campaigns. We also wish to thank the Editors for inviting us to contribute to this special issue as homage to Dr. Colin Reynolds, undoubtedly one of the most prominent specialists in phytoplankton ecology, who has left us an enormous legacy. We also thank the valuable corrections and comments of the anonymous reviewers that contribute to improve this paper.</t>
  </si>
  <si>
    <t>10.1007/s10750-020-04306-x</t>
  </si>
  <si>
    <t>PA1MX</t>
  </si>
  <si>
    <t>WOS:000536454400001</t>
  </si>
  <si>
    <t>Quillfeldt, P; Weimerskirch, H; Delord, K; Cherel, Y</t>
  </si>
  <si>
    <t>Quillfeldt, Petra; Weimerskirch, Henri; Delord, Karine; Cherel, Yves</t>
  </si>
  <si>
    <t>Niche switching and leapfrog foraging: movement ecology of sympatric petrels during the early breeding season</t>
  </si>
  <si>
    <t>Breeding schedule; Central-place forager; Foraging ecology; Tracking</t>
  </si>
  <si>
    <t>FEEDING ECOLOGY; HALOBAENA-CAERULEA; DELTA-N-15 VALUES; ACTIVITY PATTERNS; STABLE-ISOTOPES; ILES-KERGUELEN; SEABIRD; PREDATORS; SEGREGATION; PLASTICITY</t>
  </si>
  <si>
    <t>Background The timing of events in the early part of the breeding season is crucially important for successful reproduction. Long-lived animals that migrate large distances independently of each other meet at the breeding sites to re-establish their pair bonds and coordinate their breeding duties with their partners. Methods Using miniature light-geolocation and immersion data together with blood stable isotopes, we studied the early breeding season in Thin-billed prions Pachyptila belcheri, Antarctic prions P. desolata and Blue petrels Halobaena caerulea breeding at Kerguelen Islands in the Indian Ocean. These three species exhibit differences in their winter habitat and timing of migration, moult and breeding. We hypothesised that these differences would influence their behaviour during the early breeding season. Results In line with our hypothesis, we found clear differences not only in the timing of colony attendance, but also in the time budgets while at sea and in habitat use. Both early breeding Blue petrels and late breeding Antarctic prions spent about 8 h per day in flight and 15 h foraging. In comparison, Thin-billed prions, which breed in mid-summer, spent less time (5 h daily) in flight and more time (18 h daily) foraging, thus maximizing the time spent foraging during the longest daylight days of the year. While the ecological habitat parameters (sea temperature, wind, productivity) of Thin-billed prions and Blue petrels were relatively stable throughout the year, Antarctic prions showed clear niche switching, caused by leapfrogging between the northernmost winter distribution to the southernmost distribution during the early breeding season. Blood stable isotopes confirmed the habitat switch between the inter-breeding and early breeding periods and highlighted trophic segregation with Blue petrels feeding more on fish and Antarctic petrels more on crustaceans during the early breeding period. Conclusion We found that the three sympatric petrel species segregated in time and space, both in the winter and the early breeding season. The interplay of timing and distribution meant that the three species show the full range of migratory strategies, from niche-tracking Blue petrels to niche-switching Antarctic prions. The latitudinal distribution resembled the leapfrogging of terrestrial avian migrant species or populations.</t>
  </si>
  <si>
    <t>[Quillfeldt, Petra] Justus Liebig Univ Giessen, Dept Anim Ecol &amp; Systemat, Heinrich Buff Ring 26, D-35392 Giessen, Germany; [Weimerskirch, Henri; Delord, Karine; Cherel, Yves] La Rochelle Univ, CNRS, UMR 7372, Ctr Etud Biol Chize, F-79360 Villiers En Bois, France</t>
  </si>
  <si>
    <t>Justus Liebig University Giessen; Centre National de la Recherche Scientifique (CNRS); CNRS - Institute of Ecology &amp; Environment (INEE)</t>
  </si>
  <si>
    <t>Quillfeldt, P (corresponding author), Justus Liebig Univ Giessen, Dept Anim Ecol &amp; Systemat, Heinrich Buff Ring 26, D-35392 Giessen, Germany.</t>
  </si>
  <si>
    <t>Petra.Quillfeldt@bio.uni-giessen.de</t>
  </si>
  <si>
    <t>Weimerskirch, Henri/F-5562-2013; Quillfeldt, Petra/A-9549-2009</t>
  </si>
  <si>
    <t>Cherel, Yves/0000-0001-9469-9489; Quillfeldt, Petra/0000-0002-4450-8688</t>
  </si>
  <si>
    <t>German Science Foundation DFG [Qu 148/1ff]; Institut Polaire Francais Paul Emile Victor [109]</t>
  </si>
  <si>
    <t>German Science Foundation DFG(German Research Foundation (DFG)); Institut Polaire Francais Paul Emile Victor</t>
  </si>
  <si>
    <t>This work was supported by grants provided by the German Science Foundation DFG (Qu 148/1ff). Fieldwork at Kerguelen was supported by the Institut Polaire Francais Paul Emile Victor (Programme No109, HW).</t>
  </si>
  <si>
    <t>MAY 29</t>
  </si>
  <si>
    <t>10.1186/s40462-020-00212-y</t>
  </si>
  <si>
    <t>LU8GR</t>
  </si>
  <si>
    <t>WOS:000537987500002</t>
  </si>
  <si>
    <t>Amory, C</t>
  </si>
  <si>
    <t>Amory, Charles</t>
  </si>
  <si>
    <t>Drifting-snow statistics from multiple-year autonomous measurements in Adelie Land, East Antarctica</t>
  </si>
  <si>
    <t>SURFACE MASS-BALANCE; BLOWING SNOW; SNOWDRIFT SUBLIMATION; STATION; TRANSPORT; CLIMATE; SENSOR</t>
  </si>
  <si>
    <t>Drifting snow is a widespread feature over the Antarctic ice sheet, whose climatological and hydrological significance at the continental scale have been consequently investigated through modelling and satellite approaches. While field measurements are needed to evaluate and interpret model and satellite products, most drifting-snow observation campaigns in Antarctica involved data collected at a single location and over short time periods. With the aim of acquiring new data relevant to the observation and modelling of drifting snow in Antarctic conditions, two remote locations in coastal Adelie Land (East Antarctica) that are 100 km apart were instrumented in January 2010 with meteorological and second-generation JAY Engineering acoustic FlowCapt (TM) sensors. The data, provided nearly continuously so far, constitute the longest dataset of autonomous near-surface (i.e. within 2 m) measurements of drifting snow currently available over the Antarctic continent. This paper presents an assessment of drifting-snow occurrences and snow mass transport from up to 9 years (2010-2018) of half-hourly observational records collected in one of the Antarctic regions most prone to snow transport by wind. The dataset is freely available to the scientific community and can be used to complement satellite products and evaluate snow-transport models close to the surface and at high temporal frequency.</t>
  </si>
  <si>
    <t>[Amory, Charles] Univ Liege, Dept Geog, Liege, Belgium</t>
  </si>
  <si>
    <t>University of Liege</t>
  </si>
  <si>
    <t>Amory, C (corresponding author), Univ Liege, Dept Geog, Liege, Belgium.</t>
  </si>
  <si>
    <t>charles.amory@uliege.be</t>
  </si>
  <si>
    <t>Amory, Charles/0000-0002-5906-4303</t>
  </si>
  <si>
    <t>French Polar Institute IPEV [CALVA-1013]</t>
  </si>
  <si>
    <t>French Polar Institute IPEV</t>
  </si>
  <si>
    <t>This work would not have been possible without the financial and logistical support of the French Polar Institute IPEV (programme CALVA-1013). The author would like to thank all the on-site personnel in Dumont d'Urville and Cap Prud'homme for their precious help in the field, in particular Philippe Dordhain for electronic and technical support. Luc Piard, Christophe Genthon and Vincent Favier are also acknowledged for their investment in collecting data and maintaining the observation system in Adelie Land. The author thanks Christoph Kittel, Stephen P. Palm and two anonymous reviewers for providing many constructive comments. Charles Amory is a postdoctoral researcher from the Fonds de la Recherche Scientifique de Belgique (F.R.S.-FNRS).</t>
  </si>
  <si>
    <t>10.5194/tc-14-1713-2020</t>
  </si>
  <si>
    <t>LU5QJ</t>
  </si>
  <si>
    <t>WOS:000537809500002</t>
  </si>
  <si>
    <t>Dowdeswell, JA; Batchelor, CL; Montelli, A; Ottesen, D; Christie, FDW; Dowdeswell, EK; Evans, J</t>
  </si>
  <si>
    <t>Dowdeswell, J. A.; Batchelor, C. L.; Montelli, A.; Ottesen, D.; Christie, F. D. W.; Dowdeswell, E. K.; Evans, J.</t>
  </si>
  <si>
    <t>Delicate seafloor landforms reveal past Antarctic grounding-line retreat of kilometers per year</t>
  </si>
  <si>
    <t>SCALE GLACIAL LINEATIONS; PINE ISLAND BAY; ICE-SHEET; WEST ANTARCTICA; ZONE WEDGES; CORRUGATION RIDGES; SHELF; STREAM; SEDIMENTATION; PENINSULA</t>
  </si>
  <si>
    <t>A suite of grounding-line landforms on the Antarctic seafloor, imaged at submeter horizontal resolution from an autonomous underwater vehicle, enables calculation of ice sheet retreat rates from a complex of grounding-zone wedges on the Larsen continental shelf, western Weddell Sea. The landforms are delicate sets of up to 90 ridges, &lt;1.5 meters high and spaced 20 to 25 meters apart. We interpret these ridges as the product of squeezing up of soft sediment during the rise and fall of the retreating ice sheet grounding line during successive tidal cycles. Grounding-line retreat rates of 40 to 50 meters per day (&gt;10 kilometers per year) are inferred during regional deglaciation of the Larsen shelf. If repeated today, such rapid mass loss to the ocean would have clear implications for increasing the rate of global sea level rise.</t>
  </si>
  <si>
    <t>[Dowdeswell, J. A.; Batchelor, C. L.; Montelli, A.; Christie, F. D. W.; Dowdeswell, E. K.] Univ Cambridge, Scott Polar Res Inst, Cambridge, England; [Batchelor, C. L.] Norwegian Univ Sci &amp; Technol, Trondheim, Norway; [Ottesen, D.] Geol Survey Norway, Trondheim, Norway; [Evans, J.] Loughborough Univ, Dept Geog, Loughborough, Leics, England</t>
  </si>
  <si>
    <t>University of Cambridge; Norwegian University of Science &amp; Technology (NTNU); Geological Survey of Norway; Loughborough University</t>
  </si>
  <si>
    <t>Dowdeswell, JA (corresponding author), Univ Cambridge, Scott Polar Res Inst, Cambridge, England.</t>
  </si>
  <si>
    <t>jd16@cam.ac.uk</t>
  </si>
  <si>
    <t>Christie, Frazer/AAI-2435-2021; Batchelor, Christine/JCN-7543-2023</t>
  </si>
  <si>
    <t>Christie, Frazer/0000-0002-7378-4243; Dowdeswell, Evelyn/0000-0001-9256-8776; Dowdeswell, Julian/0000-0003-1369-9482</t>
  </si>
  <si>
    <t>Flotilla Foundation; Marine Archaeology Consultants Switzerland</t>
  </si>
  <si>
    <t>This research was funded by the Flotilla Foundation and Marine Archaeology Consultants Switzerland. The AUV and associated technical support were provided by Ocean Infinity and Deep Ocean Search. During this work, C.L.</t>
  </si>
  <si>
    <t>10.1126/science.aaz3059</t>
  </si>
  <si>
    <t>LV3IK</t>
  </si>
  <si>
    <t>WOS:000538332600050</t>
  </si>
  <si>
    <t>Kachuck, SB; Martin, DF; Bassis, JN; Price, SF</t>
  </si>
  <si>
    <t>Kachuck, S. B.; Martin, D. F.; Bassis, J. N.; Price, S. F.</t>
  </si>
  <si>
    <t>Rapid Viscoelastic Deformation Slows Marine Ice Sheet Instability at Pine Island Glacier</t>
  </si>
  <si>
    <t>marine ice sheet instability; solid Earth feedback; glacial isostatic adjustment; mantle rheology; West Antarctica; Pine Island Glacier</t>
  </si>
  <si>
    <t>SOLID-EARTH RESPONSE; SEA-LEVEL RISE; WEST ANTARCTICA; RADAR INTERFEROMETRY; THWAITES GLACIERS; BEDROCK UPLIFT; MASS-LOSS; RETREAT; MODEL; SENSITIVITY</t>
  </si>
  <si>
    <t>The ice sheets of the Amundsen Sea Embayment (ASE) are vulnerable to the marine ice sheet instability (MISI), which could cause irreversible collapse and raise sea levels by over a meter. The uncertain timing and scale of this collapse depend on the complex interaction between ice, ocean, and bedrock dynamics. The mantle beneath the ASE is likely less viscous (similar to 10(18) Pa s) than the Earth's average mantle (similar to 10(21) Pa s). Here we show that an effective equilibrium between Pine Island Glacier's retreat and the response of a weak viscoelastic mantle can reduce ice mass lost by almost 30% over 150 years. Other components of solid Earth response-purely elastic deformations and geoid perturbations-provide less stability than the viscoelastic response alone. Uncertainties in mantle rheology, topography, and basal melt affect how much stability we expect, if any. Our study indicates the importance of considering viscoelastic uplift during the rapid retreat associated with MISI. Plain Language Summary Portions of the West Antarctic Ice Sheet are vulnerable to an instability that coul lead to rapid ice sheet collapse, significantly raising sea levels, but the timing and rates of collapse are highly uncertain. In response to such a large-scale loss of overlying ice, viscoelastically deforming mantle material uplifts the surface, alleviating some drivers of unstable ice sheet retreat. While previous studies have focused on the effects mantle deformation has on continental ice dynamics over centuries to millennia, recent seismic observations suggest that the mantle beneath West Antarctica is hot and weak, potentially affecting local glacial dynamics over timescales as short as decades. To measure the importance of viscoelastic uplift in stabilizing grounding line retreat, we coupled a high-resolution ice flow model to a viscoelastically deforming mantle. We find that rapid viscoelastic uplift can reduce the total volume of ice lost over 150 years by 30%, or 18 mm of equivalent sea level rise, making it an essential process to consider when using models to project the future evolution of marine-based ice retreat.</t>
  </si>
  <si>
    <t>[Kachuck, S. B.; Bassis, J. N.] Univ Michigan, Climate &amp; Space Sci &amp; Engn, Ann Arbor, MI 48109 USA; [Martin, D. F.] Lawrence Berkeley Natl Lab, Appl Numer Algorithms Grp, Berkeley, CA USA; [Price, S. F.] Los Alamos Natl Lab, Fluid Dynam &amp; Solid Mech Grp, Los Alamos, NM USA</t>
  </si>
  <si>
    <t>University of Michigan System; University of Michigan; United States Department of Energy (DOE); Lawrence Berkeley National Laboratory; United States Department of Energy (DOE); Los Alamos National Laboratory</t>
  </si>
  <si>
    <t>Kachuck, SB (corresponding author), Univ Michigan, Climate &amp; Space Sci &amp; Engn, Ann Arbor, MI 48109 USA.</t>
  </si>
  <si>
    <t>skachuck@umich.edu</t>
  </si>
  <si>
    <t>Bassis, Jeremy/ABB-8628-2021; Price, Stephen/E-1568-2013</t>
  </si>
  <si>
    <t>Bassis, Jeremy/0000-0003-2946-7176; Martin, Daniel/0000-0003-4488-2538; Kachuck, Samuel/0000-0002-8708-8425; Price, Stephen/0000-0001-6878-2553</t>
  </si>
  <si>
    <t>Scientific Discovery through Advanced Computing (SciDAC) program - U.S. Department of Energy (DOE), Office of Science, Biological and Environmental Research program; Scientific Discovery through Advanced Computing (SciDAC) program - U.S. Department of Energy (DOE), Office of Science, Advanced Scientific Computing Research program; NSFPLR-NERC Grant, as part of the International Thwaites Glacier Collaboration's (ITGC) DOMINOS project [1738896]; Office of Science, Office of Advanced Scientific Computing Research (ASCR), of the U.S. Department of Energy, as a part of the ProSPect SciDAC Partnership [DE-AC02-05CH11231]; Office of Science, Office of Biological and Environmental Research (BER), of the U.S. Department of Energy, as a part of the ProSPect SciDAC Partnership [DE-AC02-05CH11231]; Office of Science of the U.S. Department of Energy [DE-AC02-05CH11231]; Directorate For Geosciences [1738896] Funding Source: National Science Foundation; Office of Polar Programs (OPP) [1738896] Funding Source: National Science Foundation</t>
  </si>
  <si>
    <t>Scientific Discovery through Advanced Computing (SciDAC) program - U.S. Department of Energy (DOE), Office of Science, Biological and Environmental Research program(United States Department of Energy (DOE)); Scientific Discovery through Advanced Computing (SciDAC) program - U.S. Department of Energy (DOE), Office of Science, Advanced Scientific Computing Research program(United States Department of Energy (DOE)); NSFPLR-NERC Grant, as part of the International Thwaites Glacier Collaboration's (ITGC) DOMINOS project; Office of Science, Office of Advanced Scientific Computing Research (ASCR), of the U.S. Department of Energy, as a part of the ProSPect SciDAC Partnership; Office of Science, Office of Biological and Environmental Research (BER), of the U.S. Department of Energy, as a part of the ProSPect SciDAC Partnership(United States Department of Energy (DOE)); Office of Science of the U.S. Department of Energy(United States Department of Energy (DOE)); Directorate For Geosciences(National Science Foundation (NSF)NSF - Directorate for Geosciences (GEO)); Office of Polar Programs (OPP)(National Science Foundation (NSF)NSF - Directorate for Geosciences (GEO))</t>
  </si>
  <si>
    <t>Support for this work was provided through the Scientific Discovery through Advanced Computing (SciDAC) program funded by the U.S. Department of Energy (DOE), Office of Science, Biological and Environmental Research, and Advanced Scientific Computing Research programs. Work at the University of Michigan was supported under NSFPLR-NERC Grant 1738896, as part of the International Thwaites Glacier Collaboration's (ITGC) DOMINOS project. Work at LBL was supported by the Director, Office of Science, Offices of Advanced Scientific Computing Research (ASCR) and Biological and Environmental Research (BER), of the U.S. Department of Energy under Contract DE-AC02-05CH11231, as a part of the ProSPect SciDAC Partnership. This research used resources of the National Energy Research Scientific Computing Center, a DOE Office of Science user facility supported by the Office of Science of the U.S. Department of Energy under Contract DE-AC02-05CH11231. We thank the editor, Mathieu Morlighem, Pippa Whitehouse, and an anonymous reviewer for many constructive comments.</t>
  </si>
  <si>
    <t>MAY 28</t>
  </si>
  <si>
    <t>e2019GL086446</t>
  </si>
  <si>
    <t>10.1029/2019GL086446</t>
  </si>
  <si>
    <t>NB2VR</t>
  </si>
  <si>
    <t>WOS:000560371700043</t>
  </si>
  <si>
    <t>Smith, EC; Hattermann, T; Kuhn, G; Gaedicke, C; Berger, S; Drews, R; Ehlers, TA; Franke, D; Gromig, R; Hofstede, C; Lambrecht, A; Läufer, A; Mayer, C; Tiedemann, R; Wilhelms, F; Eisen, O</t>
  </si>
  <si>
    <t>Smith, Emma C.; Hattermann, Tore; Kuhn, Gerhard; Gaedicke, Christoph; Berger, Sophie; Drews, Reinhard; Ehlers, Todd A.; Franke, Dieter; Gromig, Rapahel; Hofstede, Coen; Lambrecht, Astrid; Laeufer, Andreas; Mayer, Christoph; Tiedemann, Ralf; Wilhelms, Frank; Eisen, Olaf</t>
  </si>
  <si>
    <t>Detailed Seismic Bathymetry Beneath Ekstrom Ice Shelf, Antarctica: Implications for Glacial History and Ice-Ocean Interaction</t>
  </si>
  <si>
    <t>Ice shelf; Antarctica; Bathymetry; Ice-Ocean Interaction; Ice dynamics; Seismics</t>
  </si>
  <si>
    <t>SOUTHERN WEDDELL SEA; DRIVEN; MODEL; WATER; STABILITY; THICKNESS; TRANSPORT; VIBROSEIS; DYNAMICS; SURFACE</t>
  </si>
  <si>
    <t>The shape of ice shelf cavities are a major source of uncertainty in understanding ice-ocean interactions. This limits assessments of the response of the Antarctic ice sheets to climate change. Here we use vibroseis seismic reflection surveys to map the bathymetry beneath the Ekstrom Ice Shelf, Dronning Maud Land. The new bathymetry reveals an inland-sloping trough, reaching depths of 1,100 m below sea level, near the current grounding line, which we attribute to erosion by palaeo-ice streams. The trough does not cross-cut the outer parts of the continental shelf. Conductivity-temperature-depth profiles within the ice shelf cavity reveal the presence of cold water at shallower depths and tidal mixing at the ice shelf margins. It is unknown if warm water can access the trough. The new bathymetry is thought to be representative of many ice shelves in Dronning Maud Land, which together regulate the ice loss from a substantial area of East Antarctica. Plain Language Summary Antarctica is surrounded by floating ice shelves, which play a crucial role in regulating the flow of ice from the continent into the oceans. The ice shelves are susceptible to melting from warm ocean waters beneath them. In order to better understand the melting, knowledge of the shape and depth of the ocean cavity beneath ice shelves is crucial. In this study, we present new measurements of the sea floor depth beneath Ekstrom Ice Shelf in East Antarctica. The measurements reveal a much deeper sea floor than previously known. We discuss the implications of this for access of warm ocean waters, which can melt the base of the ice shelf and discuss how the observed sea floor features were formed by historical ice flow regimes. Although Ekstrom Ice Shelf is relatively small, the geometry described here is thought to be representative of the topography beneath many ice shelves in this region, which together regulate the ice loss from a substantial area of East Antarctica.</t>
  </si>
  <si>
    <t>[Smith, Emma C.; Kuhn, Gerhard; Berger, Sophie; Gromig, Rapahel; Hofstede, Coen; Tiedemann, Ralf; Wilhelms, Frank; Eisen, Olaf] Helmholtz Zentrum Polar &amp; Meeresforsch, Alfred Wegener Inst, Bremerhaven, Germany; [Hattermann, Tore] Norwegian Polar Res Inst, Tromso, Norway; [Gaedicke, Christoph; Franke, Dieter; Laeufer, Andreas] Fed Inst Geosci &amp; Nat Resources, BGR, Hannover, Germany; [Drews, Reinhard; Ehlers, Todd A.] Univ Tubingen, Dept Geosci, Tubingen, Germany; [Gromig, Rapahel] Univ Cologne, Inst Geol &amp; Mineral, Cologne, Germany; [Lambrecht, Astrid; Mayer, Christoph] Bavarian Acad Sci &amp; Humanities, Geodesy &amp; Glaciol, Munich, Germany; [Tiedemann, Ralf; Eisen, Olaf] Univ Bremen, Dept Geosci, Bremen, Germany; [Wilhelms, Frank] Univ Gottingen, Dept Geosci, Gottingen, Germany</t>
  </si>
  <si>
    <t>Helmholtz Association; Alfred Wegener Institute, Helmholtz Centre for Polar &amp; Marine Research; Norwegian Polar Institute; Eberhard Karls University of Tubingen; University of Cologne; University of Bremen; University of Gottingen</t>
  </si>
  <si>
    <t>Smith, EC (corresponding author), Helmholtz Zentrum Polar &amp; Meeresforsch, Alfred Wegener Inst, Bremerhaven, Germany.</t>
  </si>
  <si>
    <t>emma.smith@awi.de</t>
  </si>
  <si>
    <t>Franke, Dieter/A-5383-2011; Läufer, Andreas/ABC-1465-2020; Hofstede, Coen/JXM-4966-2024; Wilhelms, Frank/KEI-8426-2024; Eisen, Olaf/K-3846-2012; Smith, Emma/AAO-5329-2021; Drews, reinhard/AAP-4134-2021</t>
  </si>
  <si>
    <t>Franke, Dieter/0000-0002-1488-026X; Läufer, Andreas/0000-0003-2219-0450; Wilhelms, Frank/0000-0001-7688-3135; Eisen, Olaf/0000-0002-6380-962X; Drews, reinhard/0000-0002-2328-294X; Hattermann, Tore/0000-0002-5538-2267; Berger, Sophie/0000-0003-4095-9323; Smith, Emma/0000-0002-8672-8259; hofstede, coen/0000-0002-6015-6918; Gromig, Raphael/0000-0001-9217-4259; Ehlers, Todd/0000-0001-9436-0303; Kuhn, Gerhard/0000-0001-6069-7485</t>
  </si>
  <si>
    <t>AWI-BGR Sub-EIS-Obs Project; DFG Cost S2S project [EI672/10-1, MA 3347/10-1, EH 329/13-1, DR 822/3-1]; MIMO (Monitoring melt where Ice Meets Ocean) project, Belgian Science Policy Contract [SR/00/336]</t>
  </si>
  <si>
    <t>AWI-BGR Sub-EIS-Obs Project; DFG Cost S2S project; MIMO (Monitoring melt where Ice Meets Ocean) project, Belgian Science Policy Contract</t>
  </si>
  <si>
    <t>Field work and data processing by ECS since 2016 were funded through the AWI-BGR Sub-EIS-Obs Project. ECS was additionally funded through the DFG Cost S2S project Grant EI672/10-1 in the framework of the priority program Antarctic Research with comparative investigations in Arctic ice areas, RD by the Grants MA 3347/10-1, EH 329/13-1, and DR 822/3-1. The field work of A. Lambrecht in 2010 was kindly supported by the Institute of Meteorology and Geophysics, University of Innsbruck, Austria. SB was partly funded by the MIMO (Monitoring melt where Ice Meets Ocean) project, Belgian Science Policy Contract SR/00/336. We thank R. Blenkner, J. Kohler, H. Schubert, J. Tell, B. Ehlers, S. Hilmarsson, and the staff at Neumayer Station III for logistical and other support. N. Koglin for discussion on hot water drilled access hole locations and geological constraints. The authors would like to thank C. Haas and J-L. Tison for loan on the CTD equipment, D. Hodgson, and one anonymous reviewer for constructive and detailed feedback and Emerson E&amp;P Software, Emerson Automation Solutions, for providing licenses for the seismic software Paradigm, in the scope of the Emerson Academic Program. The initial idea for envisaging a geologic drilling underneath Ekstrom Ice Shelf was put forward by Y. Kristoffersen, who's stimulating creativity and technical support over the years the authors would like to acknowledge in particular. Data presented in this study are archived with PANGAEA and are freely available at the following locations: gridded sea-floor bathymetry data (https://doi.org/10.1594/PANGAEA.907951) and raw CTD data (https://doi.org/10.1594/PANGAEA.914478).</t>
  </si>
  <si>
    <t>e2019GL086187</t>
  </si>
  <si>
    <t>10.1029/2019GL086187</t>
  </si>
  <si>
    <t>WOS:000560371700037</t>
  </si>
  <si>
    <t>Walsh, J; Reiss, CS; Watters, GM</t>
  </si>
  <si>
    <t>Walsh, Jennifer; Reiss, Christian S.; Watters, George M.</t>
  </si>
  <si>
    <t>Flexibility in Antarctic krill Euphausia superba decouples diet and recruitment from overwinter sea-ice conditions in the northern Antarctic Peninsula</t>
  </si>
  <si>
    <t>Antarctic krill; Chlorophyll; Diet; Overwinter survival; Recruitment; Sea ice</t>
  </si>
  <si>
    <t>WINTER PACK-ICE; LARVAL KRILL; FOOD-WEB; TROPHIC RELATIONSHIPS; ENERGY BUDGETS; SOUTHERN-OCEAN; FATTY-ACIDS; GROWTH; WEDDELL; WEST</t>
  </si>
  <si>
    <t>Winter sea-ice conditions are considered important for Antarctic krill Euphausia superba survival and recruitment, yet few broad-scale longitudinal studies have examined the underlying relationships between winter conditions and krill recruitment. We used data from a 4 yr winter study of krill condition (lipid content), diet (stable isotopes and fatty acids), and length distributions around the northern Antarctic Peninsula to examine relationships among environmental variables (annual sea-ice cover, water column chlorophyll a [chl a], and upper mixed-layer water temperature), the condition and diet of krill, and recruitment success the following year. Diet indicators (lipid content, delta N-15, delta C-1(3), and the fatty acid ratios 16:1n-7/18:4n-3 and 18:1n-9/18:1n-7) in post-larvae were consistent among years regardless of sea-ice cover, suggesting that post-larval krill do not rely on sea-ice resources for overwinter survival. Diet indicators in larvae were more variable and suggest that larvae may feed on sea-ice resources when they are available but can still persist in the water column when they are not. Principal component analysis between environmental variables and diet indicators showed that water-column chl a was the only variable that significantly affected diet, regardless of annual changes in sea-ice cover. Extensive winter ice in one year did not translate into successful recruitment the following year. Krill demonstrate a high degree of flexibility with respect to overwinter habitat and diet, and the degree to which sea ice is important during different times of year and at different life stages may be more complex than previously thought.</t>
  </si>
  <si>
    <t>[Walsh, Jennifer; Reiss, Christian S.; Watters, George M.] NOAA, Antarctic Ecosyst Res Div, Southwest Fisheries Sci Ctr, Natl Marine Fisheries Serv, La Jolla, CA 92037 USA</t>
  </si>
  <si>
    <t>National Oceanic Atmospheric Admin (NOAA) - USA</t>
  </si>
  <si>
    <t>Walsh, J (corresponding author), NOAA, Antarctic Ecosyst Res Div, Southwest Fisheries Sci Ctr, Natl Marine Fisheries Serv, La Jolla, CA 92037 USA.</t>
  </si>
  <si>
    <t>jen.walsh@noaa.gov</t>
  </si>
  <si>
    <t>Watters, George/HPE-2184-2023</t>
  </si>
  <si>
    <t>Watters, George/0000-0002-6989-1273; Walsh, Jennifer/0000-0003-0481-4899</t>
  </si>
  <si>
    <t>10.3354/meps13325</t>
  </si>
  <si>
    <t>MG3JI</t>
  </si>
  <si>
    <t>WOS:000545930000001</t>
  </si>
  <si>
    <t>Price, CA; Hartmann, K; Emery, TJ; Woehler, EJ; McMahon, CR; Hindell, MA</t>
  </si>
  <si>
    <t>Price, Cassandra A.; Hartmann, Klaas; Emery, Timothy J.; Woehler, Eric J.; McMahon, Clive R.; Hindell, Mark A.</t>
  </si>
  <si>
    <t>Climate variability and breeding parameters of a transhemispheric migratory seabird over seven decades</t>
  </si>
  <si>
    <t>Short-tailed shearwater; Ardenna tenuirostris; Trophic levels; Lag; Longitudinal study</t>
  </si>
  <si>
    <t>SHORT-TAILED-SHEARWATERS; SOUTHERN ANNULAR MODE; PUFFINUS-TENUIROSTRIS; REPRODUCTIVE SUCCESS; NORTH-ATLANTIC; POPULATION-DYNAMICS; BODY CONDITION; TROPHIC LEVEL; LONG-TERM; EL-NINO</t>
  </si>
  <si>
    <t>Climate variability affects physical oceanographic systems and environmental conditions at multiple spatial and temporal scales. These changes can influence biological and ecological processes, from primary productivity to higher trophic levels. Short-tailed shearwaters Ardenna tenuirostris are transhemispheric migratory procellariiform seabirds that forage on secondary consumers such as fish (myctophids) and zooplankton (euphausiids). In this study, we investigated the breeding parameters of the short-tailed shearwater from a colony of 100 to 200 breeding pairs at Fisher Island, Tasmania, Australia, for the period 1950 to 2012, with the aim to quantify the relationship between breeding parameters with large-scale climate indices in the Northern (i.e. Northern Pacific Index and Pacific Decadal Oscillation) and Southern Hemispheres (i.e. El Nino-Southern Oscillation and Southern Annular Mode). Through the use of generalised linear models, we found that breeding participation among short-tailed shearwaters was affected by climate variability with a 12-mo temporal lag. Furthermore, breeding success decreased in years of increased rainfall at the colony. These findings demonstrate that both large-scale climate indices and local environmental conditions could explain some of the variability among breeding parameters of the short-tailed shearwater.</t>
  </si>
  <si>
    <t>[Price, Cassandra A.; Hartmann, Klaas; Emery, Timothy J.; Woehler, Eric J.; McMahon, Clive R.; Hindell, Mark A.] Univ Tasmania, Inst Marine &amp; Antarctic Studies, Hobart, Tas 7000, Australia; [Woehler, Eric J.] BirdLife Tasmania, GPO Box 68, Hobart, Tas 7001, Australia; [McMahon, Clive R.] Sydney Inst Marine Sci, 19 Chowder Bay Rd, Mosman, NSW 2088, Australia; [McMahon, Clive R.] Macquarie Univ, Dept Biol Sci, Sydney, NSW 2109, Australia</t>
  </si>
  <si>
    <t>University of Tasmania; Sydney Institute of Marine Science; Macquarie University</t>
  </si>
  <si>
    <t>Price, CA (corresponding author), Univ Tasmania, Inst Marine &amp; Antarctic Studies, Hobart, Tas 7000, Australia.</t>
  </si>
  <si>
    <t>cassandra.price@utas.edu.au</t>
  </si>
  <si>
    <t>Price, Cas/KHT-2225-2024; McMahon, Clive R/D-5713-2013; Hindell, Mark A/K-1131-2013; Hartmann, Klaas/B-3991-2008; Sedran-Price, Cassandra/F-4341-2014</t>
  </si>
  <si>
    <t>McMahon, Clive R/0000-0001-5241-8917; Sedran-Price, Cassandra/0000-0002-0196-2450; Woehler, Eric/0000-0002-1125-0748</t>
  </si>
  <si>
    <t>ANZ Trustees Foundation-Holsworth Wildlife Research Foundation</t>
  </si>
  <si>
    <t>We are grateful to the ANZ Trustees Foundation-Holsworth Wildlife Research Foundation for kindly providing financial assistance for this project. This research was conducted under University of Tasmania animal ethics permit A14277 and Tasmanian Department of Primary Industries, Parks, Water and Environment permit FA14310. We thank the following people for their contribution to the project over the years: Aidan Bindoff, David Boyle, Fernando Arce Gonzalez, Ricardo De Paoli-Iseppi, Catherine Meathrel, Ross Monash, Eric Schwarz, Alan Springer, Sam Thalman and Friends of Fisher Island. We are also appreciative to those whose comments significantly improved the clarity of the manuscript.</t>
  </si>
  <si>
    <t>10.3354/meps13328</t>
  </si>
  <si>
    <t>WOS:000545930000013</t>
  </si>
  <si>
    <t>Turton, JV; Mölg, T; Collier, E</t>
  </si>
  <si>
    <t>Turton, Jenny V.; Moelg, Thomas; Collier, Emily</t>
  </si>
  <si>
    <t>High-resolution (1 km) Polar WRF output for 79° N Glacier and the northeast of Greenland from 2014 to 2018</t>
  </si>
  <si>
    <t>NONHYDROSTATIC ATMOSPHERIC MODEL; WEATHER RESEARCH; ANTARCTIC PENINSULA; MASS-LOSS; PART I; ICE; TEMPERATURE; CLOUDS; MICROPHYSICS; RETREAT</t>
  </si>
  <si>
    <t>The northeast region of Greenland is of growing interest due to changes taking place on the large marine-terminating glaciers which drain the Northeast Greenland Ice Stream. Nioghalvfjerdsfjorden, or 79 degrees N Glacier, is one of these that is currently experiencing accelerated thinning, retreat, and enhanced surface melt. Understanding both the influence of atmospheric processes on the glacier and feedbacks from changing surface conditions is crucial for our understanding of present stability and future change. However, relatively few studies have focused on the atmospheric processes in this region, and even fewer have used high-resolution modelling as a tool to address these research questions. Here we present a high-spatial-resolution (1 km) and high-temporal-resolution (up to hourly) atmospheric modelling dataset, NEGIS_WRF, for the 79 degrees N and northeast Greenland region from 2014 to 2018 and an evaluation of the model's success at representing daily near-surface meteorology when compared with automatic weather station records. The dataset (Turton et al., 2019b: https://doi.org/10.17605/OSF.IO/53E6Z) is now available for a wide variety of applications in the atmospheric, hydrological, and oceanic sciences in the study region.</t>
  </si>
  <si>
    <t>[Turton, Jenny V.; Moelg, Thomas; Collier, Emily] Friedrich Alexander Univ Erlangen Nurnberg, Inst Geog, Climate Syst Res Grp, D-90158 Erlangen, Germany</t>
  </si>
  <si>
    <t>University of Erlangen Nuremberg</t>
  </si>
  <si>
    <t>Turton, JV (corresponding author), Friedrich Alexander Univ Erlangen Nurnberg, Inst Geog, Climate Syst Res Grp, D-90158 Erlangen, Germany.</t>
  </si>
  <si>
    <t>jenny.turton@fau.de</t>
  </si>
  <si>
    <t>Mölg, Thomas/I-8131-2013</t>
  </si>
  <si>
    <t>Moelg, Thomas/0000-0001-8029-8887; Collier, Emily/0000-0001-7314-3000; Turton, Jenny/0000-0003-0581-8293</t>
  </si>
  <si>
    <t>German Federal Ministry for Education and Research (BMBF) [03F0778F]</t>
  </si>
  <si>
    <t>German Federal Ministry for Education and Research (BMBF)(Federal Ministry of Education &amp; Research (BMBF))</t>
  </si>
  <si>
    <t>This research has been supported by the German Federal Ministry for Education and Research (BMBF) (grant no. 03F0778F).</t>
  </si>
  <si>
    <t>10.5194/essd-12-1191-2020</t>
  </si>
  <si>
    <t>LU4RG</t>
  </si>
  <si>
    <t>WOS:000537743800001</t>
  </si>
  <si>
    <t>Gibbins, M; Kavanagh, AJ</t>
  </si>
  <si>
    <t>Gibbins, Maude; Kavanagh, Andrew J.</t>
  </si>
  <si>
    <t>Mesospheric winds measured by medium-frequency radar with full correlation analysis: error properties and impacts on studies of wind variance</t>
  </si>
  <si>
    <t>GEOSCIENTIFIC INSTRUMENTATION METHODS AND DATA SYSTEMS</t>
  </si>
  <si>
    <t>LOWER THERMOSPHERE; MF RADAR; MIDDLE ATMOSPHERE; GRAVITY-WAVES; MEAN WINDS; SATURATION; NORTHERN; MOTIONS; EVENTS; REGION</t>
  </si>
  <si>
    <t>The mesosphere is one of the most difficult parts of the atmosphere to sample; it is too high for balloon measurements and too low for in situ satellites. Consequently, there is a reliance on remote sensing (either from the ground or from space) to diagnose this region. Ground-based radars have been used since the second half of the 20th century to probe the dynamics of the mesosphere; medium-frequency (MF) radars provide estimates of the horizontal wind fields and are still used to analyse tidal structures and planetary waves that modulate the meridional and zonal winds. The variance of the winds has traditionally been linked qualitatively to the occurrence of gravity waves. In this paper, the method of wind retrieval (full correlation analysis) employed by MF radars is considered with reference to two systems in Antarctica at different latitude (Halley at 76 degrees S and Rothera at 67 degrees S). It is shown that the width of the velocity distribution and occurrence of outliers is related to the measured levels of anisotropy in the received signal pattern. The magnitude of the error distribution, as represented by the wind variance, varies with both insolation levels and geomagnetic activity. Thus, it is demonstrated that for these two radars the influence of gravity waves may not be the primary mechanism that controls the overall variance.</t>
  </si>
  <si>
    <t>[Gibbins, Maude; Kavanagh, Andrew J.] British Antarctic Survey, Madingley Rd, Cambridge CB3 0ET, England; [Gibbins, Maude] Univ Cambridge, Cavendish Lab, Cambridge, England; [Kavanagh, Andrew J.] Rutherford Appleton Lab, RAL Space, Oxford, England</t>
  </si>
  <si>
    <t>UK Research &amp; Innovation (UKRI); Natural Environment Research Council (NERC); NERC British Antarctic Survey; University of Cambridge; UK Research &amp; Innovation (UKRI); Science &amp; Technology Facilities Council (STFC); STFC Rutherford Appleton Laboratory</t>
  </si>
  <si>
    <t>Kavanagh, AJ (corresponding author), British Antarctic Survey, Madingley Rd, Cambridge CB3 0ET, England.</t>
  </si>
  <si>
    <t>andkav@bas.ac.uk</t>
  </si>
  <si>
    <t>Natural Environment Research Council, British Antarctic Survey [NE/R016038/1]; NERC [NE/R016038/1, bas0100031] Funding Source: UKRI</t>
  </si>
  <si>
    <t>Natural Environment Research Council, British Antarctic Survey; NERC(UK Research &amp; Innovation (UKRI)Natural Environment Research Council (NERC))</t>
  </si>
  <si>
    <t>This research has been supported by the Natural Environment Research Council, British Antarctic Survey (grant no. NE/R016038/1).</t>
  </si>
  <si>
    <t>2193-0856</t>
  </si>
  <si>
    <t>2193-0864</t>
  </si>
  <si>
    <t>GEOSCI INSTRUM METH</t>
  </si>
  <si>
    <t>Geosci. Instrum. Methods Data Syst.</t>
  </si>
  <si>
    <t>10.5194/gi-9-223-2020</t>
  </si>
  <si>
    <t>LU4HX</t>
  </si>
  <si>
    <t>WOS:000537719200001</t>
  </si>
  <si>
    <t>Asgari, M; Kenari, AA; Esmaeili, M; Rombenso, A</t>
  </si>
  <si>
    <t>Asgari, Mohammad; Abedian Kenari, Abdolmohammad; Esmaeili, Mohammad; Rombenso, Artur</t>
  </si>
  <si>
    <t>Effects of hydroalcoholic extract of honeybee pollen on growth performance, flesh quality, and immune and stress response response of rainbow trout (Oncorhynchus mykiss)</t>
  </si>
  <si>
    <t>AQUACULTURE NUTRITION</t>
  </si>
  <si>
    <t>aquaculture; herbal medicines; honeybee pollen; immune response; Omega 3</t>
  </si>
  <si>
    <t>TILAPIA OREOCHROMIS-NILOTICUS; ALLIUM-SATIVUM POWDER; FED SUPPLEMENTED DIET; BEE POLLEN; FATTY-ACID; BIOCHEMICAL PARAMETERS; ANTIOXIDANT ACTIVITY; DISEASE RESISTANCE; BODY-COMPOSITION; FISH-MEAL</t>
  </si>
  <si>
    <t>The effects of dietary hydroalcoholic extract of honeybee pollen (HBPE) on growth performance, flesh quality, immunity and stress response were investigated. Two hundred fifty-five rainbow trout (11.14 +/- 1.06 g) were fed five diets containing increasing levels of HBPE: control, 0.25HBPE (0.25 g HBPE/kg), 0.5HBPE (0.5 g HBPE/kg), 1HBPE (1 g HBPE/kg) and 1.5HBPE (1.5 g HBPE/kg). After 56 days, rainbow trout fed the 0.5HBPE and 1HBPE diets displayed significantly higher weight gain (49.58 and 53.25 g) and protein efficiency (2.88 and 2.83) compared to those fed the control diet (4.89 and 2.05), respectively (p &lt; .05). For flesh quality, higher protein content in the whole body of fish fed the 1HBPE (633.3 g/kg) and 1.5HBPE (640.9 g/kg) diets was observed when compared to other groups (p &lt; .05). There were no significant differences in the saturated and monounsaturated fatty acid content. Individuals fed the 1HBPE (234.5 g/kg) and 1.5HBPE (234.7 g/kg) diets exhibited higher levels of n-3 long-chain polyunsaturated fatty acids in the muscle than the other groups (p &lt; .05). In terms of the immune system, the serum lysozyme and alternative complement pathway haemolytic activity levels in the 0.5HBPE (47.66 and 148.00 U/ml) and 1HBPE (46.00 and 146.33 U/ml) treatments were higher than the other treatments (p &lt; .05). When Aeromonas hydrophila was exposed to different dosages of HBPE, a higher inhibitory zone resulted from 1,000 and 1,500 mg/ml dosage. The lower levels of plasma cortisol were observed in the 1HBPE and 1.5HBPE groups after the complement stress test. Collectively, the present findings suggest that the 1HBPE diet supported superior growth, flesh quality, immunity and stress response of rainbow trout.</t>
  </si>
  <si>
    <t>[Asgari, Mohammad; Abedian Kenari, Abdolmohammad] Tarbiat Modares Univ, Fac Nat Resources &amp; Marine Sci, Dept Aquaculture, POB 64414-356, Noor, Mazandaran, Iran; [Esmaeili, Mohammad] Univ Tasmania, Inst Marine &amp; Antarctic Studies, Hobart, Tas, Australia; [Rombenso, Artur] CSIRO, Agr &amp; Food, Bribie Isl Res Ctr, Bribie Isl, Qld, Australia</t>
  </si>
  <si>
    <t>Tarbiat Modares University; University of Tasmania; Commonwealth Scientific &amp; Industrial Research Organisation (CSIRO)</t>
  </si>
  <si>
    <t>Abedian Kenari, Abdolmohammad/JWP-0761-2024; Esmaeili, Noah/Q-4536-2019; Rombenso, Artur N/B-6978-2019</t>
  </si>
  <si>
    <t>Tarbiat Modares University</t>
  </si>
  <si>
    <t>WILEY-HINDAWI</t>
  </si>
  <si>
    <t>ADAM HOUSE, 3RD FL, 1 FITZROY SQ, LONDON, WIT 5HE, ENGLAND</t>
  </si>
  <si>
    <t>1353-5773</t>
  </si>
  <si>
    <t>1365-2095</t>
  </si>
  <si>
    <t>AQUACULT NUTR</t>
  </si>
  <si>
    <t>Aquac. Nutr.</t>
  </si>
  <si>
    <t>10.1111/anu.13098</t>
  </si>
  <si>
    <t>NQ6XE</t>
  </si>
  <si>
    <t>WOS:000535839200001</t>
  </si>
  <si>
    <t>Raes, EJ; van de Kamp, J; Bodrossy, L; Fong, AA; Riekenberg, J; Holmes, BH; Erler, DV; Eyre, BD; Weil, SS; Waite, AM</t>
  </si>
  <si>
    <t>Raes, Eric J.; van de Kamp, Jodie; Bodrossy, Levente; Fong, Allison A.; Riekenberg, Jessica; Holmes, Bronwyn H.; Erler, Dirk, V; Eyre, Bradley D.; Weil, Sarah-Sophie; Waite, A. M.</t>
  </si>
  <si>
    <t>N2 Fixation and New Insights Into Nitrification From the Ice-Edge to the Equator in the South Pacific Ocean</t>
  </si>
  <si>
    <t>N-2 fixation; nitrification; latitudinal trends; GO-SHIP; nifH marine biogeography; South Pacific Ocean</t>
  </si>
  <si>
    <t>PARTICULATE ORGANIC-MATTER; NITROGEN-FIXATION; NORTH PACIFIC; RATES; NITRATE; DIAZOTROPHS; VARIABILITY; AMMONIA; FRACTIONATION; TRICHODESMIUM</t>
  </si>
  <si>
    <t>Nitrogen (N) is an essential element for life and controls the magnitude of primary productivity in the ocean. In order to describe the microorganisms that catalyze N transformations in surface waters in the South Pacific Ocean, we collected highresolution biotic and abiotic data along a 7000 km transect, from the Antarctic ice edge to the equator. The transect, conducted between late Austral autumn and early winter 2016, covered major oceanographic features such as the polar front (PF), the subtropical front (STF) and the Pacific equatorial divergence (PED). We measured N-2 fixation and nitrification rates and quantified the relative abundances of diazotrophs and nitrifiers in a region where few to no rate measurements are available. Even though N-2 fixation rates are usually below detection limits in cold environments, we were able to measure this N pathway at 7/10 stations in the cold and nutrient rich waters near the PF. This result highlights that N-2 fixation rates continue to be measured outside the well-known subtropical regions. The majority of the mid to high N-2 fixation rates (&gt;similar to 20 nmol L-1 d(-1)), however, still occurred in the expected tropical and subtropical regions. High throughput sequence analyses of the dinitrogenase reductase gene (nifH) revealed that the nifH Cluster I dominated the diazotroph diversity throughout the transect. nifH gene richness did not show a latitudinal trend, nor was it significantly correlated with N-2 fixation rates. Nitrification rates above the mixed layer in the Southern Ocean ranged between 56 and 1440 nmol L-1 d(-1). Our data showed a decoupling between carbon and N assimilation (NO3 and NH4+ assimilation rates) in winter in the South Pacific Ocean. Phytoplankton community structure showed clear changes across the PF, the STF and the PED, defining clear biomes. Overall, these findings provide a better understanding of the ecosystem functionality in the South Pacific Ocean across key oceanographic biomes.</t>
  </si>
  <si>
    <t>[Raes, Eric J.; van de Kamp, Jodie; Bodrossy, Levente; Fong, Allison A.; Holmes, Bronwyn H.; Weil, Sarah-Sophie] CSIRO Oceans &amp; Atmosphere, Hobart, Tas, Australia; [Raes, Eric J.] Alfred Wegener Inst, Helmholtz Ctr Polar &amp; Marine Res, Bremerhaven, Germany; [Raes, Eric J.; Waite, A. M.] Univ Western Australia, Oceans Inst, Crawley, WA, Australia; [Riekenberg, Jessica; Erler, Dirk, V; Eyre, Bradley D.] Southern Cross Univ, Sch Environm Sci &amp; Engn, Ctr Coastal Biogeochem, Lismore, NSW, Australia; [Waite, A. M.] Univ Bremen, FB2 Biol Chem, Bremen, Germany; [Waite, A. M.] Dalhousie Univ, Ocean Frontier Inst, Halifax, NS, Canada; [Waite, A. M.] Dalhousie Univ, Dept Oceanog, Halifax, NS, Canada</t>
  </si>
  <si>
    <t>Commonwealth Scientific &amp; Industrial Research Organisation (CSIRO); Helmholtz Association; Alfred Wegener Institute, Helmholtz Centre for Polar &amp; Marine Research; University of Western Australia; Southern Cross University; University of Bremen; Dalhousie University; Dalhousie University</t>
  </si>
  <si>
    <t>Raes, EJ (corresponding author), CSIRO Oceans &amp; Atmosphere, Hobart, Tas, Australia.;Raes, EJ (corresponding author), Alfred Wegener Inst, Helmholtz Ctr Polar &amp; Marine Res, Bremerhaven, Germany.;Raes, EJ (corresponding author), Univ Western Australia, Oceans Inst, Crawley, WA, Australia.</t>
  </si>
  <si>
    <t>eric.raes@csiro.au</t>
  </si>
  <si>
    <t>Weil, Sarah-Sophie/AAV-7532-2021; Erler, Dirk V/I-7209-2012; Eyre, Bradley/C-2527-2013; van de Kamp, Jodie L/E-9423-2015; Bodrossy, Levente/B-8054-2009; Waite, Anya/A-5492-2015</t>
  </si>
  <si>
    <t>Weil, Sarah-Sophie/0000-0003-2280-9612; Eyre, Bradley/0000-0001-5502-0680; van de Kamp, Jodie L/0000-0003-2167-0938; Erler, Dirk/0000-0003-1242-7311; Bodrossy, Levente/0000-0001-6940-452X; Riekenberg, Jessica/0000-0002-6201-7460; Waite, Anya/0000-0003-2965-0296</t>
  </si>
  <si>
    <t>CSIRO; Australian Climate Change Science Program; Bioplatforms Australia; Integrated Marine Observing System (IMOS) through the Australian Government National Collaborative Research Infrastructure Strategy (NCRIS); Australian research community; AW through AWI; AW through UWA; OCE Science Leader Fellowship [R-04202]; Environmental Genomics grant from CSIRO Oceans and Atmosphere [R-02412]; [IN2016_V03]</t>
  </si>
  <si>
    <t>CSIRO(Commonwealth Scientific &amp; Industrial Research Organisation (CSIRO)); Australian Climate Change Science Program; Bioplatforms Australia; Integrated Marine Observing System (IMOS) through the Australian Government National Collaborative Research Infrastructure Strategy (NCRIS); Australian research community; AW through AWI; AW through UWA; OCE Science Leader Fellowship; Environmental Genomics grant from CSIRO Oceans and Atmosphere;</t>
  </si>
  <si>
    <t>This work was supported by CSIRO and the Australian Climate Change Science Program. This research was made feasible because Dr. Bernadette Sloyan and Dr. Susan Wijffels supported our project at the P15 GO-SHIP transect voyage number IN2016_V03. We would like to acknowledge the contribution of the Marine Microbes consortium in the generation of data used in this publication. The Marine Microbes project was supported by funding from Bioplatforms Australia and the Integrated Marine Observing System (IMOS) through the Australian Government National Collaborative Research Infrastructure Strategy (NCRIS) in partnership with the Australian research community. Investigator supporting grants came from AW through AWI and UWA. Work at CSIRO was supported by an OCE Science Leader Fellowship (R-04202) to LB and by the Environmental Genomics grant from CSIRO Oceans and Atmosphere (R-02412).</t>
  </si>
  <si>
    <t>10.3389/fmars.2020.00389</t>
  </si>
  <si>
    <t>LR7IC</t>
  </si>
  <si>
    <t>WOS:000535867100001</t>
  </si>
  <si>
    <t>Bracegirdle, TJ; Krinner, G; Tonelli, M; Haumann, FA; Naughten, KA; Rackow, T; Roach, LA; Wainer, I</t>
  </si>
  <si>
    <t>Bracegirdle, Thomas J.; Krinner, Gerhard; Tonelli, Marcos; Haumann, F. Alexander; Naughten, Kaitlin A.; Rackow, Thomas; Roach, Lettie A.; Wainer, Ilana</t>
  </si>
  <si>
    <t>Twenty first century changes in Antarctic and Southern Ocean surface climate in CMIP6</t>
  </si>
  <si>
    <t>Antarctic; climate; CMIP6; projection; Southern Ocean; westerlies</t>
  </si>
  <si>
    <t>STRATOSPHERIC OZONE RECOVERY; ICE-SHEET; EXPERIMENTAL-DESIGN; CONTINENTAL-SHELF; MODEL; RESPONSES; WATER; CO2</t>
  </si>
  <si>
    <t>Two decades into the 21st century there is growing evidence for global impacts of Antarctic and Southern Ocean climate change. Reliable estimates of how the Antarctic climate system would behave under a range of scenarios of future external climate forcing are thus a high priority. Output from new model simulations coordinated as part of the Coupled Model Intercomparison Project Phase 6 (CMIP6) provides an opportunity for a comprehensive analysis of the latest generation of state-of-the-art climate models following a wider range of experiment types and scenarios than previous CMIP phases. Here the main broad-scale 21st century Antarctic projections provided by the CMIP6 models are shown across four forcing scenarios: SSP1-2.6, SSP2-4.5, SSP3-7.0 and SSP5-8.5. End-of-century Antarctic surface-air temperature change across these scenarios (relative to 1995-2014) is 1.3, 2.5, 3.7 and 4.8 degrees C. The corresponding proportional precipitation rate changes are 8, 16, 24 and 31%. In addition to these end-of-century changes, an assessment of scenario dependence of pathways of absolute and global-relative 21st century projections is conducted. Potential differences in regional response are of particular relevance to coastal Antarctica, where, for example, ecosystems and ice shelves are highly sensitive to the timing of crossing of key thresholds in both atmospheric and oceanic conditions. Overall, it is found that the projected changes over coastal Antarctica do not scale linearly with global forcing. We identify two factors that appear to contribute: (a) a stronger global-relative Southern Ocean warming in stabilisation (SSP2-4.5) and aggressive mitigation (SSP1-2.6) scenarios as the Southern Ocean continues to warm and (b) projected recovery of Southern Hemisphere stratospheric ozone and its effect on the mid-latitude westerlies. The major implication is that over coastal Antarctica, the surface warming by 2100 is stronger relative to the global mean surface warming for the low forcing compared to high forcing future scenarios.</t>
  </si>
  <si>
    <t>[Bracegirdle, Thomas J.; Naughten, Kaitlin A.] British Antarctic Survey, Madingley Rd, Cambridge CB3 0ET, England; [Krinner, Gerhard] Univ Grenoble Alpes, CNRS, Inst Geosci Environm IGE, Grenoble, France; [Tonelli, Marcos; Wainer, Ilana] Univ Sao Paulo, Inst Oceanog, Sao Paulo, Brazil; [Haumann, F. Alexander] Princeton Univ, Atmospher &amp; Ocean Sci Program, Princeton, NJ 08544 USA; [Rackow, Thomas] Helmholtz Ctr Polar &amp; Marine Res, Alfred Wegener Inst, Climate Dynam, Bremerhaven, Germany; [Roach, Lettie A.] Univ Washington, Atmospher Sci, Seattle, WA 98195 USA</t>
  </si>
  <si>
    <t>UK Research &amp; Innovation (UKRI); Natural Environment Research Council (NERC); NERC British Antarctic Survey; Centre National de la Recherche Scientifique (CNRS); Communaute Universite Grenoble Alpes; Universite Grenoble Alpes (UGA); Universidade de Sao Paulo; Princeton University; National Oceanic Atmospheric Admin (NOAA) - USA; Helmholtz Association; Alfred Wegener Institute, Helmholtz Centre for Polar &amp; Marine Research; University of Washington; University of Washington Seattle</t>
  </si>
  <si>
    <t>Bracegirdle, TJ (corresponding author), British Antarctic Survey, Madingley Rd, Cambridge CB3 0ET, England.</t>
  </si>
  <si>
    <t>Krinner, Gerhard/A-6450-2011; Roach, Lettie/HKV-2511-2023; Krinner, Gerhard/AAB-8837-2022; Rackow, Thomas/AAP-2735-2020; Tonelli, Marcos/GYE-2675-2022; Haumann, Alexander/J-6679-2014; WAINER, ILANA/B-4540-2011</t>
  </si>
  <si>
    <t>Roach, Lettie/0000-0003-4189-3928; Krinner, Gerhard/0000-0002-2959-5920; Rackow, Thomas/0000-0002-5468-575X; Haumann, Alexander/0000-0002-8218-977X; Bracegirdle, Thomas/0000-0002-8868-4739; Naughten, Kaitlin/0000-0001-9475-9162; WAINER, ILANA/0000-0003-3784-623X</t>
  </si>
  <si>
    <t>British Antarctic Survey [NE/L013770/1, NE/N01829X/1]; National Oceanic and Atmospheric Administration [NA18OAR4310274]; National Science Foundation [PLR-1425989, PLR-1643431]; Swiss National Science Foundation [P2EZP2_175162, P400P2_186681]; Swiss National Science Foundation (SNF) [P400P2_186681, P2EZP2_175162] Funding Source: Swiss National Science Foundation (SNF); NERC [NE/S004645/1, NE/N01829X/1, bas0100032, NE/L013770/1, NE/N018486/1] Funding Source: UKRI</t>
  </si>
  <si>
    <t>British Antarctic Survey; National Oceanic and Atmospheric Administration(National Oceanic Atmospheric Admin (NOAA) - USA); National Science Foundation(National Science Foundation (NSF)); Swiss National Science Foundation(Swiss National Science Foundation (SNSF)); Swiss National Science Foundation (SNF)(Swiss National Science Foundation (SNSF)); NERC(UK Research &amp; Innovation (UKRI)Natural Environment Research Council (NERC))</t>
  </si>
  <si>
    <t>British Antarctic Survey, Grant/Award Numbers: NE/L013770/1, NE/N01829X/1; National Oceanic and Atmospheric Administration, Grant/Award Number: NA18OAR4310274; National Science Foundation, Grant/Award Numbers: PLR-1425989, PLR-1643431; Swiss National Science Foundation, Grant/Award Numbers: P2EZP2_175162, P400P2_186681</t>
  </si>
  <si>
    <t>e984</t>
  </si>
  <si>
    <t>10.1002/asl.984</t>
  </si>
  <si>
    <t>NK8DP</t>
  </si>
  <si>
    <t>WOS:000535946500001</t>
  </si>
  <si>
    <t>Pertierra, LR; Segovia, NI; Noll, D; Martinez, PA; Pliscoff, P; Barbosa, A; Aragón, P; Rey, AR; Pistorius, P; Trathan, P; Polanowski, A; Bonadonna, F; Le Bohec, C; Bi, K; Wang-Claypool, CY; González-Acuna, D; Dantas, GPM; Bowie, RCK; Poulin, E; Vianna, JA</t>
  </si>
  <si>
    <t>Pertierra, Luis R.; Segovia, Nicolas, I; Noll, Daly; Martinez, Pablo A.; Pliscoff, Patricio; Barbosa, Andres; Aragon, Pedro; Rey, Andrea Raya; Pistorius, Pierre; Trathan, Phil; Polanowski, Andrea; Bonadonna, Francesco; Le Bohec, Celine; Bi, Ke; Wang-Claypool, Cynthia Y.; Gonzalez-Acuna, Daniel; Dantas, Gisele P. M.; Bowie, Rauri C. K.; Poulin, Elie; Vianna, Juliana A.</t>
  </si>
  <si>
    <t>Cryptic speciation in gentoo penguins is driven by geographic isolation and regional marine conditions: Unforeseen vulnerabilities to global change</t>
  </si>
  <si>
    <t>diversification; ecological niche overlap; gentoo penguin; subspecies</t>
  </si>
  <si>
    <t>PYGOSCELIS-PAPUA; POPULATION-STRUCTURE; CLIMATE-CHANGE; GENE TREES; PACKAGE; MODELS; DNA; DIFFERENTIATION; VARIABILITY; ANTARCTICA</t>
  </si>
  <si>
    <t>Aim The conservation of biodiversity is hampered by data deficiencies, with many new species and subspecies awaiting description or reclassification. Population genomics and ecological niche modelling offer complementary new tools for uncovering functional units of phylogenetic diversity. We hypothesize that phylogenetically delineated lineages of gentoo penguins (Pygoscelis papua) distributed across Antarctica and sub-Antarctic Islands are subject to spatially explicit ecological conditions that have limited gene flow, facilitating genetic differentiation, and thereby speciation processes. Location Antarctica and sub-Antarctic area. Methods We identify divergent lineages for gentoo penguins using ddRAD-seq and mtDNA, and generated species distribution models (SDMs) based on terrestrial and marine parameters. Results Analyses of our genomic data supports the existence of four major lineages of gentoo penguin: (i) spanning the sub-Antarctic archipelagos north of the Antarctic Polar Front (APF); (ii) Kerguelen Island; (iii) South America; and (iv) across maritime Antarctic and the Scotia Arc archipelagos. The APF, a major current system around Antarctica, acts as the most important barrier separating regional sister lineages. Our ecological analyses spanning both the terrestrial (breeding sites) and marine (feeding sites) realms recover limited niche overlap among the major lineages of gentoo penguin. We observe this pattern to correspond more closely with regional differentiation of marine conditions than to terrestrial macroenvironmental features. Main conclusions Recognition of regional genetic lineages as discrete evolutionary entities that occupy distinct ecological niches and also differ morphologically should be considered a priority for conservation. Gentoo penguins provide a good example of how conservation policy can be directly impacted by new insights obtained through the integration of larger genomic datasets with novel approaches to ecological modelling. This is particularly pertinent to polar environments that are among the most rapidly changing environments on earth.</t>
  </si>
  <si>
    <t>[Pertierra, Luis R.; Barbosa, Andres; Aragon, Pedro] CSIC, Museo Nacl Ciencias Nat, Dept Ecol Evolut, Madrid, Spain; [Segovia, Nicolas, I; Noll, Daly; Poulin, Elie] Univ Chile, Inst Ecol &amp; Biodiversidad, Dept Ciencias Ecol, Santiago, Chile; [Segovia, Nicolas, I] Univ Catolica Norte, Fac Ciencias Mar, Dept Biol Marina, Coquimbo, Chile; [Noll, Daly; Vianna, Juliana A.] Pontificia Univ Catolica Chile, Fac Agron &amp; Ingn Forestal, Dept Ecosistemas &amp; Medio Ambiente, Santiago, Chile; [Martinez, Pablo A.] Univ Fed Sergipe, Dept Biol, PIBi Lab, Sao Cristovao, Brazil; [Pliscoff, Patricio] Pontificia Univ Catolica Chile, Inst Geog, Dept Ecol, Santiago, Chile; [Aragon, Pedro] Univ Complutense Madrid, Dept Biodiversidad Ecol &amp; Evoluc, Fac Ciecias Biol, Madrid, Spain; [Rey, Andrea Raya] Consejo Nacl Invest Cient &amp; Tecn, CADIC, Ctr Austral Invest Cient, Ushuaia, Argentina; [Rey, Andrea Raya] Univ Nacl Tierra Fuego, Inst Ciencias Polares Ambiente &amp; Recursos Nat, Ushuaia, Argentina; [Rey, Andrea Raya] Wildlife Conservat Soc, Buenos Aires, DF, Argentina; [Pistorius, Pierre] Nelson Mandela Univ, Percy FitzPatrick Inst African Ornithol, DST NRF Ctr Excellence, Dept Zool, Port Elizabeth, South Africa; [Trathan, Phil] British Antarctic Survey, Cambridge, England; [Polanowski, Andrea] Australian Antarctic Div, Kingston, Tas, Australia; [Bonadonna, Francesco] Univ Paul Valery Montpellier, Univ Montpellier, EPHE, CEFE UMR 5175,CNRS, Montpellier 5, France; [Le Bohec, Celine] Univ Strasbourg, CNRS, IPHC, UMR 7178, F-67000 Strasbourg, France; [Le Bohec, Celine] Ctr Sci Monaco, Dept Biol Polaire, Monaco, Monaco; [Bi, Ke; Wang-Claypool, Cynthia Y.; Bowie, Rauri C. K.] Univ Calif Berkeley, Dept Integrat Biol, Museum Vertebrate Zool, Berkeley, CA 94720 USA; [Gonzalez-Acuna, Daniel] Univ Concepcion Chillan, Fac Ciencias Vet, Lab Parasitos &amp; Enfermedades Fauna Silvestre, Santiago, Chile; [Dantas, Gisele P. M.] Pontificia Univ Catolica Minas Gerais, PPG Vertebrate Zool, Belo Horizonte, MG, Brazil</t>
  </si>
  <si>
    <t>Consejo Superior de Investigaciones Cientificas (CSIC); CSIC - Museo Nacional de Ciencias Naturales (MNCN); Universidad de Chile; Universidad Catolica del Norte; Pontificia Universidad Catolica de Chile; Universidade Federal de Sergipe; Pontificia Universidad Catolica de Chile; Complutense University of Madrid; Consejo Nacional de Investigaciones Cientificas y Tecnicas (CONICET); Nelson Mandela University; National Research Foundation - South Africa; UK Research &amp; Innovation (UKRI); Natural Environment Research Council (NERC); NERC British Antarctic Survey; Australian Antarctic Division; Centre National de la Recherche Scientifique (CNRS); CNRS - Institute of Ecology &amp; Environment (INEE); Universite de Montpellier; Universite PSL; Ecole Pratique des Hautes Etudes (EPHE); Centre National de la Recherche Scientifique (CNRS); CNRS - National Institute of Nuclear and Particle Physics (IN2P3); Universites de Strasbourg Etablissements Associes; Universite de Strasbourg; University of California System; University of California Berkeley; Pontificia Universidade Catolica de Minas Gerais</t>
  </si>
  <si>
    <t>Vianna, JA (corresponding author), Pontificia Univ Catolica Chile, Dept Ecosistemas &amp; Medio Ambiente, Vicuna Mackenna 4860, Santiago, Chile.</t>
  </si>
  <si>
    <t>jvianna@uc.cl</t>
  </si>
  <si>
    <t>Aragón, Pedro/B-2598-2009; Bowie, Rauri/H-9165-2019; LE BOHEC, CELINE/AAD-3589-2022; Pliscoff, Patricio/N-2000-2019; Vianna, Juliana A/E-9847-2015; bi, ke/KBB-4145-2024; Pertierra, Luis R./K-3727-2017; Dantas, Gisele PM/T-6782-2019; Martinez, Pablo Ariel/R-9374-2017; Poulin, Elie/C-2654-2012; Barbosa, Andres/C-3208-2008</t>
  </si>
  <si>
    <t>Aragón, Pedro/0000-0002-6849-7274; Bowie, Rauri/0000-0001-8328-6021; Pertierra, Luis R./0000-0002-2232-428X; Dantas, Gisele PM/0000-0001-5282-7577; Martinez, Pablo Ariel/0000-0002-5583-3179; Poulin, Elie/0000-0001-7736-0969; Raya Rey, Andrea/0000-0003-0127-6650; Noll, Daly/0000-0003-3733-8817; Barbosa, Andres/0000-0001-8434-3649; Polanowski, Andrea/0000-0002-9612-220X; LE BOHEC, Celine/0000-0003-0149-6477</t>
  </si>
  <si>
    <t>Spanish Research Agency [CGL2004-01348, CGL2007-60369, POL2006-06635]; 'Ramon y Cajal' contract [RYC-2011-07670]; MINECO-MNCN; NICHEAPPS project [CGL2014-56416-P]; Instituto Antartico Chileno [INACH12-14]; ETHOTAAF [IPEV Prog 354]; Conselho Nacional de Desenvolvimento Cientifico e Tecnologico [482501/2013-8, 431463/2016-6]; Comision Nacional de Investigacion Cientifica y Tecnologica [GAB PIA CONICYT ACT172065]; NERC [bas0100035] Funding Source: UKRI</t>
  </si>
  <si>
    <t>Spanish Research Agency(Spanish Government); 'Ramon y Cajal' contract(Spanish Government); MINECO-MNCN; NICHEAPPS project; Instituto Antartico Chileno; ETHOTAAF; Conselho Nacional de Desenvolvimento Cientifico e Tecnologico(Conselho Nacional de Desenvolvimento Cientifico e Tecnologico (CNPQ)); Comision Nacional de Investigacion Cientifica y Tecnologica; NERC(UK Research &amp; Innovation (UKRI)Natural Environment Research Council (NERC))</t>
  </si>
  <si>
    <t>Spanish Research Agency, Grant/Award Number: CGL2004-01348, CGL2007-60369 and POL2006-06635; 'Ramon y Cajal' contract, Grant/Award Number: RYC-2011-07670 and MINECO-MNCN; NICHEAPPS project, Grant/Award Number: CGL2014-56416-P; Instituto Antartico Chileno, Grant/Award Number: INACH12-14; ETHOTAAF, Grant/Award Number: IPEV Prog 354; Conselho Nacional de Desenvolvimento Cientifico e Tecnologico, Grant/Award Number: 482501/2013-8 and 431463/2016-6; Comision Nacional de Investigacion Cientifica y Tecnologica, Grant/Award Number: GAB PIA CONICYT ACT172065</t>
  </si>
  <si>
    <t>10.1111/ddi.13072</t>
  </si>
  <si>
    <t>MF7RZ</t>
  </si>
  <si>
    <t>WOS:000535948800001</t>
  </si>
  <si>
    <t>Dilley, B; Hedding, DW; Schoombie, S; Ryan, PG</t>
  </si>
  <si>
    <t>Dilley, Ben J.; Hedding, David W.; Schoombie, Stefan; Ryan, Peter G.</t>
  </si>
  <si>
    <t>A survey of Great-winged PetrelsPterodroma macropterabreeding at sub-Antarctic Marion Island and a revised global population estimate</t>
  </si>
  <si>
    <t>OSTRICH</t>
  </si>
  <si>
    <t>burrow-nesting petrel; Grey-faced PetrelP; gouldi; nest surveys; random transects; seabirds</t>
  </si>
  <si>
    <t>BURROW-NESTING PETRELS; BREEDING SUCCESS; MOUSE PREDATION; FERAL CATS</t>
  </si>
  <si>
    <t>Although burrow-nesting petrels are the most abundant group of seabirds in the Southern Ocean, their global populations are poorly known, because most species breed on remote islands. For example, there are no accurate estimates for Great-winged PetrelPterodroma macropterapopulations at any of its major breeding sites. Moreover, current global population estimates for Great-winged Petrels of approximately 1.5 million birds include counts of the closely related Grey-faced PetrelP. gouldi, which is now recognised as a different species. On sub-Antarctic Marion Island, Great-winged Petrel burrows found within random strip transects were counted and then burrow densities were extrapolated by GIS-derived habitat attributes to generate an island-wide burrow estimate (33 000 burrows). Burrow occupancy rates at the start of incubation averaged 48 +/- 29% (range 10-94%) during one-off surveys at ten sites around the island, and repeat surveys found at least 42% of burrows were occupied by breeders. This suggests there were approximately 14 000 occupied burrows (95% CI 9 500-18 500) on Marion Island in 2015. Collating data from other breeding sites suggests that the global breeding population is perhaps 100 000-150 000 pairs (400 000-600 000 birds).</t>
  </si>
  <si>
    <t>[Dilley, Ben J.; Schoombie, Stefan; Ryan, Peter G.] Univ Cape Town, FitzPatrick Inst African Ornithol, Cape Town, South Africa; [Hedding, David W.] Univ South Africa, Dept Geog, Pretoria, South Africa</t>
  </si>
  <si>
    <t>University of Cape Town; University of South Africa</t>
  </si>
  <si>
    <t>Dilley, B (corresponding author), Univ Cape Town, FitzPatrick Inst African Ornithol, Cape Town, South Africa.</t>
  </si>
  <si>
    <t>dilleyben@gmail.com</t>
  </si>
  <si>
    <t>University of Cape Town; National Research Foundation</t>
  </si>
  <si>
    <t>We thank Vonica Perold, Alexis Osborne and Janine Schoombie for help with the 2015 field survey, the Gough Island field teams and especially Delia Davies, Derren Fox, Chris Taylor, Jan Bradley, Chris Jones, Michelle Risi and Alexis Osborne for their observations. We also thank Ron Johnstone, Belinda Cannell, Jennifer Lavers, Morgan Gilmour, Nicholas Carlile and Susan Waugh for kindly sharing data and observations of Great-winged Petrel populations at the islands off SW Australia and New Zealand. We are grateful to Karine Delord and Adrien Chaigne for updated information on the Great-winged Petrel populations breeding at the French sub-Antarctic islands. The then Department of Environmental Affairs provided logistical support through the South African National Antarctic Programme. Financial support was received from the University of Cape Town and the National Research Foundation. We also thank two anonymous reviewers for their helpful feedback, which improved the paper, and Maelle Connan and Fabrice Le Bouard for the French translation.</t>
  </si>
  <si>
    <t>0030-6525</t>
  </si>
  <si>
    <t>1727-947X</t>
  </si>
  <si>
    <t>Ostrich</t>
  </si>
  <si>
    <t>APR 2</t>
  </si>
  <si>
    <t>10.2989/00306525.2020.1721587</t>
  </si>
  <si>
    <t>Ornithology</t>
  </si>
  <si>
    <t>MU3LB</t>
  </si>
  <si>
    <t>WOS:000540988700001</t>
  </si>
  <si>
    <t>Rind, D; Orbe, C; Jonas, J; Nazarenko, L; Zhou, T; Kelley, M; Lacis, A; Shindell, D; Faluvegi, G; Romanou, A; Russell, G; Tausnev, N; Bauer, M; Schmidt, G</t>
  </si>
  <si>
    <t>Rind, D.; Orbe, C.; Jonas, J.; Nazarenko, L.; Zhou, T.; Kelley, M.; Lacis, A.; Shindell, D.; Faluvegi, G.; Romanou, A.; Russell, G.; Tausnev, N.; Bauer, M.; Schmidt, G.</t>
  </si>
  <si>
    <t>GISS Model E2.2: A Climate Model Optimized for the Middle Atmosphere-Model Structure, Climatology, Variability, and Climate Sensitivity</t>
  </si>
  <si>
    <t>climate model; middle atmosphere; model development</t>
  </si>
  <si>
    <t>MERIDIONAL OVERTURNING CIRCULATION; ANTARCTIC CIRCUMPOLAR CURRENT; WELL-RESOLVED STRATOSPHERE; OCEAN HEAT-TRANSPORT; LOW-TOP VERSIONS; INTRASEASONAL VARIABILITY; PART I; SIMULATIONS; OSCILLATION; TEMPERATURE</t>
  </si>
  <si>
    <t>We introduce a new climate model (GISS E2.2) that has been specially optimized for the middle atmosphere and whose output is being contributed to the CMIP6 archive. The top of the model is at a geopotential altitude of 89 km, and parameterizations of moist convection and various forms of gravity wave drag based on tropospheric processes are chosen specifically for this optimization. We first evaluate the model in its configuration as a coupled atmosphere-chemistry model with respect to its simulation of the mean state of the middle atmosphere, from the mesosphere down through the upper troposphere/lower stratosphere. Then we assess its use as a coupled atmosphere-ocean climate model by exploring its mean ocean climatology. To evaluate its variability, we report on its simulation of the primary modes in the troposphere, stratosphere, and ocean. Two climate change simulations are presented, the responses to instantaneous increases of 2xCO(2) and 4xCO(2), run with two different ocean models. Sensitivity studies are performed to illustrate the effect of parameterizations on the model results. We compare these results to the lower vertical resolution/top GISS Model E2.1, whose output has also been submitted to CMIP6. The different choices made for these models are explored. It is shown that important improvements in the circulation above and below the tropopause can be obtained when attention is paid to representation of middle atmosphere processes in climate model development.</t>
  </si>
  <si>
    <t>[Rind, D.; Orbe, C.; Lacis, A.; Romanou, A.; Russell, G.; Schmidt, G.] NASA, Goddard Inst Space Studies, New York, NY 10025 USA; [Jonas, J.; Nazarenko, L.; Zhou, T.; Faluvegi, G.; Bauer, M.] Columbia Univ, Ctr Climate Syst Res, New York, NY USA; [Kelley, M.; Tausnev, N.] SciSpace LLC, Bethesda, MD USA; [Shindell, D.] Duke Univ, Nicholas Sch Environm, Ocean Sci Div, Durham, NC 27708 USA</t>
  </si>
  <si>
    <t>National Aeronautics &amp; Space Administration (NASA); NASA Goddard Space Flight Center; Goddard Institute for Space Studies; Columbia University; Duke University</t>
  </si>
  <si>
    <t>Rind, D (corresponding author), NASA, Goddard Inst Space Studies, New York, NY 10025 USA.</t>
  </si>
  <si>
    <t>david.h.rind@nasa.gov</t>
  </si>
  <si>
    <t>Lacis, Andrew A/D-4658-2012; Lacis, Andrew/GVT-2947-2022; Schmidt, Gavin/D-4427-2012; Keyes, Dennis/AAZ-9285-2021; Shindell, Drew/D-4636-2012</t>
  </si>
  <si>
    <t>Schmidt, Gavin/0000-0002-2258-0486; Shindell, Drew/0000-0003-1552-4715; Romanou, Anastasia/0000-0001-5241-4772; Zhou, Tiehan/0000-0001-8398-1358; Rind, David/0000-0002-7945-7622</t>
  </si>
  <si>
    <t>NASA Modeling, Analysis and Prediction program</t>
  </si>
  <si>
    <t>NASA Modeling, Analysis and Prediction program(National Aeronautics &amp; Space Administration (NASA))</t>
  </si>
  <si>
    <t>Climate modeling at GISS is supported by the NASA Modeling, Analysis and Prediction program, and resources supporting this work were provided by the NASA High-End Computing (HEC) Program through the NASA Center for Climate Simulation (NCCS) at Goddard Space Flight Center. We thank Jan Perlwitz for examining the dust parameterization, Lee Murray for the lightning parameterization, and Suzanne Bauer for assessing E2.2 OMA forcings. We thank Ivan Mitevski, a doctoral candidate in the Department of Applied Mathematics and Applied Physics at Columbia University, for sharing his analysis of the CMIP5 and CMIP6 multimodel response of the Atlantic meridional overturning circulation in the abrupt 4xCO2 experiment. We also thank all the authors who contributed to creating GISS Model E2.1, on which these models are built. Two anonymous reviewers provided suggestions that have helped to improve this paper. E2.2 AP Model data are available through the Coupled Model Intercomparison Project (CMIP) data archive of the World Climate Research Programme (WCRP) (http://pcmdi9.llnl.gov) [under the generic title E2.2]. E2.2 Model data, following the CMIP6 protocol and naming, are available from NCCS portal (under the title E2.2.1; at https://portal.nccs.nasa.gov/datashare/giss_cmip6/CMIP/NASA-GISS/GISS-E2.2.1-G/).Observational data are available from https://gmao.gsfc.nasa.gov/reanalysis/MERRA-2/data_access/ for MERRA2, from https://www.ecmwf.int/en/forecasts/datasets/reanalysis-datasets/era5 for ERA5, and https://www.nodc.noaa.gov/OC5/woa13/ for World Ocean Atlas 2013 Version 2. Other observational data sources used for comparison are given in the text.</t>
  </si>
  <si>
    <t>MAY 27</t>
  </si>
  <si>
    <t>e2019JD032204</t>
  </si>
  <si>
    <t>10.1029/2019JD032204</t>
  </si>
  <si>
    <t>LU5ID</t>
  </si>
  <si>
    <t>WOS:000537788100018</t>
  </si>
  <si>
    <t>McNeill, L; Dugan, B; Petronotis, K; Milliken, K; Francis, J</t>
  </si>
  <si>
    <t>McNeill, Lisa; Dugan, Brandon; Petronotis, Katerina; Milliken, Kitty; Francis, Jane</t>
  </si>
  <si>
    <t>Expedition 362 Scientists</t>
  </si>
  <si>
    <t>Late Miocene wood recovered in Bengal-Nicobar submarine fan sediments by IODP Expedition 362</t>
  </si>
  <si>
    <t>SCIENTIFIC DRILLING</t>
  </si>
  <si>
    <t>Drilling and coring during IODP Expedition 362 in the eastern Indian Ocean encountered probably the largest wood fragment ever recovered in scientific ocean drilling. The wood is Late Miocene in age and buried beneath similar to 800m of siliciclastic mud and sand of the Bengal-Nicobar Fan. The wood is well preserved. Possible origins include the hinterland to the north, with sediment transported as part of the submarine fan sedimentary processes, or the Sunda subduction zone to the east, potentially as a megathrust tsunami deposit.</t>
  </si>
  <si>
    <t>[McNeill, Lisa] Univ Southampton, Natl Oceanog Ctr Southampton, Ocean &amp; Earth Sci, Southampton S014 3ZH, Hants, England; [Dugan, Brandon] Colorado Sch Mines, Dept Geophys, Golden, CO 80401 USA; [Petronotis, Katerina] Texas A&amp;M Univ, Int Ocean Discovery Program, 1000 Discovery Dr, College Stn, TX 77845 USA; [Milliken, Kitty] Univ Texas Austin, Bur Econ Geol, 1 Univ Stn,Box 10, Austin, TX 78713 USA; [Francis, Jane] British Antarctic Survey, Madingley Rd, Cambridge CB3 0ET, England</t>
  </si>
  <si>
    <t>NERC National Oceanography Centre; University of Southampton; Colorado School of Mines; Texas A&amp;M University System; Texas A&amp;M University College Station; University of Texas System; University of Texas Austin; UK Research &amp; Innovation (UKRI); Natural Environment Research Council (NERC); NERC British Antarctic Survey</t>
  </si>
  <si>
    <t>McNeill, L (corresponding author), Univ Southampton, Natl Oceanog Ctr Southampton, Ocean &amp; Earth Sci, Southampton S014 3ZH, Hants, England.</t>
  </si>
  <si>
    <t>lcmn@noc.soton.ac.uk</t>
  </si>
  <si>
    <t>Pickering, Kevin Thomas/0000-0002-7653-1575; McNeill, Lisa/0000-0002-8689-5882; Dugan, Brandon/0000-0002-2555-6430</t>
  </si>
  <si>
    <t>Natural Environment Research Council [NE/P01297/1]; U.S. Science Support Program (a Post Expedition Activity award); IODP JRSO [OCE-1326927]; NERC [bas010011] Funding Source: UKRI</t>
  </si>
  <si>
    <t>Natural Environment Research Council(UK Research &amp; Innovation (UKRI)Natural Environment Research Council (NERC)); U.S. Science Support Program (a Post Expedition Activity award); IODP JRSO; NERC(UK Research &amp; Innovation (UKRI)Natural Environment Research Council (NERC))</t>
  </si>
  <si>
    <t>This research has been supported by the Natural Environment Research Council (support to Lisa McNeill, grant no. NE/P01297/1), the U.S. Science Support Program (a Post Expedition Activity award to Brandon Dugan), and by the IODP JRSO (support to Katerina Petronotis, NSF grant no. OCE-1326927).</t>
  </si>
  <si>
    <t>1816-8957</t>
  </si>
  <si>
    <t>1816-3459</t>
  </si>
  <si>
    <t>SCI DRILL</t>
  </si>
  <si>
    <t>Sci. Drill.</t>
  </si>
  <si>
    <t>10.5194/sd-27-49-2020</t>
  </si>
  <si>
    <t>LU4CD</t>
  </si>
  <si>
    <t>WOS:000537704200004</t>
  </si>
  <si>
    <t>Coleine, C; Gevi, F; Fanelli, G; Onofri, S; Timperio, AM; Selbmann, L</t>
  </si>
  <si>
    <t>Coleine, Claudia; Gevi, Federica; Fanelli, Giuseppina; Onofri, Silvano; Timperio, Anna Maria; Selbmann, Laura</t>
  </si>
  <si>
    <t>Specific adaptations are selected in opposite sun exposed Antarctic cryptoendolithic communities as revealed by untargeted metabolomics</t>
  </si>
  <si>
    <t>MCMURDO DRY VALLEYS; BLACK FUNGI; ENDOLITHIC MICROORGANISMS; TEMPERATURE-VARIATIONS; TRANSCRIPTOME ANALYSIS; MICROBIAL DIVERSITY; IONIZING-RADIATION; SHOCK RESPONSE; VICTORIA LAND; COLD</t>
  </si>
  <si>
    <t>Antarctic cryptoendolithic communities are self-supporting borderline ecosystems spreading across the extreme conditions of the Antarctic desert and represent the predominant life-form in the ice-free areas of McMurdo Dry Valleys, accounted as the closest terrestrial Martian analogue. Components of these communities are highly adapted extremophiles and extreme-tolerant microorganisms, among the most resistant known to date. Recently, studies investigated biodiversity and community composition in these ecosystems but the metabolic activity of the metacommunity has never been investigated. Using an untargeted metabolomics, we explored stress-response of communities spreading in two sites of the same location, subjected to increasing environmental pressure due to opposite sun exposure, accounted as main factor influencing the diversity and composition of these ecosystems. Overall, 331 altered metabolites (206 and 125 unique for north and south, respectively), distinguished the two differently exposed communities. We also selected 10 metabolites and performed two-stage Receiver Operating Characteristic (ROC) analysis to test them as potential biomarkers. We further focused on melanin and allantoin as protective substances; their concentration was highly different in the community in the shadow or in the sun. These results clearly indicate that opposite insolation selected organisms in the communities with different adaptation strategies in terms of key metabolites produced.</t>
  </si>
  <si>
    <t>[Coleine, Claudia; Gevi, Federica; Fanelli, Giuseppina; Onofri, Silvano; Timperio, Anna Maria; Selbmann, Laura] Univ Tuscia, Dept Ecol &amp; Biol Sci, Viterbo, Italy; [Gevi, Federica; Fanelli, Giuseppina; Timperio, Anna Maria] Univ Tuscia, Dept Sci &amp; Technol Agr Forestry Nat &amp; Energy, Viterbo, Italy; [Selbmann, Laura] Italian Natl Antarct Museum MNA, Mycol Sect, Genoa, Italy</t>
  </si>
  <si>
    <t>Tuscia University; Tuscia University</t>
  </si>
  <si>
    <t>Timperio, AM; Selbmann, L (corresponding author), Univ Tuscia, Dept Ecol &amp; Biol Sci, Viterbo, Italy.;Timperio, AM (corresponding author), Univ Tuscia, Dept Sci &amp; Technol Agr Forestry Nat &amp; Energy, Viterbo, Italy.;Selbmann, L (corresponding author), Italian Natl Antarct Museum MNA, Mycol Sect, Genoa, Italy.</t>
  </si>
  <si>
    <t>timperio@unitus.it; selbmann@unitus.it</t>
  </si>
  <si>
    <t>Gevi, Federica/AAB-2524-2022; Selbmann, Laura/L-3056-2013; Coleine, Claudia/AAE-1889-2020; FANELLI, Giuseppina/AAB-2508-2022</t>
  </si>
  <si>
    <t>Gevi, Federica/0000-0001-6208-8130; Selbmann, Laura/0000-0002-8967-3329; Coleine, Claudia/0000-0002-9289-6179; FANELLI, Giuseppina/0000-0002-8423-065X</t>
  </si>
  <si>
    <t>Italian National Program for Antarctic Researches (PNRA); Italian Antarctic National Museum (MNA); Italian Space Agency (ASI) [2018-6-U0]</t>
  </si>
  <si>
    <t>Italian National Program for Antarctic Researches (PNRA); Italian Antarctic National Museum (MNA); Italian Space Agency (ASI)(Agenzia Spaziale Italiana (ASI))</t>
  </si>
  <si>
    <t>L.S. and C.C. wish to thank the Italian National Program for Antarctic Researches (PNRA) for funding sampling campaigns and researches in Italy in the frame of the PNRA projects. The Italian Antarctic National Museum (MNA) is kindly acknowledged for financial support to the Mycological Section on the MNA for preserving Antarctic rock samples, herein analysed, stored in the Culture Collection of Fungi from Extreme Environments (CCFEE), University of Tuscia, Italy. The authors wish to thank Italian Space Agency (ASI n. 2018-6-U0) for co-funding the BIOSIGNMicrofossils project.</t>
  </si>
  <si>
    <t>e0233805</t>
  </si>
  <si>
    <t>10.1371/journal.pone.0233805</t>
  </si>
  <si>
    <t>LU1ON</t>
  </si>
  <si>
    <t>WOS:000537531500027</t>
  </si>
  <si>
    <t>Guinder, VA; Malits, A; Ferronato, C; Krock, B; Garzón-Cardona, J; Martínez, A</t>
  </si>
  <si>
    <t>Guinder, Valeria A.; Malits, Andrea; Ferronato, Carola; Krock, Bernd; Garzon-Cardona, John; Martinez, Ana</t>
  </si>
  <si>
    <t>Microbial plankton configuration in the epipelagic realm from the Beagle Channel to the Burdwood Bank, a Marine Protected Area in Sub-Antarctic waters</t>
  </si>
  <si>
    <t>SOUTHWESTERN ATLANTIC-OCEAN; SOUTH-AMERICA; COMMUNITY COMPOSITION; PHYTOPLANKTON; CARBON; SHELF; BLOOM; BIODIVERSITY; ABUNDANCE; DYNAMICS</t>
  </si>
  <si>
    <t>Marine microbial plankton hold high structural and functional diversity, however, high-resolution data are lacking in a large part of the Global Ocean, such as in subpolar areas of the SW Atlantic. The Burdwood Bank (BB) is a submerged plateau (average depth 100 m) that constitutes the westernmost segment of the North Scotia Ridge (54 degrees-55 degrees S; 56 degrees-62 degrees W). The BB hosts rich benthic biodiversity in low chlorophyll waters of the southern Patagonian Shelf, Argentina, declared Namuncura Marine Protected Area (NMPA) in 2013. So far, the pelagic microorganisms above the bank have not been described. During austral summer 2016, we assessed the microbial plankton (0.2-200 mu m cell size) biomass and their taxonomical and functional diversity along a longitudinal transect (54.2-55.3 degrees S, 58- 68 degrees W) from the Beagle Channel ( BC) to the BB, characterized by contrasting hydrography. Results displayed a marked zonation in the composition and structure of the microbial communities. The biomass of phytoplankton &gt; 5 mu m was 28 times higher in the BC, attributed mainly to large diatom blooms, than in oceanic waters above the BB, where the small coccolithophore Emiliania huxleyi and flagellates &lt; 10 mu m dominated. In turn, the biomass of microheterotrophs above the BB doubled the biomass in the BC due to large ciliates. Notably, toxic phytoplankton species and their phycotoxins were detected, in particular high abundance of Dinophysis acuminata and pectenotoxins above the bank, highlighting their presence in open subpolar regions. Picophytoplankton (&lt; 2 mu m), including Synechococcus and picoeukaryotes, were remarkably important above the BB, both at surface and deep waters (up to 150 m). Their biomass surpassed by 5 times that of phytoplankton &gt; 5 mu m, emphasizing the importance of small-sized phytoplankton in low chlorophyll waters. The homogeneous water column and high retention above the bank seem to favor the development of abundant picophytoplankton and microzooplankton communities. Overall, our findings unfold the plankton configuration in the Southern Patagonian Shelf, ascribed as a sink for anthropogenic CO2, and highlight the diverse ecological traits that microorganisms develop to adjust their yield to changing conditions.</t>
  </si>
  <si>
    <t>[Guinder, Valeria A.; Ferronato, Carola; Garzon-Cardona, John] Consejo Nacl Invest Cient &amp; Tecn CONICET, Inst Argentino Oceanog IADO, Bahia Blanca, Buenos Aires, Argentina; [Malits, Andrea] Consejo Nacl Invest Cient &amp; Tecn CONICET, Ctr Austral Invest Cient CADIC, Ushuaia, Argentina; [Krock, Bernd] Alfred Wegener Inst Helmholtz Zentrum Polar Meere, Bremerhaven, Germany; [Garzon-Cardona, John; Martinez, Ana] Univ Nacl Sur UNS, Dept Quim, CONICET, INQUISUR, Bahia Blanca, Buenos Aires, Argentina</t>
  </si>
  <si>
    <t>Consejo Nacional de Investigaciones Cientificas y Tecnicas (CONICET); Consejo Nacional de Investigaciones Cientificas y Tecnicas (CONICET); Helmholtz Association; Alfred Wegener Institute, Helmholtz Centre for Polar &amp; Marine Research; Consejo Nacional de Investigaciones Cientificas y Tecnicas (CONICET); National University of the South</t>
  </si>
  <si>
    <t>Guinder, VA (corresponding author), Consejo Nacl Invest Cient &amp; Tecn CONICET, Inst Argentino Oceanog IADO, Bahia Blanca, Buenos Aires, Argentina.</t>
  </si>
  <si>
    <t>vguinder@criba.edu.ar</t>
  </si>
  <si>
    <t>Krock, Bernd/ABB-7541-2020</t>
  </si>
  <si>
    <t>Guinder, Valeria Ana/0000-0002-3852-9570; Ferronato, Carola/0000-0002-5189-6746</t>
  </si>
  <si>
    <t>Argentine Government; Namuncura MPA; Argentinean research project of Agencia Nacional de Promocion Cientifica y Tecnologica (ANPCyT) [PICT-2016-0830, PICT-2013-1241, PICT-2015-0384]; Argentinean research project of Consejo Nacional de Investigaciones Cientificas y Tecnicas (CONICET) [PIP-11220150100368CO]; bilateral project MINCYT-DAAD (Ministerio de Ciencia, Tecnologia e Innovacion Productiva, Argentina, and Deutscher Akademischer Austauschdienst, Germany) [DA/13/04]; BMBFMINCYT [ARG14WTZ-020/01DN15013]; BMBF [16PGF0136]</t>
  </si>
  <si>
    <t>Argentine Government; Namuncura MPA; Argentinean research project of Agencia Nacional de Promocion Cientifica y Tecnologica (ANPCyT); Argentinean research project of Consejo Nacional de Investigaciones Cientificas y Tecnicas (CONICET); bilateral project MINCYT-DAAD (Ministerio de Ciencia, Tecnologia e Innovacion Productiva, Argentina, and Deutscher Akademischer Austauschdienst, Germany); BMBFMINCYT; BMBF(Federal Ministry of Education &amp; Research (BMBF))</t>
  </si>
  <si>
    <t>The financial support for the cruises was provided by the Argentine Government and the Namuncura MPA (National Law 26.875). The study was supported by Argentinean research projects of Agencia Nacional de Promocion Cientifica y Tecnologica (ANPCyT), codes PICT-2016-0830 to VAG, PICT-2013-1241 and PICT-2015-0384 to A. Malits, and of Consejo Nacional de Investigaciones Cientificas y Tecnicas (CONICET) PIP-11220150100368CO to VAG; the bilateral project MINCYT-DAAD code DA/13/04 to VAG (Ministerio de Ciencia, Tecnologia e Innovacion Productiva, Argentina, and Deutscher Akademischer Austauschdienst, Germany), and BMBFMINCYT (ARG14WTZ-020/01DN15013). Financial support for open-access publication was given by BMBF (Post Grant Fund 16PGF0136) to BK.</t>
  </si>
  <si>
    <t>e0233156</t>
  </si>
  <si>
    <t>10.1371/journal.pone.0233156</t>
  </si>
  <si>
    <t>WOS:000537531500016</t>
  </si>
  <si>
    <t>Taylor, S; Lever, JH; Burgess, KD; Stroud, RM; Brownlee, DE; Nittler, LR; Bardyn, A; Alexander, CMO; Farley, KA; Treffkorn, J; Messenger, S; Wozniakiewicz, PJ</t>
  </si>
  <si>
    <t>Taylor, S.; Lever, J. H.; Burgess, K. D.; Stroud, R. M.; Brownlee, D. E.; Nittler, L. R.; Bardyn, A.; Alexander, C. M. O'D; Farley, K. A.; Treffkorn, J.; Messenger, S.; Wozniakiewicz, P. J.</t>
  </si>
  <si>
    <t>Sampling interplanetary dust from Antarctic air</t>
  </si>
  <si>
    <t>SOLAR-SYSTEM; MICROMETEORITES; GRAINS; COLLECTION; PARTICLES; AEROSOL; HE-3; SNOW</t>
  </si>
  <si>
    <t>We built a collector to filter interplanetary dust particles (IDPs) larger than 5 mu m from the clean air at the Amundsen Scott South Pole station. Our sampling strategy used long duration, continuous dry filtering of near-surface air in place of short duration, high-speed impact collection on flags flown in the stratosphere. We filtered similar to 10(7) m(3) of clean Antarctic air through 20 cm diameter, 3 mu m filters coupled to a suction blower of modest power consumption (5-6 kW). Our collector ran continuously for 2 years and yielded 41 filters for analyses. Based on stratospheric concentrations, we predicted that each month's collection would provide 300-900 IDPs for analysis. We identified 19 extraterrestrial (ET) particles on the 66 cm(2) of filter examined, which represented similar to 0.5% of the exposed filter surfaces. The 11 ET particles larger than 5 mu m yield about a fifth of the expected flux based on &gt;5 mu m stratospheric ET particle flux. Of the 19 ET particles identified, four were chondritic porous IDPs, seven were FeNiS beads, two were FeNi grains, and six were chondritic material with FeNiS components. Most were &lt;10 mu m in diameter and none were cluster particles. Additionally, a carbon-rich candidate particle was found to have a small N-15 isotopic enrichment, supporting an ET origin. Many other candidate grains, including chondritic glasses and C-rich particles with Mg and Si and FeS grains, require further analysis to determine if they are ET. The vast majority of exposed filter surfaces remain to be examined.</t>
  </si>
  <si>
    <t>[Taylor, S.; Lever, J. H.] CRREL, 72 Lyme Rd, Hanover, NH 03755 USA; [Burgess, K. D.; Stroud, R. M.] Naval Res Lab, Mat Sci &amp; Technol Div, Washington, DC 20375 USA; [Brownlee, D. E.] Univ Washington, Dept Astron, Seattle, WA 98195 USA; [Nittler, L. R.; Bardyn, A.; Alexander, C. M. O'D] Carnegie Inst Sci, Earth &amp; Planets Lab, 5241 Broad Branch Rd NW, Washington, DC 20015 USA; [Farley, K. A.; Treffkorn, J.] CALTECH, 1200 E Calif Blvd, Pasadena, CA 91125 USA; [Messenger, S.] NASA, Johnson Space Ctr, ARES, Houston, TX 77058 USA; [Wozniakiewicz, P. J.] Univ Kent, Sch Phys Sci, Canterbury CT2 7NH, Kent, England</t>
  </si>
  <si>
    <t>United States Department of Defense; United States Army; U.S. Army Corps of Engineers; U.S. Army Engineer Research &amp; Development Center (ERDC); Cold Regions Research &amp; Engineering Laboratory (CRREL); United States Department of Defense; United States Navy; Naval Research Laboratory; University of Washington; University of Washington Seattle; Carnegie Institution for Science; California Institute of Technology; National Aeronautics &amp; Space Administration (NASA); NASA Johnson Space Center; University of Kent</t>
  </si>
  <si>
    <t>Taylor, S (corresponding author), CRREL, 72 Lyme Rd, Hanover, NH 03755 USA.</t>
  </si>
  <si>
    <t>susant47@gmail.com</t>
  </si>
  <si>
    <t>Stroud, Rhonda M/S-4584-2018; Alexander, Conel M. O'D./N-7533-2013; Farley, Kenneth/AAE-7735-2020; Stroud, Rhonda/GQZ-0151-2022</t>
  </si>
  <si>
    <t>Stroud, Rhonda M/0000-0001-5242-8015; Alexander, Conel M. O'D./0000-0002-8558-1427; Stroud, Rhonda/0000-0001-5242-8015; Burgess, Katherine/0000-0003-2028-447X; Treffkorn, Jonathan/0000-0002-4953-8245</t>
  </si>
  <si>
    <t>NASA; STFC [ST/S000348/1] Funding Source: UKRI</t>
  </si>
  <si>
    <t>NASA(National Aeronautics &amp; Space Administration (NASA)); STFC(UK Research &amp; Innovation (UKRI)Science &amp; Technology Facilities Council (STFC))</t>
  </si>
  <si>
    <t>We thank Dr. Jeff Grossman, NASA's Emerging Worlds program manager, for funding this project and for added support provided by Dr. Scott Borg, NSF's Antarctic Program manager. We thank our research associates Adam West (2017), Ta-Lee Shue (2018), and Sheryl Seagraves (2019) who conscientiously monitored the operation of the collector and changed out the filters. Many people at South Pole helped to make this project a reality but a special thanks to Leah Street, our NSF science support coordinator and to Dan McCreight, our NSF logistics coordinator. We also thank our students Amanda Pinson and Summer Christenson from Dartmouth College and David Bour, an NRL SEAP student intern. Lastly, we thank Dr. Hope Ishii and an anonymous reviewer who provided comments that improved the paper. The authors have no conflict of interests that could affect the results presented in this paper.</t>
  </si>
  <si>
    <t>MAY</t>
  </si>
  <si>
    <t>10.1111/maps.13483</t>
  </si>
  <si>
    <t>MJ7WQ</t>
  </si>
  <si>
    <t>WOS:000535615400001</t>
  </si>
  <si>
    <t>Wolfe, BW; Fitzgibbon, QP; Semmens, JM; Tracey, SR; Pecl, GT</t>
  </si>
  <si>
    <t>Wolfe, Barrett W.; Fitzgibbon, Quinn P.; Semmens, Jayson M.; Tracey, Sean R.; Pecl, Gretta T.</t>
  </si>
  <si>
    <t>Physiological mechanisms linking cold acclimation and the poleward distribution limit of a range-extending marine fish</t>
  </si>
  <si>
    <t>Chrysophrys auratus; swim tunnel respirometry; thermal biology; range extension; aerobic scope; Tasmania; Australia</t>
  </si>
  <si>
    <t>TEMPERATURE-DEPENDENT BIOGEOGRAPHY; SNAPPER CHRYSOPHRYS-AURATUS; CLIMATE-CHANGE; THERMAL TOLERANCE; METABOLIC-RATE; AEROBIC SCOPE; SWIMMING PERFORMANCE; OXYGEN LIMITATION; PAGRUS-AURATUS; GROWTH</t>
  </si>
  <si>
    <t>Extensions of species'geographical distributions, or range extensions, are among the primary ecological responses to climate change in the oceans. Considerable variation across the rates at which species' ranges change with temperature hinders our ability to forecast range extensions based on climate data alone. To better manage the consequences of ongoing and future range extensions for global marine biodiversity, more information is needed on the biological mechanisms that link temperatures to range limits. This is especially important at understudied, low relative temperatures relevant to poleward range extensions, which appear to outpace warm range edge contractions four times over. Here, we capitalized on the ongoing range extension of a teleost predator, the Australasian snapper Chrysophrys auratus, to examine multiple measures of ecologically relevant physiological performance at the population's poleward range extension front. Swim tunnel respirometry was used to determine how mid-range and poleward range edge winter acclimation temperatures affect metabolic rate, aerobic scope, swimming performance and efficiency and recovery from exercise. Relative to 'optimal' mid-range temperature acclimation, subsequent range edge minimum temperature acclimation resulted in absolute aerobic scope decreasing while factorial aerobic scope increased; efficiency of swimming increased while maximum sustainable swimming speed decreased; and recovery from exercise required a longer duration despite lower oxygen payback. Cold-acclimated swimming faster than 0.9 body lengths sec(-1) required a greater proportion of aerobic scope despite decreased cost of transport. Reduced aerobic scope did not account for declines in recovery and lower maximum sustainable swimming speed. These results suggest that while performances decline at range edge minimum temperatures, cold-acclimated snapper are optimized for energy savings and range edge limitation may arise from suboptimal temperature exposure throughout the year rather than acute minimum temperature exposure. We propose incorporating performance data with in situ behaviour and environmental data in bioenergetic models to better understand how thermal tolerance determines range limits.</t>
  </si>
  <si>
    <t>[Wolfe, Barrett W.; Fitzgibbon, Quinn P.; Semmens, Jayson M.; Tracey, Sean R.; Pecl, Gretta T.] Univ Tasmania, Inst Marine &amp; Antarctic Studies, Hobart, Tas 7001, Australia</t>
  </si>
  <si>
    <t>Wolfe, BW (corresponding author), Inst Marine &amp; Antarctic Studies, Private Bag 49, Hobart, Tas 7001, Australia.</t>
  </si>
  <si>
    <t>barrett.wolfe@utas.edu.au</t>
  </si>
  <si>
    <t>Pecl, Gretta/D-7267-2011; Wolfe, Barrett/W-3509-2019; Tracey, Sean/J-7446-2014</t>
  </si>
  <si>
    <t>Pecl, Gretta/0000-0003-0192-4339; Wolfe, Barrett/0000-0002-9406-0578; Tracey, Sean/0000-0002-6735-5899; Semmens, Jayson/0000-0003-1742-6692; Fitzgibbon, Quinn/0000-0002-1104-3052</t>
  </si>
  <si>
    <t>Australian Research Council [FT140100596]; Australian Research Council [FT140100596] Funding Source: Australian Research Council</t>
  </si>
  <si>
    <t>This work was supported by the Australian Research Council [FT140100596 to G.P.]</t>
  </si>
  <si>
    <t>MAY 26</t>
  </si>
  <si>
    <t>coaa045</t>
  </si>
  <si>
    <t>10.1093/conphys/coaa045</t>
  </si>
  <si>
    <t>ME5ZR</t>
  </si>
  <si>
    <t>WOS:000544734200001</t>
  </si>
  <si>
    <t>Lembo, V; Lucarini, V; Ragone, F</t>
  </si>
  <si>
    <t>Lembo, Valerio; Lucarini, Valerio; Ragone, Francesco</t>
  </si>
  <si>
    <t>Beyond Forcing Scenarios: Predicting Climate Change through Response Operators in a Coupled General Circulation Model</t>
  </si>
  <si>
    <t>MERIDIONAL OVERTURNING CIRCULATION; FLUCTUATION-DISSIPATION; THERMOHALINE CIRCULATION; STATISTICAL-MECHANICS; EMERGENT CONSTRAINTS; CARBON-DIOXIDE; EQUILIBRIUM; ENERGY; COMPUTATION; TEMPERATURE</t>
  </si>
  <si>
    <t>Global Climate Models are key tools for predicting the future response of the climate system to a variety of natural and anthropogenic forcings. Here we show how to use statistical mechanics to construct operators able to flexibly predict climate change. We perform our study using a fully coupled model MPI-ESM v.1.2 - and for the first time we prove the effectiveness of response theory in predicting future climate response to CO2 increase on a vast range of temporal scales, from inter-annual to centennial, and for very diverse climatic variables. We investigate within a unified perspective the transient climate response and the equilibrium climate sensitivity, and assess the role of fast and slow processes. The prediction of the ocean heat uptake highlights the very slow relaxation to a newly established steady state. The change in the Atlantic Meridional Overturning Circulation (AMOC) and of the Antarctic Circumpolar Current (ACC) is accurately predicted. The AMOC strength is initially reduced and then undergoes a slow and partial recovery. The ACC strength initially increases due to changes in the wind stress, then undergoes a slowdown, followed by a recovery leading to a overshoot with respect to the initial value. Finally, we are able to predict accurately the temperature change in the North Atlantic.</t>
  </si>
  <si>
    <t>[Lembo, Valerio; Lucarini, Valerio] Univ Hamburg, Meteorol Inst, CEN, Hamburg, Germany; [Lucarini, Valerio] Univ Reading, Dept Math &amp; Stat, Reading, Berks, England; [Lucarini, Valerio] Univ Reading, Ctr Math Planet Earth, Reading, Berks, England; [Ragone, Francesco] Univ Lyon, Univ Claude Bernard, ENS Lyon, Lab Phys,CNRS, F-69342 Lyon, France</t>
  </si>
  <si>
    <t>University of Hamburg; University of Reading; University of Reading; Ecole Normale Superieure de Lyon (ENS de LYON); Centre National de la Recherche Scientifique (CNRS); Universite Paris Cite; Universite Claude Bernard Lyon 1</t>
  </si>
  <si>
    <t>Lucarini, V (corresponding author), Univ Hamburg, Meteorol Inst, CEN, Hamburg, Germany.;Lucarini, V (corresponding author), Univ Reading, Dept Math &amp; Stat, Reading, Berks, England.;Lucarini, V (corresponding author), Univ Reading, Ctr Math Planet Earth, Reading, Berks, England.</t>
  </si>
  <si>
    <t>v.lucarini@reading.ac.uk</t>
  </si>
  <si>
    <t>Lembo, Valerio/Q-1501-2019; Lucarini, Valerio/C-3795-2009; Atmosphere and Ocean, Collaborative Research Center TRR 181- Energy Transfers in/AAY-2721-2020</t>
  </si>
  <si>
    <t>Lembo, Valerio/0000-0001-6085-5914;</t>
  </si>
  <si>
    <t>Deutsche Forschungsgemeinschaft (DFG, German Research Foundation) [TRR181, 274762653]; Horizon2020 project CRESCENDO [641816]; Horizon2020 project Blue-Action [727852]; Horizon2020 project TiPES [820970]; Deutsches Kilmarechenzentrum (DKRZ) High Performance Computing system for Earth system research (HLRE-3) [um0005, bu1085]; [SFB/Transregio TRR181]</t>
  </si>
  <si>
    <t>Deutsche Forschungsgemeinschaft (DFG, German Research Foundation)(German Research Foundation (DFG)); Horizon2020 project CRESCENDO; Horizon2020 project Blue-Action; Horizon2020 project TiPES; Deutsches Kilmarechenzentrum (DKRZ) High Performance Computing system for Earth system research (HLRE-3);</t>
  </si>
  <si>
    <t>Valerio Lembo was supported by the Collaborative Research Centre TRR181 Energy Transfers in Atmosphere and Ocean funded by the Deutsche Forschungsgemeinschaft (DFG, German Research Foundation), project No. 274762653. Valerio Lucarini was partially supported by the SFB/Transregio TRR181 project and by the Horizon2020 projects CRESCENDO (Grant no. 641816) Blue-Action (Grant No. 727852) and TiPES (Grant No. 820970). Simulations were performed with Mistral, the Deutsches Kilmarechenzentrum (DKRZ) High Performance Computing system for Earth system research (HLRE-3) supercomputer, projects No. um0005 and bu1085.</t>
  </si>
  <si>
    <t>10.1038/s41598-020-65297-2</t>
  </si>
  <si>
    <t>LY4AQ</t>
  </si>
  <si>
    <t>Green Submitted, Green Accepted, Green Published, gold</t>
  </si>
  <si>
    <t>WOS:000540471800001</t>
  </si>
  <si>
    <t>Antonaru, LA; Cardona, T; Larkum, AWD; Nurnberg, DJ</t>
  </si>
  <si>
    <t>Antonaru, Laura A.; Cardona, Tanai; Larkum, Anthony W. D.; Nuernberg, Dennis J.</t>
  </si>
  <si>
    <t>Global distribution of a chlorophyll f cyanobacterial marker</t>
  </si>
  <si>
    <t>ISME JOURNAL</t>
  </si>
  <si>
    <t>FAR-RED LIGHT; PHOTOACCLIMATION FARLIP; SEQUENCE ALIGNMENT; PHOTOSYNTHESIS; COMMUNITIES; DIVERSITY; ACCURATE; OCEANS; LIFE; TOOL</t>
  </si>
  <si>
    <t>Some cyanobacteria use light outside the visible spectrum for oxygenic photosynthesis. The far-red light (FRL) region is made accessible through a complex acclimation process that involves the formation of new phycobilisomes and photosystems containing chlorophyllf. Diverse cyanobacteria ranging from unicellular to branched-filamentous forms show this response. These organisms have been isolated from shaded environments such as microbial mats, soil, rock, and stromatolites. However, the full spread of chlorophyllf-containing species in nature is still unknown. Currently, discovering new chlorophyllfcyanobacteria involves lengthy incubation times under selective far-red light. We have used a marker gene to detect chlorophyllforganisms in environmental samples and metagenomic data. This marker,apcE2, encodes a phycobilisome linker associated with FRL-photosynthesis. By focusing on a far-red motif within the sequence, degenerate PCR and BLAST searches can effectively discriminate against the normal chlorophylla-associatedapcE. Even short recovered sequences carry enough information for phylogenetic placement. Markers of chlorophyllfphotosynthesis were found in metagenomic datasets from diverse environments around the globe, including cyanobacterial symbionts, hypersaline lakes, corals, and the Arctic/Antarctic regions. This additional information enabled higher phylogenetic resolution supporting the hypothesis that vertical descent, as opposed to horizontal gene transfer, is largely responsible for this phenotype's distribution.</t>
  </si>
  <si>
    <t>[Antonaru, Laura A.; Cardona, Tanai; Nuernberg, Dennis J.] Imperial Coll, Dept Life Sci, London, England; [Larkum, Anthony W. D.] Univ Technol Sydney, Global Climate Cluster, Sydney, NSW, Australia; [Nuernberg, Dennis J.] Free Univ Berlin, Inst Expt Phys, Berlin, Germany</t>
  </si>
  <si>
    <t>Imperial College London; University of Technology Sydney; Free University of Berlin</t>
  </si>
  <si>
    <t>Nurnberg, DJ (corresponding author), Imperial Coll, Dept Life Sci, London, England.;Nurnberg, DJ (corresponding author), Free Univ Berlin, Inst Expt Phys, Berlin, Germany.</t>
  </si>
  <si>
    <t>dennis.nuernberg@fu-berlin.de</t>
  </si>
  <si>
    <t>Cardona, Tanai/AAE-3011-2019; Nurnberg, Dennis/I-4961-2015</t>
  </si>
  <si>
    <t>Cardona, Tanai/0000-0003-2076-4115; Nurnberg, Dennis/0000-0001-8644-3424; Antonaru, Laura/0000-0002-2774-2894</t>
  </si>
  <si>
    <t>IC Schrodinger Scholarship; BBSRC [BB/L011506/1, BB/R001383/1]; Leverhulme Project Grant [RPG-2017-233]; Projekt DEAL; Microbiology Societey (Hayes-Burnet Award); BBSRC [BB/R001383/1, BB/L011506/1] Funding Source: UKRI</t>
  </si>
  <si>
    <t>IC Schrodinger Scholarship; BBSRC(UK Research &amp; Innovation (UKRI)Biotechnology and Biological Sciences Research Council (BBSRC)); Leverhulme Project Grant(Leverhulme Trust); Projekt DEAL; Microbiology Societey (Hayes-Burnet Award); BBSRC(UK Research &amp; Innovation (UKRI)Biotechnology and Biological Sciences Research Council (BBSRC))</t>
  </si>
  <si>
    <t>Many thanks to Bill Rutherford for discussions on the paper. Thanks to Ben Nwaobi for laboratory support and Lisa Haigh for help with the pigment analysis. The FILM facility at Imperial College provided access to the confocal microscope. The JGI/SRA databases and associated researchers provided metagenomic data. LAA was supported by an IC Schrodinger Scholarship; DJN by the BBSRC (grants BB/L011506/1, BB/R001383/1) and the Microbiology Societey (Hayes-Burnet Award). TC was supported by a Leverhulme Project Grant (RPG-2017-233). Open access funding provided by Projekt DEAL.</t>
  </si>
  <si>
    <t>1751-7362</t>
  </si>
  <si>
    <t>1751-7370</t>
  </si>
  <si>
    <t>ISME J</t>
  </si>
  <si>
    <t>ISME J.</t>
  </si>
  <si>
    <t>10.1038/s41396-020-0670-y</t>
  </si>
  <si>
    <t>Ecology; Microbiology</t>
  </si>
  <si>
    <t>Environmental Sciences &amp; Ecology; Microbiology</t>
  </si>
  <si>
    <t>NB5ZH</t>
  </si>
  <si>
    <t>WOS:000539443900003</t>
  </si>
  <si>
    <t>Ma, Y; Guo, J; Zhao, M; Gong, YM; Qiao, YB</t>
  </si>
  <si>
    <t>Ma, Yue; Guo, Jing; Zhao, Miao; Gong, Yumei; Qiao, Yang Bo</t>
  </si>
  <si>
    <t>Effect of Coagulation Bath Temperature on Mechanical, Morphological, and Thermal Properties of Cellulose/Antarctic Krill Protein Composite Fibers</t>
  </si>
  <si>
    <t>LANGMUIR</t>
  </si>
  <si>
    <t>CELLULOSE DISSOLUTION; HYDROGEN-BONDS; NANOCOMPOSITES</t>
  </si>
  <si>
    <t>Cellulose (C) and Antarctic krill protein (AKP) were dissolved at low temperature, and then C/AKP composite fibers were prepared by wet spinning. In this paper, the effect of coagulation bath temperature on the properties of C/AKP composite fibers were studied by FT-IR, XRD, DSC, and other tests. The results showed that, when the temperature of the coagulation bath increased from 5 to 25 degrees C, the intermolecular hydrogen bond content of the C/AKP composite fibers increased from 28.20% to 31.33%. When the coagulation bath temperature is 15 degrees C, the breaking strength of the composite fibers is 1.64cN/dtex, which is 12% higher than that of the composite fibers at room temperature. At this temperature, the crystallinity of the composite fibers is improved, the thermal stability is slightly improved, and the surface morphology is smoother. Inspiringly, when zinc sulfate is added to the coagulation bath, the formation process of the fibers is milder. Moreover, the C/AKP composite fibers have excellent antibacterial activity against Escherichia coli and Staphylococcus aureus.</t>
  </si>
  <si>
    <t>[Ma, Yue; Guo, Jing; Zhao, Miao; Gong, Yumei; Qiao, Yang Bo] Dalian Polytech Univ, Sch Text &amp; Mat Engn, Dalian 116034, Peoples R China; [Guo, Jing; Zhao, Miao; Gong, Yumei] Liaoning Engn Technol Res Ctr Funct Fiber &amp; Its C, Dalian 116034, Peoples R China</t>
  </si>
  <si>
    <t>Guo, J; Zhao, M (corresponding author), Dalian Polytech Univ, Sch Text &amp; Mat Engn, Dalian 116034, Peoples R China.;Guo, J; Zhao, M (corresponding author), Liaoning Engn Technol Res Ctr Funct Fiber &amp; Its C, Dalian 116034, Peoples R China.</t>
  </si>
  <si>
    <t>guojing8161@163.com; dlpuzhaomiao@163.com</t>
  </si>
  <si>
    <t>kearon, mars/IAO-7213-2023</t>
  </si>
  <si>
    <t>National Natural Science Foundation of China [51773024, 51373027]; Innovation Team Foundation of Liaoning [LT2017017]</t>
  </si>
  <si>
    <t>National Natural Science Foundation of China(National Natural Science Foundation of China (NSFC)); Innovation Team Foundation of Liaoning</t>
  </si>
  <si>
    <t>This work was supported by the National Natural Science Foundation of China (Grant Nos. 51773024 and 51373027) and the Innovation Team Foundation of Liaoning (Grant No. LT2017017).</t>
  </si>
  <si>
    <t>0743-7463</t>
  </si>
  <si>
    <t>Langmuir</t>
  </si>
  <si>
    <t>10.1021/acs.langmuir.0c01148</t>
  </si>
  <si>
    <t>Chemistry, Multidisciplinary; Chemistry, Physical; Materials Science, Multidisciplinary</t>
  </si>
  <si>
    <t>Chemistry; Materials Science</t>
  </si>
  <si>
    <t>LU3TM</t>
  </si>
  <si>
    <t>WOS:000537681700019</t>
  </si>
  <si>
    <t>Thorne, MAS; Britovsek, NK; Hawkins, L; Lilley, KS; Storey, K</t>
  </si>
  <si>
    <t>Thorne, Michael A. S.; Britovsek, Nina Kocevar; Hawkins, Liam; Lilley, Kathryn S.; Storey, Kenneth</t>
  </si>
  <si>
    <t>Proteomics of intracellular freezing survival</t>
  </si>
  <si>
    <t>NEMATODE PANAGROLAIMUS-DAVIDI; TOLERANT ANTARCTIC NEMATODE; CRYOPROTECTANT ACCUMULATION; ANTIOXIDANT DEFENSES; COLD-ACCLIMATION; PROTEIN; ANTIFREEZE; DEHYDRATION; MECHANISMS; SOFTWARE</t>
  </si>
  <si>
    <t>Panagrolaimus sp. DAW1, a nematode cultured from the Antarctic, has the extraordinary physiological ability to survive total intracellular freezing throughout all of its compartments. While a few other organisms, all nematodes, have subsequently also been found to survive freezing in this manner, P. sp. DAW1 has so far shown the highest survival rates. In addition, P. sp. DAW1 is also, depending on the rate or extent of freezing, able to undergo cryoprotective dehydration. In this study, the proteome of P. sp DAW1 is explored, highlighting a number of differentially expressed proteins and pathways that occur when the nematodes undergo intracellular freezing. Among the strongest signals after being frozen is an upregulation of proteases and the downregulation of cytoskeletal and antioxidant activity, the latter possibly accumulated before freezing much in the way the sugar trehalose has been shown to be stored during acclimation.</t>
  </si>
  <si>
    <t>[Thorne, Michael A. S.] British Antarctic Survey, Cambridge, England; [Britovsek, Nina Kocevar; Lilley, Kathryn S.] Univ Cambridge, Cambridge Ctr Prote, Cambridge, England; [Hawkins, Liam; Storey, Kenneth] Carleton Univ, Biochem Dept, Ottawa, ON, Canada</t>
  </si>
  <si>
    <t>UK Research &amp; Innovation (UKRI); Natural Environment Research Council (NERC); NERC British Antarctic Survey; University of Cambridge; Carleton University</t>
  </si>
  <si>
    <t>Thorne, MAS (corresponding author), British Antarctic Survey, Cambridge, England.</t>
  </si>
  <si>
    <t>mior@bas.ac.uk</t>
  </si>
  <si>
    <t>Lilley, Kathryn/ABF-5787-2020</t>
  </si>
  <si>
    <t>Lilley, Kathryn/0000-0003-0594-6543; Thorne, Michael/0000-0001-7759-612X; Hawkins, Liam/0000-0001-7052-7287</t>
  </si>
  <si>
    <t>Innovation Centre of the British Antarctic Survey; NERC [bas0100036] Funding Source: UKRI</t>
  </si>
  <si>
    <t>Innovation Centre of the British Antarctic Survey; NERC(UK Research &amp; Innovation (UKRI)Natural Environment Research Council (NERC))</t>
  </si>
  <si>
    <t>Funding for this project was made available through the Innovation Centre of the British Antarctic Survey.</t>
  </si>
  <si>
    <t>e0233048</t>
  </si>
  <si>
    <t>10.1371/journal.pone.0233048</t>
  </si>
  <si>
    <t>LU1NT</t>
  </si>
  <si>
    <t>WOS:000537529500011</t>
  </si>
  <si>
    <t>Saluga, M</t>
  </si>
  <si>
    <t>Saluga, Marta</t>
  </si>
  <si>
    <t>At the crossroads of botanical collections and molecular genetics laboratory: a preliminary study of obtaining amplifiable DNA from moss herbarium material</t>
  </si>
  <si>
    <t>CTAB DNA extraction; Herbarium; Maritime Antarctic; Mosses; Subantarctica; PCR; Plant; Sanger sequencing; Bryophytes</t>
  </si>
  <si>
    <t>PHYLOGENETIC-RELATIONSHIPS; EXTRACTION; AMPLIFICATION; SPECIMENS; COLONIZATION; DIVERSITY; NUCLEAR; REGIONS; MARKERS; BONES</t>
  </si>
  <si>
    <t>Background: Research focused on extreme environments is often associated with difficulties in obtaining fresh plant material. Herbaria may provide great support as they house large collections of specimens from different parts of the world. Accordingly, there is also a growing interest in methods using herbarium specimens in molecular studies. Much of the literature on herbarium DNA is aimed to improve extraction and PCR amplification and is focused mostly on vascular plants. Here, I provide a brief study of DNA extraction efficiency from moss herbarium specimens, emphasizing the importance of herbaria as an invaluable source of material from hard-to-access geographical areas, such as the Antarctic region. Methods: The presented study is based on herbarium collections of 25 moss species collected in the austral polar regions between 1979 and 2013. The majority of samples were obtained using the DNeasy Plant Mini Kit (Qiagen, Hilden, Germany). The remaining, smaller part was extracted using an adapted CTAB-based approach. The performance of DNA extraction methods in terms of PCR amplification success was measured by testing several DNA fragments of various size. Furthermore, in order to estimate of DNA fragmentation level, an automated on-chip electrophoresis system was used. Results: Results reveal that DNA purity and the length of the target genetic region are the fundamental agents which drive the successful PCR reaction. Conversely, the DNA yield and specimen age seem to be less relevant. With this study, I present also an optimized CTAB-based approach which may effectively suppress inhibitors in the herbarium DNA. This method can be considered a cheaper alternative to column-based technology, particularly useful for dealing with a large number of samples. Results of this study confirmed previous reports and contribute to filling the existing gap in molecular analyses which involve the use of herbarium collections of mosses.</t>
  </si>
  <si>
    <t>[Saluga, Marta] Polish Acad Sci, Wladyslaw Szafer Inst Bot, Krakow, Poland</t>
  </si>
  <si>
    <t>Polish Academy of Sciences; W. Szafer Institute of Botany of the Polish Academy of Sciences</t>
  </si>
  <si>
    <t>Saluga, M (corresponding author), Polish Acad Sci, Wladyslaw Szafer Inst Bot, Krakow, Poland.</t>
  </si>
  <si>
    <t>m.saluga@botany.pl</t>
  </si>
  <si>
    <t>Saługa, Marta/ABG-9944-2021</t>
  </si>
  <si>
    <t>Saluga, Marta/0000-0002-2236-816X</t>
  </si>
  <si>
    <t>National Science Centre, Poland [NCN 2015/17/B/N28/02475]</t>
  </si>
  <si>
    <t>This study was financed by the National Science Centre, Poland, grant number: NCN 2015/17/B/N28/02475. The funders had no role in study design, data collection and analysis, decision to publish, or preparation of the manuscript.</t>
  </si>
  <si>
    <t>e9109</t>
  </si>
  <si>
    <t>10.7717/peerj.9109</t>
  </si>
  <si>
    <t>LR0VO</t>
  </si>
  <si>
    <t>WOS:000535415100007</t>
  </si>
  <si>
    <t>Nieuwendam, A; Vieira, G; Schaefer, C; Woronko, B; Johansson, M</t>
  </si>
  <si>
    <t>Nieuwendam, Alexandre; Vieira, Goncalo; Schaefer, Carlos; Woronko, Barbara; Johansson, Margareta</t>
  </si>
  <si>
    <t>Reconstructing cold climate paleoenvironments from micromorphological analysis of relict slope deposits (Serra da Estrela, Central Portugal)</t>
  </si>
  <si>
    <t>PERMAFROST AND PERIGLACIAL PROCESSES</t>
  </si>
  <si>
    <t>micromorphology; paleoenvironments; periglacial processes; sedimentology; slope deposits; slope processes</t>
  </si>
  <si>
    <t>DEBRIS FLOW DEPOSIT; MICROSTRUCTURES; DEFORMATION; ENVIRONMENT; DIAMICTON; SEDIMENTS; DYNAMICS; ORIGIN; FACIES; SCREE</t>
  </si>
  <si>
    <t>The paper focuses on analysis of macro- and micromorphological characteristics of relict slope deposits in Serra da Estrela (Portugal) to understand the significance of different slope processes and paleoenvironmental settings. Micromorphology is a useful sedimentology technique allowing significant advances compared to macroscopic techniques. Results show that different processes are involved in the development of the slope deposits, reflecting different environmental conditions. The main processes responsible for the emplacement of the relict slope deposits are solifluction, debris-flow and runoff, but postdepositional changes are also present. Solifluction was identified in slope deposits between 650 and 1500 m a.s.l. The common microfeatures identified are circular arrangement of grains with a core grain, rounded vesicles, vertical grains, matrix deformations and fine-grained deposits. Slope deposits above 1300 m a.s.l have a platy microstructure and coincide with the altitudinal range of the relict rock glaciers, indicating the elevation limit of permafrost. Below this altitude platy microstructures are less frequent. Slope deposits in north-facing slopes were affected by frost-induced processes in a seasonal frost regime, followed by a postdeposition illuvial phase. Debris-flow and runoff were identified in slope deposits between 680 and 1260 m a.s.l. The common microfeatures are oblique grains, grain dumps, and coarse and fine grain lineations, and banded microstructures were identified in runoff processes. Debris-flow deposits have a circular arrangement of grains without a core grain, identified in sediments in paraglacial and periglacial environments. The slope deposits show evidence of past periods of enhanced periglacial activity since the last glaciation until the Younger Dryas.</t>
  </si>
  <si>
    <t>[Nieuwendam, Alexandre; Vieira, Goncalo] Univ Lisbon, Ctr Geog Studies IGOT, Lisbon, Portugal; [Schaefer, Carlos] Univ Fed Vicosa, Dept Solos, Vicosa, MG, Brazil; [Woronko, Barbara] Univ Warsaw, Fac Geol, Warsaw, Poland; [Johansson, Margareta] Lund Univ, Dept Phys Geog &amp; Ecosyst Sci, Lund, Sweden</t>
  </si>
  <si>
    <t>Universidade de Lisboa; Universidade Federal de Vicosa; University of Warsaw; Lund University</t>
  </si>
  <si>
    <t>Nieuwendam, A (corresponding author), Ctr Geog Studies IGOT, Rua Branca Edmee Marques, P-1600276 Lisbon, Portugal.</t>
  </si>
  <si>
    <t>alexandretn@gmail.com</t>
  </si>
  <si>
    <t>Vieira, Goncalo/G-5958-2010; Schaefer, Carlos Ernesto/AAY-4977-2020</t>
  </si>
  <si>
    <t>Vieira, Goncalo/0000-0001-7611-3464; Nieuwendam, Alexandre/0000-0003-3827-1132; Woronko, Barbara/0000-0002-2763-5650; Johansson, Margareta/0000-0001-9650-7153</t>
  </si>
  <si>
    <t>Portuguese Foundation for Science and Technology [SFRH/BD/68511/2010]; Centro de Estudos Geograficos, IGOT - ULisboa [FCT - UID/GEO/00295/2013]; Fundação para a Ciência e a Tecnologia [SFRH/BD/68511/2010, UID/GEO/00295/2013] Funding Source: FCT</t>
  </si>
  <si>
    <t>Portuguese Foundation for Science and Technology(Fundacao para a Ciencia e a Tecnologia (FCT)); Centro de Estudos Geograficos, IGOT - ULisboa; Fundação para a Ciência e a Tecnologia(Fundacao para a Ciencia e a Tecnologia (FCT))</t>
  </si>
  <si>
    <t>A.N. benefited from a PhD grant from the Portuguese Foundation for Science and Technology (grant reference SFRH/BD/68511/2010). Field work and visits of A.N. to the University of Warsaw were partially funded by the Centro de Estudos Geograficos, IGOT - ULisboa (national funds FCT - UID/GEO/00295/2013). Laboratory analysis at the Federal University of Vicosa (Brasil) were conducted in the framework of the project FCT-CAPES Luso-Brazilean program for research on permafrost and terrestrial ecosystems of the Maritime Antarctic (2011-12). Mr Jose Maria Saraiva is thanked for his support during field work and facilities provided at the Parque de Campismo do CamalhAo in Verdelhos. Many thanks to the reviewers for their comments on an early draft of this paper.</t>
  </si>
  <si>
    <t>1045-6740</t>
  </si>
  <si>
    <t>1099-1530</t>
  </si>
  <si>
    <t>PERMAFROST PERIGLAC</t>
  </si>
  <si>
    <t>Permafrost Periglacial Process.</t>
  </si>
  <si>
    <t>10.1002/ppp.2054</t>
  </si>
  <si>
    <t>Geography, Physical; Geology</t>
  </si>
  <si>
    <t>OF7SC</t>
  </si>
  <si>
    <t>WOS:000535318900001</t>
  </si>
  <si>
    <t>Aun, M; Lakkala, K; Sanchez, RD; Asmi, E; Nollas, F; Meinander, O; Sogacheva, L; De Bock, V; Arola, A; de Leeuw, G; Aaltonen, V; Bolsée, D; Cizkova, KM; Mangold, A; Metelka, L; Jakobson, E; Svendby, TM; Gillotay, D; Van Opstal, B</t>
  </si>
  <si>
    <t>Aun, Margit; Lakkala, Kaisa; Sanchez, Ricardo Daniel; Asmi, Eija; Nollas, Fernando; Meinander, Outi; Sogacheva, Larisa; De Bock, Veerle; Arola, Antti; de Leeuw, Gerrit; Aaltonen, Veijo; Bolsee, David; Cizkova, Klara M.; Mangold, Alexander; Metelka, Ladislav; Jakobson, Erko; Svendby, T. M.; Gillotay, Didier; Van Opstal, Bert</t>
  </si>
  <si>
    <t>Solar UV radiation measurements in Marambio, Antarctica, during years 2017-2019</t>
  </si>
  <si>
    <t>BANDWIDTH FILTER INSTRUMENT; OZONE-COLUMN AMOUNT; AEROSOL PRODUCTS; RESEARCH STATION; CLOUD; MULTICHANNEL; IRRADIANCE; TRANSMITTANCE; NETWORK; ALBEDO</t>
  </si>
  <si>
    <t>In March 2017, measurements of downward global irradiance of ultraviolet (UV) radiation were started with a multichannel GUV-2511 radiometer in Marambio, Antarctica (64.23 degrees S; 56.62 degrees W), by the Finnish Meteorological Institute (FMI) in collaboration with the Servicio Meteorologico Nacional (SMN). These measurements were analysed and the results were compared to previous measurements performed at the same site with the radiometer of the Antarctic NILU-UV network during 2000-2008 and to data from five stations across Antarctica. In 2017/2018 the monthly-average erythemal daily doses from October to January were lower than those averaged over 2000-2008 with differences from 2.3 % to 25.5 %. In 2017/2018 the average daily erythemal dose from September to March was 1.88 kJ m(-2), while in 2018/2019 it was 23 % larger (2.37 kJ m(-2)). Also at several other stations in Antarctica the UV radiation levels in 2017/2018 were below average. The maximum UV indices (UVI) in Marambio were 6.2 and 9.5 in 2017/2018 and 2018/2019, respectively, whereas during years 2000-2008 the maximum was 12. Cloud cover, the strength of the polar vortex and the stratospheric ozone depletion are the primary factors that influence the surface UV radiation levels in Marambio. The lower UV irradiance values in 2017/2018 are explained by the high ozone concentrations in November, February and for a large part of October. The role of cloud cover was clearly seen in December, and to a lesser extent in October and November, when cloud cover qualitatively explains changes which could not be ascribed to changes in total ozone column (TOC). In this study, the roles of aerosols and albedo are of minor influence because the variation of these factors in Marambio was small from one year to the other. The largest variations of UV irradiance occur during spring and early summer when noon solar zenith angle (SZA) is low and the stratospheric ozone concentration is at a minimum (the so-called ozone hole). In 2017/2018, coincident low total ozone column and low cloudiness near solar noon did not occur, and no extreme UV indices were measured.</t>
  </si>
  <si>
    <t>[Aun, Margit; Lakkala, Kaisa; Asmi, Eija; Meinander, Outi; Sogacheva, Larisa; Arola, Antti; de Leeuw, Gerrit; Aaltonen, Veijo] Finnish Meteorol Inst, Climate Res Programme, Helsinki, Finland; [Aun, Margit; Jakobson, Erko] Univ Tartu, Tartu Observ, Toravere, Estonia; [Lakkala, Kaisa] Finnish Meteorol Inst, Space &amp; Earth Observat Ctr, Sodankyla, Finland; [Sanchez, Ricardo Daniel; Asmi, Eija; Nollas, Fernando] Serv Meteorol Nacl, Buenos Aires, DF, Argentina; [De Bock, Veerle; Mangold, Alexander] Royal Meteorol Inst Belgium, Brussels, Belgium; [Bolsee, David; Gillotay, Didier; Van Opstal, Bert] Royal Belgian Inst Space Aeron, Brussels, Belgium; [Cizkova, Klara M.; Metelka, Ladislav] Czech Hydrometeorol Inst, Solar &amp; Ozone Observ, Hradec Kralove, Czech Republic; [Cizkova, Klara M.] Masaryk Univ, Inst Geog, Brno, Czech Republic; [Svendby, T. M.] NILU Norwegian Inst Air Res, Kjeller, Norway; [de Leeuw, Gerrit] Royal Netherlands Meteorol Inst KNMI, R&amp;D Satellite Observat, De Bilt, Netherlands</t>
  </si>
  <si>
    <t>Finnish Meteorological Institute; University of Tartu; Tartu Observatory; Finnish Meteorological Institute; Royal Meteorological Institute of Belgium; Czech Hydrometeorological Institute; Masaryk University Brno; NILU; Royal Netherlands Meteorological Institute</t>
  </si>
  <si>
    <t>Aun, M (corresponding author), Finnish Meteorol Inst, Climate Res Programme, Helsinki, Finland.;Aun, M (corresponding author), Univ Tartu, Tartu Observ, Toravere, Estonia.</t>
  </si>
  <si>
    <t>margit.aun@ut.ee</t>
  </si>
  <si>
    <t>de Leeuw, Gerrit/AAI-3270-2020; Aun, Margit/G-7695-2019; Meinander, Outi/AAN-1460-2020; Arola, Antti/S-8917-2019; Sogacheva, Larisa/N-5762-2017; Lakkala, Kaisa/AAN-4342-2020; Jakobson, Erko/G-8660-2012; Aaltonen, Veijo/J-8814-2017; Meinander, Outi I/M-8589-2014</t>
  </si>
  <si>
    <t>de Leeuw, Gerrit/0000-0002-1649-6333; Aun, Margit/0000-0002-7768-8929; Meinander, Outi/0000-0001-6608-3951; Arola, Antti/0000-0002-9220-0194; Sogacheva, Larisa/0000-0003-3455-8638; Lakkala, Kaisa/0000-0003-2840-1132; Asmi, Eija/0000-0002-9226-2360; Cizkova, Klara/0000-0003-3543-6456; Nollas, Fernando/0000-0002-8394-5717</t>
  </si>
  <si>
    <t>State Environmental Fund of the Czech Republic [03461022]; Ministry of Education, Youth and Sports of the Czech Republic [LM2015078]; Nordic Centre of Excellence CRAICC; Academy of Finland's Centres of Excellence programme [272041]; Ministry for Foreign Affairs of Finland IBA-project [PC0TQ4BT-25]; EU INTERACT Project [730938]; Academy of Finland NABCEA project [296302]; Norwegian Ministry of Climate and Environment; Academy of Finland (AKA) [296302] Funding Source: Academy of Finland (AKA)</t>
  </si>
  <si>
    <t>State Environmental Fund of the Czech Republic; Ministry of Education, Youth and Sports of the Czech Republic(Ministry of Education, Youth &amp; Sports - Czech Republic); Nordic Centre of Excellence CRAICC; Academy of Finland's Centres of Excellence programme; Ministry for Foreign Affairs of Finland IBA-project; EU INTERACT Project; Academy of Finland NABCEA project; Norwegian Ministry of Climate and Environment; Academy of Finland (AKA)</t>
  </si>
  <si>
    <t>This research has been supported by the State Environmental Fund of the Czech Republic (project no. 03461022 Monitoring of the ozone layer and UV radiation in Antarctica), the Ministry of Education, Youth and Sports of the Czech Republic (project LM2015078), the Nordic Centre of Excellence CRAICC, the Academy of Finland's Centres of Excellence programme (project no. 272041), the Ministry for Foreign Affairs of Finland IBA-project (no. PC0TQ4BT-25), EU INTERACT Project (H2020 grant agreement no. 730938), the Academy of Finland NABCEA project (no. 296302), and the Norwegian Ministry of Climate and Environment.</t>
  </si>
  <si>
    <t>MAY 25</t>
  </si>
  <si>
    <t>10.5194/acp-20-6037-2020</t>
  </si>
  <si>
    <t>LU0NC</t>
  </si>
  <si>
    <t>WOS:000537459600001</t>
  </si>
  <si>
    <t>Aoki, S; Ono, K; Hirano, D; Tamura, T</t>
  </si>
  <si>
    <t>Aoki, Shigeru; Ono, Kazuya; Hirano, Daisuke; Tamura, Takeshi</t>
  </si>
  <si>
    <t>Continuous winter oceanic profiling in the Cape Darnley Polynya, East Antarctica</t>
  </si>
  <si>
    <t>JOURNAL OF OCEANOGRAPHY</t>
  </si>
  <si>
    <t>New tethered profiler; Winter oceanic profiling; Sea-ice production; Cape Darnley Polynya; East Antarctica</t>
  </si>
  <si>
    <t>BOTTOM WATER FORMATION; SOUTHERN ROSS SEA; BAY POLYNYA; VARIABILITY; OCEANOGRAPHY; ARGO</t>
  </si>
  <si>
    <t>Antarctic coastal polynyas provide extremely dense water to the global abyss, but the dense water formation process has been poorly monitored in winter. This study developed a new tethered profiler to realize time-series observations of the water column in the Cape Darnley Polynya, East Antarctica. The system successfully obtained temperature and salinity profiles at 10-day intervals from March to November 2017. From March to April, significant cooling and vertical mixing started, while stratification collapsed. Salinity increased rapidly from April to late-May and then gradually increased until October. Salinity development was largely consistent with the cumulative salt increase due to sea-ice production at the initial stage, but not at latter stages, indicating the influence of cross-shelf exchange. These results highlighted the potential of the measurement platform to fill the remaining gap in the global ocean monitoring network.</t>
  </si>
  <si>
    <t>[Aoki, Shigeru; Ono, Kazuya; Hirano, Daisuke] Hokkaido Univ, Inst Low Temp Sci, Kita Ku, Kita 19 Nishi 8, Sapporo, Hokkaido 0600819, Japan; [Hirano, Daisuke] Hokkaido Univ, Arctic Res Ctr, Kita Ku, Kita 21 Nishi 11, Sapporo, Hokkaido 0010021, Japan; [Tamura, Takeshi] Natl Inst Polar Res, 10-3 Midori Cho, Tachikawa, Tokyo 1908518, Japan; [Tamura, Takeshi] Grad Univ Adv Studies, 10-3 Midori Cho, Tachikawa, Tokyo 1908518, Japan</t>
  </si>
  <si>
    <t>Hokkaido University; Hokkaido University; Research Organization of Information &amp; Systems (ROIS); National Institute of Polar Research (NIPR) - Japan; Graduate University for Advanced Studies - Japan</t>
  </si>
  <si>
    <t>Hirano, D (corresponding author), Hokkaido Univ, Inst Low Temp Sci, Kita Ku, Kita 19 Nishi 8, Sapporo, Hokkaido 0600819, Japan.;Hirano, D (corresponding author), Hokkaido Univ, Arctic Res Ctr, Kita Ku, Kita 21 Nishi 11, Sapporo, Hokkaido 0010021, Japan.</t>
  </si>
  <si>
    <t>hirano@lowtem.hokudai.ac.jp</t>
  </si>
  <si>
    <t>Hirano, Daisuke/P-3963-2019</t>
  </si>
  <si>
    <t>MEXT of the Japanese Government [25550002, 16K12574, 17K12811, 17H04710, 17H06322]; Science Program of Japanese Antarctic Research Expedition (JARE) as Prioritized Research Project [AJ0902]; National Institute of Polar Research (NIPR) [KP-303]; Center for the Promotion of Integrated Sciences of SOKENDAI; Joint Research Program of the Institute of Low Temperature Science, Hokkaido University; Grants-in-Aid for Scientific Research [17K12811, 17H04710, 25550002, 16K12574, 17H06322, 20H04961] Funding Source: KAKEN</t>
  </si>
  <si>
    <t>MEXT of the Japanese Government(Ministry of Education, Culture, Sports, Science and Technology, Japan (MEXT)); Science Program of Japanese Antarctic Research Expedition (JARE) as Prioritized Research Project; National Institute of Polar Research (NIPR)(National Institute of Polar Research (NIPR) - Japan); Center for the Promotion of Integrated Sciences of SOKENDAI; Joint Research Program of the Institute of Low Temperature Science, Hokkaido University; Grants-in-Aid for Scientific Research(Ministry of Education, Culture, Sports, Science and Technology, Japan (MEXT)Japan Society for the Promotion of ScienceGrants-in-Aid for Scientific Research (KAKENHI))</t>
  </si>
  <si>
    <t>We are grateful to Mrs. Masaaki Ichikawa, Toshihiko Nakagawa, Kengo Kobayashi, Masato Kotake, Yoshimori Shimoda, and Seiji Nakao for their help in developing and refurbishing the profiler platform. Our operational successes are indebted to Mrs. Satoshi Ozawa and Tomohide Noguchi and Dr. Yasushi Fukamachi for their assistance with mooring preparation. We thank the captain, officers, crews, and researchers aboard Shirase, who all contributed to the hydrographic observations. This paper was substantially improved by two anonymous reviewers. Tethered profiler data are available through the NIPR ADS database . Sea ice production data is available at. This work was supported by Grant-in-Aid for Scientific Research (25550002, 16K12574, 17K12811, 17H04710 and 17H06322) from the MEXT of the Japanese Government, the Science Program of Japanese Antarctic Research Expedition (JARE) as Prioritized Research Project (AJ0902), National Institute of Polar Research (NIPR) through Project Research KP-303, the Center for the Promotion of Integrated Sciences of SOKENDAI, and the Joint Research Program of the Institute of Low Temperature Science, Hokkaido University.</t>
  </si>
  <si>
    <t>0916-8370</t>
  </si>
  <si>
    <t>1573-868X</t>
  </si>
  <si>
    <t>J OCEANOGR</t>
  </si>
  <si>
    <t>J. Oceanogr.</t>
  </si>
  <si>
    <t>10.1007/s10872-020-00550-w</t>
  </si>
  <si>
    <t>NK5CT</t>
  </si>
  <si>
    <t>WOS:000535432500001</t>
  </si>
  <si>
    <t>Zhang, BJ; Liu, JB; Wang, ZM; Liu, TT; Yang, QM</t>
  </si>
  <si>
    <t>Zhang, Baojun; Liu, Jingbin; Wang, Zemin; Liu, Tingting; Yang, Quanming</t>
  </si>
  <si>
    <t>Antarctic ice-shelf thickness changes from CryoSat-2 SARIn mode measurements: Assessment and comparison with IceBridge and ICESat</t>
  </si>
  <si>
    <t>JOURNAL OF EARTH SYSTEM SCIENCE</t>
  </si>
  <si>
    <t>Antarctic ice shelves; thickness change; CryoSat-2; ICESat; Operation IceBridge</t>
  </si>
  <si>
    <t>SATELLITE-ALTIMETRY; SHEET; DRIVEN; LAND; ROSS</t>
  </si>
  <si>
    <t>Ice-shelf thickness changes are of critical importance for understanding the stability of the Antarctic ice-sheet because they restrain the seaward flow of grounded glaciers. In this study, we find that neither backscatter nor leading-edge width contained in the least-squares fitting model can improve the accuracy of ice-shelf thickness change estimations from CryoSat-2, which is validated by comparing the CryoSat-2-derived elevation changes from least-squares fitting models with different combinations of waveform parameters against the Operation IceBridge ATM L4 data. Using the model without backscatter and leading-edge width to infer the thickness changes in Antarctic ice shelves from CryoSat-2, we find that the most significant thinning signals are mainly concentrated on the ice shelves along the Amundsen Sea coast, such as Getz, whose thickness variations are dominated by ocean-driven basal melting. This phenomenon has also been confirmed by the ICESat results. Overall, the Antarctic ice shelves volume changed on average by -0.34 +/- 66.36 km(3) yr(-1) during the period from July 2010 to December 2016.</t>
  </si>
  <si>
    <t>[Zhang, Baojun; Liu, Jingbin] Wuhan Univ, State Key Lab Informat Engn Surveying Mapping &amp; R, Wuhan 430079, Peoples R China; [Wang, Zemin; Liu, Tingting; Yang, Quanming] Wuhan Univ, Chinese Antarctic Ctr Surveying &amp; Mapping, Wuhan 430079, Peoples R China</t>
  </si>
  <si>
    <t>Wuhan University; Wuhan University</t>
  </si>
  <si>
    <t>Wang, ZM (corresponding author), Wuhan Univ, Chinese Antarctic Ctr Surveying &amp; Mapping, Wuhan 430079, Peoples R China.</t>
  </si>
  <si>
    <t>zmwang@whu.edu.cn</t>
  </si>
  <si>
    <t>liu, ting/GZM-3326-2022; Liu, Jingbin/AAE-8803-2020; ZeMin, Wang/AAU-3422-2020; liu, liu/JEO-6900-2023</t>
  </si>
  <si>
    <t>Liu, Jingbin/0000-0001-6216-0956; Zhang, Baojun/0000-0001-5438-8723</t>
  </si>
  <si>
    <t>National Natural Science Foundation of China [41941010, 41531069]; National Key Research and Development Project of China [2018YFC1406102]; China Scholarship [201906275017]</t>
  </si>
  <si>
    <t>National Natural Science Foundation of China(National Natural Science Foundation of China (NSFC)); National Key Research and Development Project of China; China Scholarship</t>
  </si>
  <si>
    <t>We thank Ligtenberg SRM for providing the FDM, the ESA for providing the CryoSat-2 data, the NSIDC DAAC for providing the ICESat and OIB product, and the AVISO for providing multi-mission monthly mean sea-level anomaly dataset. All geographical plots are produced using the Generic Mapping Tools software. This research is funded by the National Natural Science Foundation of China (grant nos. 41941010, 41531069), the National Key Research and Development Project of China (grant no. 2018YFC1406102) and the China Scholarship (grant no. 201906275017).</t>
  </si>
  <si>
    <t>2347-4327</t>
  </si>
  <si>
    <t>0973-774X</t>
  </si>
  <si>
    <t>J EARTH SYST SCI</t>
  </si>
  <si>
    <t>J. Earth Syst. Sci.</t>
  </si>
  <si>
    <t>10.1007/s12040-020-01392-2</t>
  </si>
  <si>
    <t>Geosciences, Multidisciplinary; Multidisciplinary Sciences</t>
  </si>
  <si>
    <t>Geology; Science &amp; Technology - Other Topics</t>
  </si>
  <si>
    <t>LR0EJ</t>
  </si>
  <si>
    <t>WOS:000535369400001</t>
  </si>
  <si>
    <t>Pacelli, C; Cassaro, A; Maturilli, A; Timperio, AM; Gevi, F; Cavalazzi, B; Stefan, M; Ghica, D; Onofri, S</t>
  </si>
  <si>
    <t>Pacelli, Claudia; Cassaro, Alessia; Maturilli, Alessandro; Timperio, Anna Maria; Gevi, Federica; Cavalazzi, Barbara; Stefan, Mariana; Ghica, Daniela; Onofri, Silvano</t>
  </si>
  <si>
    <t>Multidisciplinary characterization of melanin pigments from the black fungus Cryomyces antarcticus</t>
  </si>
  <si>
    <t>Extremophiles; Melanin; Antarctica; Raman; Infrared spectroscopy; Radiation; Electron paramagnetic resonance</t>
  </si>
  <si>
    <t>CRYPTOCOCCUS-NEOFORMANS; BIOSYNTHESIS; MELANIZATION; SUSCEPTIBILITY; IDENTIFICATION; SPECTROSCOPY; SURVIVAL; SYNTHASE</t>
  </si>
  <si>
    <t>Melanin is a natural pigment present in almost all biological groups, and is composed of indolic polymers and characterized by black-brown colorization. Furthermore, it is one of the pigments produced by extremophiles including those living in the Antarctic desert, and is mainly involved in their protection from high UV radiation, desiccation, salinity and oxidation. Previous studies have shown that melanized species have an increased capability to survive high level of radiation compared with the non-melanized counterpart. Understanding the molecular composition of fungal melanin could help to understand this peculiar capability. Here, we aimed to characterize the melanin pigment extracted from the Antarctic black fungus Cryomyces antarcticus, which is a good test model for radioprotection researches, by studying its chemical properties and spectral data. Our results demonstrated that, in spite of having a specific type of melanin as the majority of fungi, the fungus possesses the ability to produce both 1,8-dihydroxynaphthalene (DHN) and l 3-4 dihydroxyphenylalanine (L-DOPA) melanins, opening interesting scenarios for the protection role against radiation. Researches on fungal melanin have a huge application in different fields, including radioprotection, bioremediation, and biomedical applications.</t>
  </si>
  <si>
    <t>[Pacelli, Claudia] Italian Space Agcy, Via Politecn Snc, Rome, Italy; [Pacelli, Claudia; Cassaro, Alessia; Timperio, Anna Maria; Gevi, Federica; Onofri, Silvano] Univ Tuscia, Dept Ecol &amp; Biol Sci DEB, Largo Univ Snc, I-01100 Viterbo, Italy; [Maturilli, Alessandro] German Aerosp Ctr DLR Berlin, Inst Planetary Res, Rutherfordstr 2, D-12489 Berlin, Germany; [Cavalazzi, Barbara] Univ Bologna, Dept Biol Geol &amp; Environm Sci, Via Zamboni 67, I-40126 Bologna, Italy; [Cavalazzi, Barbara] Univ Johannesburg, Dept Geol, ZA-2006 Johannesburg, South Africa; [Stefan, Mariana; Ghica, Daniela] Natl Inst Mat Phys, Atomistilor 405A, Magtuele 077125, Romania</t>
  </si>
  <si>
    <t>Agenzia Spaziale Italiana (ASI); Tuscia University; Helmholtz Association; German Aerospace Centre (DLR); University of Bologna; University of Johannesburg; National Institute of Materials Physics - Romania</t>
  </si>
  <si>
    <t>Cassaro, A (corresponding author), Univ Tuscia, Dept Ecol &amp; Biol Sci DEB, Largo Univ Snc, I-01100 Viterbo, Italy.</t>
  </si>
  <si>
    <t>cassaro@unitus.it</t>
  </si>
  <si>
    <t>Stefan, Mariana/G-4068-2011; Gevi, Federica/AAB-2524-2022; Ghica, Daniela/F-1193-2011</t>
  </si>
  <si>
    <t>Stefan, Mariana/0000-0001-5272-4770; Gevi, Federica/0000-0001-6208-8130; Ghica, Daniela/0000-0002-2539-6449; Timperio, Anna Maria/0000-0001-8457-042X; Pacelli, Claudia/0000-0001-5113-4293; Maturilli, Alessandro/0000-0003-4613-9799; Cassaro, Alessia/0000-0003-2228-9004; CAVALAZZI, BARBARA/0000-0002-5135-9529</t>
  </si>
  <si>
    <t>ASI grant [2019-3-U.0]; European Union [654208]</t>
  </si>
  <si>
    <t>ASI grant; European Union(European Union (EU))</t>
  </si>
  <si>
    <t>This work was funded by ASI grant (ASI N. 2019-3-U.0, Life in Space). This work was performed also in the frame of Europlanet 2020 Research Infrastructure. Europlanet 2020 RI has received funding from the European Union's Horizon 2020 research and innovation programme under grant agreement No 654208.</t>
  </si>
  <si>
    <t>10.1007/s00253-020-10666-0</t>
  </si>
  <si>
    <t>MC2QC</t>
  </si>
  <si>
    <t>WOS:000535102000001</t>
  </si>
  <si>
    <t>Nobre, JA; Freire, AFM; Neto, AA; Martins, MD; Silva, CG; Vieira, R</t>
  </si>
  <si>
    <t>Nobre, Jeniffer Alves; Menezes Freire, Antonio Fernando; Ayres Neto, Arthur; Martins, Mateus dos Santos; Silva, Cleverson Guizan; Vieira, Rosemary</t>
  </si>
  <si>
    <t>Quaternary warming and cooling trends in the Bransfield Basin, Antarctic Peninsula, based on gamma-ray spectrometry</t>
  </si>
  <si>
    <t>SEDIMENTARY PROCESSES</t>
  </si>
  <si>
    <t>Spectral gamma-ray measurements were carried out on eight cores collected in the Bransfield Strait at points distributed over a cross section connecting the South Shetland Islands (NW) and the Antarctic Peninsula (SE). These cores were acquired during the cruises OPERANTAR XXXIII, XXXIV, and XXXV, aboard the P/V Almirante Maximiano, from the Brazilian Navy, within the scope of the project Use of Sedimentary and Biogeochemical Records as Indicative of Climate and Environmental Changes in the South Shetland Islands and Antarctic Peninsula. The energy spectrum was measured in counts per period through a portable spectrometer which displays the total gamma-ray (total GR) counts, in addition to the individual concentrations of K (%), U (ppm), and Th (ppm), internally converted. The results, integrated with core sedimentological descriptions, enabled us to characterize the different geochemical environments and to recognize paleoenvironmental cycles and stratigraphic surfaces, proving to be a powerful tool for high-resolution stratigraphic studies. The Th/U and U/K ratios reveal six well-marked cycles (identified from A to F) interpreted as transitions from warm to cold periods. The increase in Th/U ratio was used as a proxy for higher clastic meltwater sedimentary input during warm periods, while the increase in U/K ratio indicates higher amounts of organic matter, and therefore higher U content, during cold periods, when clastic sedimentary input is smaller. The concomitant decrease in the Th/U ratio with the increase in the U/K ratio suggests a gradual change from a warm to a cold period. Otherwise, the gradual increase in the Th/U ratio and decrease in the U/K ratio indicates the transition from cold to warm periods. In addition, this study observed different behaviors between proximal and distal gamma-ray spectral logs.</t>
  </si>
  <si>
    <t>Nobre, JA (corresponding author), Univ Fed Fluminense UFF, Av Gen Milton Tavares de Souza S-N, BR-24210346 Niteroi, RJ, Brazil.</t>
  </si>
  <si>
    <t>jeniffer_alves@id.uff.br</t>
  </si>
  <si>
    <t>Neto, Arthur Ayres/AAL-2963-2021; Silva, Cleverson/G-2518-2012</t>
  </si>
  <si>
    <t>Neto, Arthur Ayres/0000-0002-2982-245X; Vieira, Rosemary/0000-0003-0312-2890; Nobre, Jeniffer/0000-0003-1778-3040; Silva, Cleverson/0000-0003-1731-7883; Menezes Freire, Antonio Fernando/0000-0002-8102-8341</t>
  </si>
  <si>
    <t>Ministry of Science Technology and Innovation (MCTI)/Research National Council (CNPq)/National Fund for the Development of Science and Technology (FNDCT), Brazilian Antarctic Program-PROANTAR</t>
  </si>
  <si>
    <t>The Ministry of Science Technology and Innovation (MCTI)/Research National Council (CNPq)/National Fund for the Development of Science and Technology (FNDCT), Brazilian Antarctic Program-PROANTAR Call No 64/2013 funded the research project.</t>
  </si>
  <si>
    <t>10.1007/s00367-020-00658-4</t>
  </si>
  <si>
    <t>WOS:000534988100001</t>
  </si>
  <si>
    <t>Soto, FA; Klaich, MJ; Negrete, J; Leonardi, MS</t>
  </si>
  <si>
    <t>Soto, F. A.; Klaich, M. J.; Negrete, J.; Leonardi, M. S.</t>
  </si>
  <si>
    <t>So happy together: juvenile crabeater seal behavior improves lice transmission</t>
  </si>
  <si>
    <t>PARASITOLOGY RESEARCH</t>
  </si>
  <si>
    <t>Antarctica; Crabeater seals; GLM; Mean abundance; Prevalence; Sucking lice</t>
  </si>
  <si>
    <t>PARASITE POPULATION INTERACTIONS; LOBODON-CARCINOPHAGUS; ECOLOGY; STABILITY; DENSITIES</t>
  </si>
  <si>
    <t>Lice from family Echinophthiriidae are of the few insects that have successfully colonized marine environment living as ectoparasites of pinnipeds, i.e., sea lions, seals, and the walrus. They have developed unique adaptations to cope with the amphibious lifestyle of their hosts. Because eggs do not survive underwater, lice could only reproduce when their host remains on pack ice enough time. Consequently, lice generations per year are limited by host haul-out behavior. The objective of this work is to study the effect of host sex and age class, and the annual variation on the prevalence and mean abundance of Antarctophthirus lobodontis in crabeater seals from the Antarctic Peninsula. During three consecutive field-seasons, we collected lice from 41 crabeater seals (23 females, 16 males, 2 indeterminate, being 24 adults, and 17 juveniles). We investigated this effect on the prevalence and mean abundance by a generalized linear model formulation in a Bayesian framework. According to the lowest Deviance Index Criterion model, sex host does not affect prevalence nor mean abundance. We found that juveniles present greater abundance and prevalence than adults, possibly due to foraging habits. They spent more time on the ice than adults in groups of dozens of animals. This behavior would favor both egg development and lice transmission. We do not find adult females with lice, which suggests that transmission of A. lobodontis should be horizontal. The high mean abundance of lice in 2014 could be associated with an unusual increase in Lobodon carcinophaga population, probably related to the pack-ice availability and zooplankton abundance.</t>
  </si>
  <si>
    <t>[Soto, F. A.; Leonardi, M. S.] Inst Biol Organismos Marinos IBIOMAR, Blvd Brown 2915,U9120ACF, Puerto Madryn, Chubut, Argentina; [Klaich, M. J.] Univ Nacl Patagonia San Juan Bosco, Puerto Madryn, Chubut, Argentina; [Negrete, J.] Inst Antartico Argentino, Dept Biol Predadores Tope, Buenos Aires, DF, Argentina</t>
  </si>
  <si>
    <t>Universidad Nacional de la Patagonia San Juan Bosco; Instituto Antartico Argentino</t>
  </si>
  <si>
    <t>Leonardi, MS (corresponding author), Inst Biol Organismos Marinos IBIOMAR, Blvd Brown 2915,U9120ACF, Puerto Madryn, Chubut, Argentina.</t>
  </si>
  <si>
    <t>leonardi@cenpat-conicet.gob.ar</t>
  </si>
  <si>
    <t>Negrete, Javier/0000-0001-6853-8307; Soto, Florencia/0000-0003-0139-9327; Leonardi, Maria Soledad/0000-0002-1736-7031</t>
  </si>
  <si>
    <t>Direccion Nacional del Antartico, Instituto Antartico Argentino; Agencia de Promocion Cientifica Tecnologica [PICT 2015-0082, PICT 2018-0537]; Secretariat of Science and Technology of the UNPSJB [PI 149280020180100018UP]; Direccion Nacional del Antartico (Environmental Office)</t>
  </si>
  <si>
    <t>Direccion Nacional del Antartico, Instituto Antartico Argentino; Agencia de Promocion Cientifica Tecnologica; Secretariat of Science and Technology of the UNPSJB; Direccion Nacional del Antartico (Environmental Office)</t>
  </si>
  <si>
    <t>The study was financially and logistically supported by the Direccion Nacional del Antartico, Instituto Antartico Argentino. The permit for this work was granted by the Direccion Nacional del Antartico (Environmental Office). This research was funded by the Agencia de Promocion Cientifica Tecnologica (PICT 2015-0082, PICT 2018-0537). This research was also funded by a Research Project from the Secretariat of Science and Technology of the UNPSJB (PI 149280020180100018UP).</t>
  </si>
  <si>
    <t>0932-0113</t>
  </si>
  <si>
    <t>1432-1955</t>
  </si>
  <si>
    <t>PARASITOL RES</t>
  </si>
  <si>
    <t>Parasitol. Res.</t>
  </si>
  <si>
    <t>10.1007/s00436-020-06704-5</t>
  </si>
  <si>
    <t>MB8TW</t>
  </si>
  <si>
    <t>WOS:000534969500002</t>
  </si>
  <si>
    <t>Shilling, AJ; Witowski, CG; Maschek, JA; Azhari, A; Vesely, BA; Kyle, DE; Amsler, CD; McClintock, JB; Baker, BJ</t>
  </si>
  <si>
    <t>Shilling, Andrew J.; Witowski, Christopher G.; Maschek, J. Alan; Azhari, Ala; Vesely, Brian A.; Kyle, Dennis E.; Amsler, Charles D.; McClintock, James B.; Baker, Bill J.</t>
  </si>
  <si>
    <t>Spongian Diterpenoids Derived from the Antarctic Sponge Dendrilla antarctica Are Potent Inhibitors of the Leishmania Parasite</t>
  </si>
  <si>
    <t>JOURNAL OF NATURAL PRODUCTS</t>
  </si>
  <si>
    <t>ABSOLUTE STRUCTURE; MEMBRANOLIDE; CONSTITUENTS</t>
  </si>
  <si>
    <t>From the CH2Cl2 extract of the Antarctic sponge Dendrilla antarctica we found spongian diterpenes, including previously reported aplysulphurin (1), tetrahydroaplysulphurin-1 (2), membranolide (3), and darwinolide (4), utilizing a CH2Cl2/MeOH extraction scheme. However, the extracts also yielded diterpenes bearing one or more methyl acetal functionalities (5-9), two of which are previously unreported, while others are revised here. Further investigation of diterpene reactivity led to additional new metabolites (10-12), which identified them as well as the methyl acetals as artifacts from methanolysis of aplysulphurin. The bioactivity of the methanolysis products, membranoids A-H (5-12), as well as natural products 1-4, were assessed for activity against Leishmania donovani-infected J774A.1 macrophages, revealing insights into their structure/activity relationships. Four diterpenes, tetrahydroaplysulphurin-1 (2) as well as membranoids B (6), D (8), and G (11), displayed low micromolar activity against L. donovani with no discernible cytotoxicity against uninfected J774A.1 cells. Leishmaniasis is a neglected tropical disease that affects one million people every year and can be fatal if left untreated.</t>
  </si>
  <si>
    <t>[Shilling, Andrew J.; Witowski, Christopher G.; Maschek, J. Alan; Baker, Bill J.] Univ S Florida, Dept Chem, Tampa, FL 33620 USA; [Azhari, Ala; Vesely, Brian A.; Kyle, Dennis E.] Univ S Florida, Dept Global Hlth, Tampa, FL 33612 USA; [Azhari, Ala] King Abdulaziz Univ, Dept Microbiol &amp; Med Parasitol, Jeddah 22252, Saudi Arabia; [Amsler, Charles D.; McClintock, James B.] Univ Alabama Birmingham, Dept Biol, Birmingham, AL 35294 USA</t>
  </si>
  <si>
    <t>State University System of Florida; University of South Florida; State University System of Florida; University of South Florida; King Abdulaziz University; University of Alabama System; University of Alabama Birmingham</t>
  </si>
  <si>
    <t>Baker, BJ (corresponding author), Univ S Florida, Dept Chem, Tampa, FL 33620 USA.</t>
  </si>
  <si>
    <t>bjbaker@usf.edu</t>
  </si>
  <si>
    <t>Azhari, Ala/AAW-3296-2020; Baker, Bill/N-4312-2019</t>
  </si>
  <si>
    <t>Baker, Bill/0000-0003-3033-5779; Azhari, Ala/0000-0001-8519-2619; Kyle, Dennis/0000-0002-0238-965X</t>
  </si>
  <si>
    <t>National Science Foundation from the Antarctic Organisms and Ecosystems program [ANT-0838773, PLR-1341333, ANT-0838776, PLR-1341339]; Center of Excellence award from the State of Florida; University of Alabama at Birmingham</t>
  </si>
  <si>
    <t>National Science Foundation from the Antarctic Organisms and Ecosystems program(National Science Foundation (NSF)NSF - Directorate for Geosciences (GEO)); Center of Excellence award from the State of Florida; University of Alabama at Birmingham</t>
  </si>
  <si>
    <t>This work was funded by the National Science Foundation awards ANT-0838773 and PLR-1341333 (C.D.A., J.B.M.) and ANT-0838776 and PLR-1341339 (B.J.B.) from the Antarctic Organisms and Ecosystems program and a Center of Excellence award from the State of Florida to support the Center for Drug Discovery and Innovation, whose facilities made much of the chemical analysis possible. We greatly appreciate the outstanding logistical support of the employees and subcontractors of Raytheon Polar Services Company and Antarctic Support Contract. We are appreciative of Dr. E. Rivera for assistance in obtaining high-quality NMR spectra and Dr. L. Wojtas, G. Verma, and C. Shan for assistance with X-ray crystallography. J.B.M. acknowledges the support of an Endowed Professorship from the University of Alabama at Birmingham.</t>
  </si>
  <si>
    <t>0163-3864</t>
  </si>
  <si>
    <t>1520-6025</t>
  </si>
  <si>
    <t>J NAT PROD</t>
  </si>
  <si>
    <t>J. Nat. Prod.</t>
  </si>
  <si>
    <t>MAY 22</t>
  </si>
  <si>
    <t>10.1021/acs.jnatprod.0c00025</t>
  </si>
  <si>
    <t>Plant Sciences; Chemistry, Medicinal; Pharmacology &amp; Pharmacy</t>
  </si>
  <si>
    <t>Science Citation Index Expanded (SCI-EXPANDED); Index Chemicus (IC)</t>
  </si>
  <si>
    <t>Plant Sciences; Pharmacology &amp; Pharmacy</t>
  </si>
  <si>
    <t>LU1RN</t>
  </si>
  <si>
    <t>WOS:000537539300023</t>
  </si>
  <si>
    <t>Ko, YW; Choi, HG; Lee, DS; Kim, JH</t>
  </si>
  <si>
    <t>Ko, Young Wook; Choi, Han-Gu; Lee, Dong Seok; Kim, Jeong Ha</t>
  </si>
  <si>
    <t>30 years revisit survey for long-term changes in the Antarctic subtidal algal assemblage</t>
  </si>
  <si>
    <t>KING-GEORGE-ISLAND; SOUTH SHETLAND ISLANDS; CLIMATE-CHANGE IMPACTS; COMMUNITY COMPOSITION; POTTER COVE; MARINE; MACROALGAE; BIODIVERSITY; BIOGEOGRAPHY; VEGETATION</t>
  </si>
  <si>
    <t>A long-term change of a subtidal macroalgal assemblage has been investigated in Maxwell Bay, King George Island (KGI) of the Antarctic coast by a revisit survey after 30 years. Field surveys were done by SCUBA diving at six sites in 2016-2018 to directly compare with the previous survey conducted in 1988-1993 at the same sites. The total number of macroalgal species was similar between the previous and the present survey, 25 and 27 species respectively. However, the macroalgal assemblage changed substantially with the average similarity of 48.2% between the two surveys. Also, the species-level abundance showed a high variability between surveys. On the other hand, over the 30 years interval there was little overall change at the between-site level hierarchical structure in the subtidal communities of Maxwell Bay. The sites near the penguin rookery consistently showed the highest biodiversity, indicating the importance of land-based nutrients input in Antarctic coastal habitats. A noticeable pattern change over 30 years was the increase of Desmarestia complex and Plocamium cartilagineum and the decrease of Himantothallus grandifolius. Both groups are still dominant, but the shift from Himantothallus to Desmarestia-Plocamium may reflects temperature rise on the Maxwell Bay coast compared to the past.</t>
  </si>
  <si>
    <t>[Ko, Young Wook; Choi, Han-Gu] Korea Polar Res Inst, Div Polar Life Sci, Incheon 21990, South Korea; [Ko, Young Wook; Lee, Dong Seok; Kim, Jeong Ha] Sungkyunkwan Univ, Dept Biol Sci, Suwon 16419, South Korea</t>
  </si>
  <si>
    <t>Korea Polar Research Institute (KOPRI); Sungkyunkwan University (SKKU)</t>
  </si>
  <si>
    <t>Kim, JH (corresponding author), Sungkyunkwan Univ, Dept Biol Sci, Suwon 16419, South Korea.</t>
  </si>
  <si>
    <t>jhkbio@skku.edu</t>
  </si>
  <si>
    <t>Basic Research Program of the Korea Polar Research Institute [PE19070, PE20120]</t>
  </si>
  <si>
    <t>Basic Research Program of the Korea Polar Research Institute(Korea Polar Research Institute of Marine Research Placement (KOPRI))</t>
  </si>
  <si>
    <t>This work was supported a grant from the Basic Research Program (PE19070 and PE20120) of the Korea Polar Research Institute. We thank the crews of King Sejong Station for their assistance in SCUBA diving and field surveys during the years of 2016-2018. Authors also thank to Prof. Emer. Robert DeWreede, University of British Columbia, for critical reading and comments.</t>
  </si>
  <si>
    <t>MAY 21</t>
  </si>
  <si>
    <t>10.1038/s41598-020-65039-4</t>
  </si>
  <si>
    <t>NB3VW</t>
  </si>
  <si>
    <t>WOS:000560445100002</t>
  </si>
  <si>
    <t>Bascur, M; Muñoz-Ramírez, C; Román-González, A; Sheen, K; Barnes, DKA; Sands, CJ; Brante, A; Urzúa, A</t>
  </si>
  <si>
    <t>Bascur, Miguel; Munoz-Ramirez, Carlos; Roman-Gonzalez, Alejandro; Sheen, Katy; Barnes, David K. A.; Sands, Chester J.; Brante, Antonio; Urzua, Angel</t>
  </si>
  <si>
    <t>The influence of glacial melt and retreat on the nutritional condition of the bivalve Nuculana inaequisculpta (Protobranchia: Nuculanidae) in the West Antarctic Peninsula</t>
  </si>
  <si>
    <t>KING-GEORGE ISLAND; FATTY-ACID-COMPOSITION; LATERNULA-ELLIPTICA KING; BIOCHEMICAL-COMPOSITION; SEASONAL-CHANGES; MYTILUS-GALLOPROVINCIALIS; CRASSOSTREA-GIGAS; CHEMICAL DEFENSE; TROPHIC ECOLOGY; CLIMATE-CHANGE</t>
  </si>
  <si>
    <t>Due to climate change, numerous ice bodies have been lost in the West Antarctic Peninsula (WAP). As a consequence, deglaciation is expected to impact the marine environment and its biota at physiological and ecosystem levels. Nuculana inaequisculpta is a marine bivalve widely distributed around Antarctica that plays an important role for ecosystem functioning. Considering that N. inaequisculpta inhabits coastal areas under effect of glacial melt and retreat, impacts on its nutritional condition are expected due to alterations on its physiology and food availability. To test this hypothesis, biochemical composition (lipids, proteins, and fatty acids) and energy content were measured in individuals of N. inaequisculpta collected in a fjord at different distances to the retreating glacier in the WAP. Oceanographic parameters of the top and bottom-water layers (temperature, salinity, dissolved oxygen, and chlorophyll-a) were measured to investigate how the environment changes along the fjord. Results showed that surface oceanographic parameters displayed a lower temperature and dissolved oxygen, but a higher salinity and chlorophyll-a content at nearest compared to farthest sites to the glacier. In contrast, a lower temperature and chlorophyll-a, and a higher salinity and dissolved oxygen was measured in the bottom-water layer toward the glacier. N. inaequisculpta had a higher amount of lipids (17.42 +/- 3.24 vs. 12.16 +/- 3.46%), protein (24.34 +/- 6.12 vs. 21.05 +/- 2.46%) and energy content (50.57 +/- 6.97 J vs. 39.14 +/- 5.80 J) in the farthest compared to the nearest site to the glacier. No differences were found in total fatty acids among all sites. It seems likely that lower individual fitness related to proximity to the glacier would not be related to nutritional quality of sediment food, but rather to food quantity.</t>
  </si>
  <si>
    <t>[Bascur, Miguel; Munoz-Ramirez, Carlos; Brante, Antonio; Urzua, Angel] Univ Catolica Santisima Concepcion, Fac Ciencias, Dept Ecol, Concepcion, Chile; [Bascur, Miguel] Univ Catolica Santisima Concepcion, Programa Magister Ecol Marina, Concepcion, Chile; [Munoz-Ramirez, Carlos; Brante, Antonio; Urzua, Angel] Univ Catolica Santisima Concepcion, CIBAS, Concepcion, Chile; [Munoz-Ramirez, Carlos] Univ Metropolitana Ciencias Educ, Inst Entomol, Santiago, Chile; [Roman-Gonzalez, Alejandro; Sheen, Katy] Univ Exeter, Coll Life &amp; Environm Sci, Penryn, Cornwall, England; [Barnes, David K. A.; Sands, Chester J.] NERC, British Antarct Survey, Cambridge, England</t>
  </si>
  <si>
    <t>Universidad Catolica de la Santisima Concepcion; Universidad Catolica de la Santisima Concepcion; Universidad Catolica de la Santisima Concepcion; Universidad Metropolitana de Ciencias de la Educacion (UMCE); University of Exeter; UK Research &amp; Innovation (UKRI); Natural Environment Research Council (NERC); NERC British Antarctic Survey</t>
  </si>
  <si>
    <t>Urzúa, A (corresponding author), Univ Catolica Santisima Concepcion, Fac Ciencias, Dept Ecol, Concepcion, Chile.;Urzúa, A (corresponding author), Univ Catolica Santisima Concepcion, CIBAS, Concepcion, Chile.</t>
  </si>
  <si>
    <t>aurzua@ucsc.cl</t>
  </si>
  <si>
    <t>Urzúa, Ángel/AAA-6095-2019; Muñoz-Ramirez, Carlos/F-8969-2012; Urzua, Angel/AAA-6126-2019; Bascur, Miguel/AAJ-4426-2021</t>
  </si>
  <si>
    <t>Urzúa, Ángel/0000-0001-7706-5126; Muñoz-Ramirez, Carlos/0000-0003-1348-5476; Bascur, Miguel Angel/0000-0002-4076-4262; Brante, Antonio/0000-0002-2699-9700</t>
  </si>
  <si>
    <t>Comision Nacional de Investigacion Cientifica y Tecnologica (CONICYT)-Natural Environment Research Council (NERC) [223449]; Natural Environment Research Council (NERC) [NE/P003087/1]; Fondo Nacional de Desarrollo Cienti'fico y Tecnologico (FONDECYT) [3180331]; Magister en Ecologia Marina; Direccion de Postgrados UCSC; NERC [bas0100036, NE/P003060/1, NE/P003087/1] Funding Source: UKRI</t>
  </si>
  <si>
    <t>Comision Nacional de Investigacion Cientifica y Tecnologica (CONICYT)-Natural Environment Research Council (NERC); Natural Environment Research Council (NERC)(UK Research &amp; Innovation (UKRI)Natural Environment Research Council (NERC)); Fondo Nacional de Desarrollo Cienti'fico y Tecnologico (FONDECYT)(Comision Nacional de Investigacion Cientifica y Tecnologica (CONICYT)CONICYT FONDECYT); Magister en Ecologia Marina; Direccion de Postgrados UCSC; NERC(UK Research &amp; Innovation (UKRI)Natural Environment Research Council (NERC))</t>
  </si>
  <si>
    <t>Financial support was provided by Comision Nacional de Investigacion Cientifica y Tecnolo ' gica (CONICYT)-Natural Environment Research Council (NERC) to A.B., A.U. (proyect No 223449), Natural Environment Research Council (NERC) to D.B., A.B. (proyect NE/P003087/1) and Fondo Nacional de Desarrollo Cienti ' fico y Tecnologico (FONDECYT) to CM-R (proyect No 3180331). M.B. thanks the fellowships granted by the Magister en Ecologia Marina and Direccion de Postgrados UCSC. The funders had no role in study design, data collection and analysis, decision to publish, or preparation of the manuscript.</t>
  </si>
  <si>
    <t>e0233513</t>
  </si>
  <si>
    <t>10.1371/journal.pone.0233513</t>
  </si>
  <si>
    <t>LU1JI</t>
  </si>
  <si>
    <t>WOS:000537517800098</t>
  </si>
  <si>
    <t>Imae, N; Kimura, M</t>
  </si>
  <si>
    <t>Imae, Naoya; Kimura, Makoto</t>
  </si>
  <si>
    <t>New measurement technique for characterizing small extraterrestrial materials by X-ray diffraction using the Gandolfi attachment</t>
  </si>
  <si>
    <t>ORDINARY CHONDRITES; MODAL MINERALOGY; PETROLOGY; LINK</t>
  </si>
  <si>
    <t>Identification and characterization of small extraterrestrial samples, such as small Antarctic meteorites &lt;1 cm, require the development of convenient laboratory-based nondestructive analytical techniques using X-ray diffraction (XRD). We explore the characterization criteria using an X-ray diffractometer with a Gandolfi attachment using sub-mm small fragments and powder aggregates for various kinds of stony meteorites and develop a new analytical technique. We primarily focus on olivine and pyroxene because they are the most abundant and important minerals for stony meteorite classification. A new calibration is performed to estimate the FeO content of the olivine in unequilibrated ordinary chondrites, which is useful for determining the meteorite chemical group irrespective of powder aggregate diameter but dependent on fragment grain diameter. This is because X-ray intensity absorption is more effective for grains than for powders. Clinoenstatite (Cen) and orthoenstatite (Oen) were distinguished using the presence or absence of the isolated Oen 511 index peak. The method is also applied to other stony meteorites including carbonaceous chondrites and achondrites. The XRD results are consistent with studies based on polished sections involving textural observations by scanning microscope and chemical compositions of the constituent minerals. The new measurement technique presented here is convenient because of its use in air by the laboratory-based X-ray diffractometer, which makes it useful for the initial analyses of restricted extraterrestrial sample characterization.</t>
  </si>
  <si>
    <t>[Imae, Naoya; Kimura, Makoto] Natl Inst Polar Res, 10-3 Midori Cho, Tachikawa, Tokyo 1908518, Japan; [Imae, Naoya] SOKENDAI, Grad Univ Adv Studies, Dept Polar Sci, 10-3 Midori Cho, Tachikawa, Tokyo 1908518, Japan</t>
  </si>
  <si>
    <t>Imae, N (corresponding author), Natl Inst Polar Res, 10-3 Midori Cho, Tachikawa, Tokyo 1908518, Japan.;Imae, N (corresponding author), SOKENDAI, Grad Univ Adv Studies, Dept Polar Sci, 10-3 Midori Cho, Tachikawa, Tokyo 1908518, Japan.</t>
  </si>
  <si>
    <t>imae@nipr.ac.jp</t>
  </si>
  <si>
    <t>Kimura, Makoto/0000-0003-3352-4989</t>
  </si>
  <si>
    <t>KAKENHI [17K05721, 18K03729, KP-307 NIPR]; Grants-in-Aid for Scientific Research [17K05721, 18K03729] Funding Source: KAKEN</t>
  </si>
  <si>
    <t>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</si>
  <si>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are grateful to Y. Nakamuta for extensive discussions. The authors thank the Nittobo Boseki Co., Ltd for supplying glass fibers and the Narishige company for supplying extended glass rods. This study was partly supported by KAKENHI 17K05721 and 18K03729, and the KP-307 NIPR research project. NI is also grateful to Rei Kanemaru for discussion on eucrites and T. Ojima for sample preparation. We are also grateful to the Associate Editor, Prof. Timothy J. Fagan, and Drs. Kieren T. Howard and Tasha L. Dunn, for their constructive reviews.</t>
  </si>
  <si>
    <t>10.1111/maps.13491</t>
  </si>
  <si>
    <t>QM6YD</t>
  </si>
  <si>
    <t>WOS:000534361700001</t>
  </si>
  <si>
    <t>Fourteau, K; Arnaud, L; Faïn, X; Martinerie, P; Etheridge, DM; Lipenkov, V; Barnola, JM</t>
  </si>
  <si>
    <t>Fourteau, Kevin; Arnaud, Laurent; Fain, Xavier; Martinerie, Patricia; Etheridge, David M.; Lipenkov, Vladimir; Barnola, Jean-Marc</t>
  </si>
  <si>
    <t>Historical porosity data in polar firn</t>
  </si>
  <si>
    <t>ANTARCTIC ICE; AIR; RECORD; TRANSPORT; ENCLOSURE; TRACER; MODEL; AGE</t>
  </si>
  <si>
    <t>In the 1990s, closed and open porosity volumes of firn samples were measured by J.-M. Barnola using the technique of gas pycnometry, on firn from three different polar sites. They are the basis of a parameterization of closed porosity in polar firn, first introduced in Goujon et al. (2003) and used in several firn physics models (e.g., Buizert et al., 2012). However, these data and their processing have not been published in their own right yet. In this short article, we detail how they were processed by J.-M. Barnola and how the closed porosity parameterization was obtained. We show that the original data processing only partially accounts for the presence of reopened bubbles in the samples. Since the proper correction to apply for this effect is hard to estimate, we also processed the data without including a correction for reopened bubbles. Finally, we made these pycnometry data available in order to be used by the glaciology community, notably for the study of polar ice formation and of the composition of gas records in ice cores. They are hosted on the PANGAEA database: https://doi.org/10.1594/PANGAEA.907678 (Fourteau et al., 2019a).</t>
  </si>
  <si>
    <t>[Fourteau, Kevin; Arnaud, Laurent; Fain, Xavier; Martinerie, Patricia; Barnola, Jean-Marc] Univ Grenoble Alpes, CNRS, IRD, Grenoble INP,IGE, F-38000 Grenoble, France; [Etheridge, David M.] CSIRO Oceans &amp; Atmosphere, Climate Sci Ctr, Aspendale, Vic, Australia; [Lipenkov, Vladimir] Arctic &amp; Antarctic Res Inst, Climate &amp; Environm Res Lab, St Petersburg 199397, Russia</t>
  </si>
  <si>
    <t>Communaute Universite Grenoble Alpes; Institut National Polytechnique de Grenoble; Centre National de la Recherche Scientifique (CNRS); Institut de Recherche pour le Developpement (IRD); Universite Grenoble Alpes (UGA); Commonwealth Scientific &amp; Industrial Research Organisation (CSIRO); Arctic &amp; Antarctic Research Institute</t>
  </si>
  <si>
    <t>Arnaud, L (corresponding author), Univ Grenoble Alpes, CNRS, IRD, Grenoble INP,IGE, F-38000 Grenoble, France.</t>
  </si>
  <si>
    <t>laurent.arnaud@univ-grenoble-alpes.fr</t>
  </si>
  <si>
    <t>Martinerie, Patricia/N-5731-2017; Fourteau, Kevin/ITV-9385-2023; Etheridge, David M/B-7334-2013; FAIN, Xavier/C-8645-2009</t>
  </si>
  <si>
    <t>Martinerie, Patricia/0000-0002-6820-2296; Fourteau, Kevin/0000-0002-9905-2446; arnaud, laurent/0000-0002-4432-4205; FAIN, Xavier/0000-0002-4119-6025; Etheridge, David/0000-0001-7970-2002</t>
  </si>
  <si>
    <t>MAY 20</t>
  </si>
  <si>
    <t>10.5194/essd-12-1171-2020</t>
  </si>
  <si>
    <t>LT6VE</t>
  </si>
  <si>
    <t>WOS:000537205600002</t>
  </si>
  <si>
    <t>Gray, A; Krolikowski, M; Fretwell, P; Convey, P; Peck, LS; Mendelova, M; Smith, AG; Davey, MP</t>
  </si>
  <si>
    <t>Gray, Andrew; Krolikowski, Monika; Fretwell, Peter; Convey, Peter; Peck, Lloyd S.; Mendelova, Monika; Smith, Alison G.; Davey, Matthew P.</t>
  </si>
  <si>
    <t>Remote sensing reveals Antarctic green snow algae as important terrestrial carbon sink</t>
  </si>
  <si>
    <t>CLIMATE-CHANGE; VEGETATION DISTRIBUTION; CO2 FLUXES; ICE; PENINSULA; CHLOROPHYTA; VARIABILITY; ECOSYSTEM; DYNAMICS; GROWTH</t>
  </si>
  <si>
    <t>We present the first estimate of green snow algae community biomass and distribution along the Antarctic Peninsula. Sentinel 2 imagery supported by two field campaigns revealed 1679 snow algae blooms, seasonally covering 1.95 x 10(6) m(2) and equating to 1.3x10(3) tonnes total dry biomass. Ecosystem range is limited to areas with average positive summer temperatures, and distribution strongly influenced by marine nutrient inputs, with 60% of blooms less than 5 km from a penguin colony. A warming Antarctica may lose a majority of the 62% of blooms occupying small, low-lying islands with no high ground for range expansion. However, bloom area and elevation were observed to increase at lower latitudes, suggesting that parallel expansion of bloom area on larger landmasses, close to bird or seal colonies, is likely. This increase is predicted to outweigh biomass lost from small islands, resulting in a net increase in snow algae extent and biomass as the Peninsula warms. Snow algae bloom along the coast of Antarctica and are likely to be biogeochemically important. Here, the authors produced the first map of such blooms, show that they are driven by warmer temperatures and proximity to birds and mammals, and are likely to increase given projected climate changes.</t>
  </si>
  <si>
    <t>[Gray, Andrew; Krolikowski, Monika; Smith, Alison G.; Davey, Matthew P.] Univ Cambridge, Dept Plant Sci, Downing St, Cambridge CB2 3EA, England; [Gray, Andrew] NERC Field Spect Facil, Edinburgh EH3 9FE, Midlothian, Scotland; [Fretwell, Peter; Convey, Peter; Peck, Lloyd S.] British Antarctic Survey, NERC, Madingley Rd, Cambridge CB3 0ET, England; [Mendelova, Monika] Univ Edinburgh, Sch GeoSci, Edinburgh EH8 9XP, Midlothian, Scotland</t>
  </si>
  <si>
    <t>University of Cambridge; UK Research &amp; Innovation (UKRI); Natural Environment Research Council (NERC); UK Research &amp; Innovation (UKRI); Natural Environment Research Council (NERC); NERC British Antarctic Survey; University of Edinburgh</t>
  </si>
  <si>
    <t>Gray, A; Davey, MP (corresponding author), Univ Cambridge, Dept Plant Sci, Downing St, Cambridge CB2 3EA, England.;Gray, A (corresponding author), NERC Field Spect Facil, Edinburgh EH3 9FE, Midlothian, Scotland.</t>
  </si>
  <si>
    <t>andrew.gray@ed.ac.uk; mpd39@cam.ac.uk</t>
  </si>
  <si>
    <t>Convey, Peter/AAV-5728-2020</t>
  </si>
  <si>
    <t>Convey, Peter/0000-0001-8497-9903; Davey, Matthew/0000-0002-5220-4174; Krolikowski, Monika/0000-0002-1062-1463; Gray, Andrew/0000-0003-1145-9741</t>
  </si>
  <si>
    <t>Leverhulme Trust Research Grant [RPG-2017-077]; NERC British Antarctic Survey; Chilean Antarctic Institute INACH; NERC; MAGIC; BBSRC [BB/I013164/1] Funding Source: UKRI; NERC [bas010011, bas0100036, NE/S013385/1] Funding Source: UKRI</t>
  </si>
  <si>
    <t>Leverhulme Trust Research Grant(Leverhulme Trust); NERC British Antarctic Survey(UK Research &amp; Innovation (UKRI)Natural Environment Research Council (NERC)); Chilean Antarctic Institute INACH; NERC(UK Research &amp; Innovation (UKRI)Natural Environment Research Council (NERC)); MAGIC; BBSRC(UK Research &amp; Innovation (UKRI)Biotechnology and Biological Sciences Research Council (BBSRC)); NERC(UK Research &amp; Innovation (UKRI)Natural Environment Research Council (NERC))</t>
  </si>
  <si>
    <t>The research expeditions were funded by a Leverhulme Trust Research Grant (RPG-2017-077) and supported by the NERC British Antarctic Survey and the Chilean Antarctic Institute INACH. We thank staff at the Rothera Research Station, Antarctica, especially the Bonner Laboratory manager Alison Massey and boating staff (Ritchie Southerton, Zac Priestley, Zoe Waring) and staff at King George Island Escudero Base (Elias Barticevic and Cesar Cardenas Alarcon). M.P.D., M.K. and A.G. were supported by the Leverhulme Trust Research Grant (RPG-2017-077). L.S.P., P.C. and P.F. are supported by NERC core funding to the BAS 'Biodiversity, Evolution and Adaptation' Team and MAGIC. We thank Andrew Fleming, Kevin Newsham and James Blake for scientific support. Thank you to James Rolfe at the Godwin Laboratory for Palaeoclimate Research, Department of Earth Sciences, University of Cambridge for the total C/N data acquisition; Lorraine Archer, Department of Plant Sciences, University of Cambridge for help with the microscopy, The NERC Field Spectroscopy Facility (loans 765.0617 and 796.0618), Homeward Bound Expeditions (Hannah Laeverenz Schlogelhofer, Daisy Hessenberger, Katherine R. Duncan), Tamara Contador (University of Magallanes) and Edgardo Vega (INACH) for snow algae sightings; Macarena Henriquez (AGUNSA) for assistance and logistic support and Jorge Gonzalez Aravena (INACH) for freeze drying samples.</t>
  </si>
  <si>
    <t>10.1038/s41467-020-16018-w</t>
  </si>
  <si>
    <t>LT4RO</t>
  </si>
  <si>
    <t>WOS:000537059800002</t>
  </si>
  <si>
    <t>Ramsoe, A; Clark, MS; Sleight, VA</t>
  </si>
  <si>
    <t>Ramsoe, Abigail; Clark, Melody S.; Sleight, Victoria A.</t>
  </si>
  <si>
    <t>Gene network analyses support subfunctionalization hypothesis for duplicated hsp70 genes in the Antarctic clam</t>
  </si>
  <si>
    <t>CELL STRESS &amp; CHAPERONES</t>
  </si>
  <si>
    <t>Heat stress; Hypoxia; Gene duplication; Ribosome; Signalling; Cytoskeleton</t>
  </si>
  <si>
    <t>RIBOSOMAL-SUBUNITS; CDNA MICROARRAY; HEAT-SHOCK; REVEALS; STRESS; ASSOCIATION; EXPRESSION</t>
  </si>
  <si>
    <t>A computationally predicted gene regulatory network (GRN), generated from mantle-specific gene expression profiles in the Antarctic clam Laternula elliptica, was interrogated to test the regulation and interaction of duplicated inducible hsp70 paralogues. hsp70A and hsp70B were identified in the GRN with each paralogue falling into unique submodules that were linked together by a single shared second neighbour. Annotations associated with the clusters in each submodule suggested that hsp70A primarily shares regulatory relationships with genes encoding ribosomal proteins, where it may have a role in protecting the ribosome under stress. hsp70B, on the other hand, interacted with a suite of genes involved in signalling pathways, including four transcription factors, cellular response to stress and the cytoskeleton. Given the contrasting submodules and associated annotations of the two hsp70 paralogues, the GRN analysis suggests that each gene is carrying out additional separate functions, as well as being involved in the traditional chaperone heat stress response, and therefore supports the hypothesis that subfunctionalization has occurred after gene duplication. The GRN was specifically produced from experiments investigating biomineralization; however, this study shows the utility of such data for investigating multiple questions concerning gene duplications, interactions and putative functions in a non-model species.</t>
  </si>
  <si>
    <t>[Ramsoe, Abigail] Univ York, Dept Archaeol, BioArCh, York YO1 7EP, N Yorkshire, England; [Ramsoe, Abigail] Nat Hist Museum, Dept Earth Sci, London SW7 5BD, England; [Clark, Melody S.; Sleight, Victoria A.] NERC, British Antarctic Survey, Madingley Rd, Cambridge CB3 0ET, England; [Sleight, Victoria A.] Univ Cambridge, Dept Zool, Downing St, Cambridge CB2 3EJ, England; [Sleight, Victoria A.] Univ Aberdeen, Sch Biol Sci, Zool Bldg,Tillydrone Ave, Aberdeen AB24 2TZ, Scotland</t>
  </si>
  <si>
    <t>University of York - UK; Natural History Museum London; UK Research &amp; Innovation (UKRI); Natural Environment Research Council (NERC); NERC British Antarctic Survey; University of Cambridge; University of Aberdeen</t>
  </si>
  <si>
    <t>Clark, MS; Sleight, VA (corresponding author), NERC, British Antarctic Survey, Madingley Rd, Cambridge CB3 0ET, England.;Sleight, VA (corresponding author), Univ Cambridge, Dept Zool, Downing St, Cambridge CB2 3EJ, England.;Sleight, VA (corresponding author), Univ Aberdeen, Sch Biol Sci, Zool Bldg,Tillydrone Ave, Aberdeen AB24 2TZ, Scotland.</t>
  </si>
  <si>
    <t>mscl@bas.ac.uk; vas45@cam.ac.uk</t>
  </si>
  <si>
    <t>Clark, Melody S/D-7371-2014</t>
  </si>
  <si>
    <t>Sleight, Victoria/0000-0003-0550-8500</t>
  </si>
  <si>
    <t>NERC-UKRI; Wolfson College, University of Cambridge; Arts and Humanities Research Council (AHRC) through the White Rose College of the Arts and Humanities (WRoCAH) [AH/N005015/1]; NERC [bas0100036] Funding Source: UKRI</t>
  </si>
  <si>
    <t>NERC-UKRI; Wolfson College, University of Cambridge(University of Cambridge); Arts and Humanities Research Council (AHRC) through the White Rose College of the Arts and Humanities (WRoCAH)(UK Research &amp; Innovation (UKRI)Arts &amp; Humanities Research Council (AHRC)); NERC(UK Research &amp; Innovation (UKRI)Natural Environment Research Council (NERC))</t>
  </si>
  <si>
    <t>MSC was supported by core funding to the British Antarctic Survey by NERC-UKRI. VAS was supported by a Junior Research Fellowship from Wolfson College, University of Cambridge. AR was funded by the Arts and Humanities Research Council (AHRC) [grant number AH/N005015/1] through the White Rose College of the Arts and Humanities (WRoCAH).</t>
  </si>
  <si>
    <t>1355-8145</t>
  </si>
  <si>
    <t>1466-1268</t>
  </si>
  <si>
    <t>CELL STRESS CHAPERON</t>
  </si>
  <si>
    <t>Cell Stress Chaperones</t>
  </si>
  <si>
    <t>10.1007/s12192-020-01118-9</t>
  </si>
  <si>
    <t>Cell Biology</t>
  </si>
  <si>
    <t>OK3XP</t>
  </si>
  <si>
    <t>WOS:000534449500001</t>
  </si>
  <si>
    <t>Fuller, ID; Cumming, AH; Card, A; Burgess, EJ; Barrow, CJ; Perry, NB; Killeen, DP</t>
  </si>
  <si>
    <t>Fuller, Ioan D.; Cumming, Adam H.; Card, Ash; Burgess, Elaine J.; Barrow, Colin J.; Perry, Nigel B.; Killeen, Daniel P.</t>
  </si>
  <si>
    <t>Free Fatty Acids in Commercial Krill Oils: Concentrations, Compositions, and Implications for Oxidative Stability</t>
  </si>
  <si>
    <t>JOURNAL OF THE AMERICAN OIL CHEMISTS SOCIETY</t>
  </si>
  <si>
    <t>Krill oil; Oxidation; Free fatty acids; Phospholipids; Omega-3; Docosahexaenoic acid; Eicosapentaenoic acid; Phytanic acid</t>
  </si>
  <si>
    <t>NONENZYMATIC BROWNING REACTIONS; ANTARCTIC KRILL; LIPID OXIDATION; PHOSPHOLIPIDS; EXTRACTION; MECHANISMS; P-31</t>
  </si>
  <si>
    <t>The concentrations and pro-oxidative effects of free fatty acids in commercial krill oil are not well defined. We now report that krill oil free fatty acids account for 2-13% of total lipids in commercial krill oil (n = 8) that these compounds are enriched in eicosapentaenoic acid (+7.1%) and docosahexaenoic acid (+6.3%) relative to whole oils; and that this composition make them highly pro-oxidizing in marine triacylglycerol oils, but not in krill oil, which derives oxidative stability from both its phospholipids, and neutral lipids (the latter because of astaxanthin). Specific fatty acid esterification patterns showed that krill oil free fatty acids predominantly (88-93%) originated from phospholipids, mainly from the sn-2 position, which was eight-fold more hydrolyzed than the sn-1 position. Lipolysis was not ongoing in stored oils. Adding small amounts of krill oil (1-5%) to marine triacylglycerol oils significantly increased their oxidative stability and also their resistance to free fatty acid-mediated pro-oxidative effects.</t>
  </si>
  <si>
    <t>[Fuller, Ioan D.; Cumming, Adam H.; Card, Ash; Killeen, Daniel P.] New Zealand Inst Plant &amp; Food Res Ltd, Seafood Proc &amp; Marine Prod, 293 Akersten St, Port Nelson 7010, Nelson, New Zealand; [Burgess, Elaine J.; Perry, Nigel B.] Univ Otago, New Zealand Inst Plant &amp; Food Res Ltd, Dept Chem, POB 56, Dunedin 9054, New Zealand; [Barrow, Colin J.] Deakin Univ, Ctr Chem &amp; Biotechnol, Locked Bag 20000, Geelong, Vic 3220, Australia; [Perry, Nigel B.] Univ Otago, Dept Chem, POB 56, Dunedin 9054, New Zealand</t>
  </si>
  <si>
    <t>New Zealand Institute for Plant &amp; Food Research Ltd; New Zealand Institute for Plant &amp; Food Research Ltd; University of Otago; Deakin University; University of Otago</t>
  </si>
  <si>
    <t>Killeen, DP (corresponding author), New Zealand Inst Plant &amp; Food Res Ltd, Seafood Proc &amp; Marine Prod, 293 Akersten St, Port Nelson 7010, Nelson, New Zealand.</t>
  </si>
  <si>
    <t>daniel.killeen@plantandfood.co.nz</t>
  </si>
  <si>
    <t>Perry, Nigel/G-5574-2010</t>
  </si>
  <si>
    <t>Killeen, Daniel/0000-0002-4898-6724; Fuller, Ioan/0000-0003-4312-8541; Cumming, Hemi/0000-0001-8931-6172</t>
  </si>
  <si>
    <t>New Zealand Ministry for Business Innovation and Employment (MBIE) [C11X1307]</t>
  </si>
  <si>
    <t>New Zealand Ministry for Business Innovation and Employment (MBIE)(New Zealand Ministry of Business, Innovation and Employment (MBIE))</t>
  </si>
  <si>
    <t>This research was supported by funding from the New Zealand Ministry for Business Innovation and Employment (MBIE) for the programme Export Marine Products (C11X1307) led by Dr. Susan N. Marshall.</t>
  </si>
  <si>
    <t>0003-021X</t>
  </si>
  <si>
    <t>1558-9331</t>
  </si>
  <si>
    <t>J AM OIL CHEM SOC</t>
  </si>
  <si>
    <t>J. Am. Oil Chem. Soc.</t>
  </si>
  <si>
    <t>10.1002/aocs.12368</t>
  </si>
  <si>
    <t>Chemistry, Applied; Food Science &amp; Technology</t>
  </si>
  <si>
    <t>Chemistry; Food Science &amp; Technology</t>
  </si>
  <si>
    <t>MX5GR</t>
  </si>
  <si>
    <t>WOS:000534404600001</t>
  </si>
  <si>
    <t>Rivera-Colón, AG; Rochette, NC; Catchen, JM</t>
  </si>
  <si>
    <t>Rivera-Colon, Angel G.; Rochette, Nicolas C.; Catchen, Julian M.</t>
  </si>
  <si>
    <t>Simulation with RADinitio improves RADseq experimental design and sheds light on sources of missing data</t>
  </si>
  <si>
    <t>MOLECULAR ECOLOGY RESOURCES</t>
  </si>
  <si>
    <t>bioinformatics; genetics; population; RADseq; simulations</t>
  </si>
  <si>
    <t>DE-NOVO; SEQUENCE; EVOLUTION; GENETICS; INSIGHTS; LOCI; TOOL; ADAPTATION; SELECTION; CAPTURE</t>
  </si>
  <si>
    <t>Restriction-site associated DNA sequencing (RADseq) has become a powerful and versatile tool in modern population genomics, enabling large-scale evolutionary and genomic analyses in otherwise inaccessible biological systems. With its widespread use, different variants on the protocol have been developed to suit specific experimental needs. Researchers face the challenge of choosing the optimal molecular and sequencing protocols for their reduced representation experimental design, an often-complicated process. Strategic errors can lead to biased data generation that has reduced power to answer biological questions. Here, we present RADinitio, simulation software for the selection and optimization of RADseq experiments via the generation of sequencing data that behave similarly to empirical sources. RADinitio provides an evolutionary simulation of populations, implementation of various RADseq protocols with customizable parameters, and thorough assessment of missing data. We test the efficacy of the software using different RAD protocols across several organisms, highlighting the importance of protocol selection on the magnitude and quality of data acquired. Additionally, we test the effects of RAD library preparation and sequencing on allelic dropout, observing that library preparation and sequencing often contributes more to missing alleles than population-level variation.</t>
  </si>
  <si>
    <t>[Rivera-Colon, Angel G.; Rochette, Nicolas C.; Catchen, Julian M.] Univ Illinois, Dept Evolut Ecol &amp; Behav, Urbana, IL 61801 USA</t>
  </si>
  <si>
    <t>Catchen, JM (corresponding author), Univ Illinois, Dept Evolut Ecol &amp; Behav, Urbana, IL 61801 USA.</t>
  </si>
  <si>
    <t>jcatchen@illinois.edu</t>
  </si>
  <si>
    <t>Rivera-Colón, Angel G/ITV-3165-2023</t>
  </si>
  <si>
    <t>Rivera-Colón, Angel G/0000-0001-9097-3241; Catchen, Julian/0000-0002-4798-660X</t>
  </si>
  <si>
    <t>Division of Antarctic Sciences [1645087]</t>
  </si>
  <si>
    <t>Division of Antarctic Sciences</t>
  </si>
  <si>
    <t>Division of Antarctic Sciences, Grant/Award Number: 1645087</t>
  </si>
  <si>
    <t>1755-098X</t>
  </si>
  <si>
    <t>1755-0998</t>
  </si>
  <si>
    <t>MOL ECOL RESOUR</t>
  </si>
  <si>
    <t>Mol. Ecol. Resour.</t>
  </si>
  <si>
    <t>10.1111/1755-0998.13163</t>
  </si>
  <si>
    <t>PR7MK</t>
  </si>
  <si>
    <t>WOS:000534086300001</t>
  </si>
  <si>
    <t>Tartu, S; Fisk, AT; Götsch, A; Kovacs, KM; Lydersen, C; Routti, H</t>
  </si>
  <si>
    <t>Tartu, Sabrina; Fisk, Aaron T.; Gotsch, Arntraut; Kovacs, Kit M.; Lydersen, Christian; Routti, Heli</t>
  </si>
  <si>
    <t>First assessment of pollutant exposure in two balaenopterid whale populations sampled in the Svalbard Archipelago, Norway</t>
  </si>
  <si>
    <t>Arctic; Svalbard; Blue whale; Fin whale; Contaminant; Stable isotope</t>
  </si>
  <si>
    <t>PERSISTENT ORGANIC POLLUTANTS; FIN WHALES; ARCTIC MARINE; ORGANOCHLORINE POLLUTANTS; MEDITERRANEAN SEA; HUMPBACK WHALES; FEEDING AREAS; FRAM STRAIT; BLUE WHALES; CONTAMINANTS</t>
  </si>
  <si>
    <t>Pollutant concentrations are poorly known for the largest animals on Earth, blue whales Balaenoptera musculus and fin whales Balaenoptera physalus. In this study, concentrations of persistent organic pollutants (POPs) were determined in blubber biopsies and stable isotope values for nitrogen (delta N-15) and carbon (delta C-13) were measured using skin biopsies for 18 blue whales and 12 fin whales sampled in waters surrounding the Svalbard Archipelago, Norway. The samples were collected in summer during the period 2014-2018. POPs were dominated by DCTs, PCBs and toxaphenes, with median concentrations in blue/fin whales being 208/341, 127/275 and 133/233 ng/g lipid weight, respectively. Linear models indicated that pollutant concentrations were 1.6-3 times higher in fin whales than in blue whales, which is likely related to the higher trophic positions of fin whales, as indicated by their higher delta N-15. Lower delta C-13 in fin whales suggests that they feed at higher latitudes than blue whales; these values were not correlated with pollutant concentrations. Pollutant levels were approximately twice as high in males compared to females (intraspecifically), which indicates that females of these species offload pollutants to their offspring during gestation and lactation, similar to many other mammalian species. Pollutant concentrations in balaenopterid whales from Svalbard waters were generally much lower than in conspecific whales from the Mediterranean Sea or the Gulf of California, but higher than those in conspecifics from the Antarctic Peninsula. (C) 2020 The Authors. Published by Elsevier B.V.</t>
  </si>
  <si>
    <t>[Tartu, Sabrina; Kovacs, Kit M.; Lydersen, Christian; Routti, Heli] Norwegian Polar Res Inst, Fram Ctr, N-9296 Tromso, Norway; [Fisk, Aaron T.] Univ Windsor, Sch Environm, Windsor, ON N9B 3P4, Canada; [Gotsch, Arntraut] Norwegian Inst Air Res NILU, Fram Ctr, N-9296 Tromso, Norway</t>
  </si>
  <si>
    <t>Norwegian Polar Institute; University of Windsor; NILU</t>
  </si>
  <si>
    <t>Routti, H (corresponding author), Norwegian Polar Res Inst, Fram Ctr, N-9296 Tromso, Norway.</t>
  </si>
  <si>
    <t>heli.routti@npolar.no</t>
  </si>
  <si>
    <t>Routti, Heli/AAM-7884-2020; Tartu, Sabrina/Q-4062-2018</t>
  </si>
  <si>
    <t>Routti, Heli/0000-0001-5560-888X; Tartu, Sabrina/0000-0002-4257-7495</t>
  </si>
  <si>
    <t>Norwegian Polar Institute; Fram Centre Hazardous Substances Flagship Program [602018]; Norwegian Research Council ICE whales grant [244488/E10]</t>
  </si>
  <si>
    <t>Norwegian Polar Institute; Fram Centre Hazardous Substances Flagship Program; Norwegian Research Council ICE whales grant(Research Council of Norway)</t>
  </si>
  <si>
    <t>The authors thank all of the people who helped with the fieldwork over the whole of the sampling program and M. Berube and P. Palsboll at the Groningen Institute of Evolutionary Life Sciences for genetic sex identification of the animals in this study. The study was supported financially by the Norwegian Polar Institute, the Fram Centre Hazardous Substances Flagship Program(Project #602018 to H.R.) and the Norwegian Research Council ICE whales grant (Project #244488/E10 to K.M.K.).</t>
  </si>
  <si>
    <t>10.1016/j.scitotenv.2020.137327</t>
  </si>
  <si>
    <t>LD4VS</t>
  </si>
  <si>
    <t>WOS:000526029000059</t>
  </si>
  <si>
    <t>Wang, PY; D'Imperio, L; Biersma, EM; Ranniku, R; Xu, WY; Tian, QJ; Ambus, P; Elberling, B</t>
  </si>
  <si>
    <t>Wang, Peiyan; D'Imperio, Ludovica; Biersma, Elisabeth M.; Ranniku, Reti; Xu, Wenyi; Tian, Qingjiu; Ambus, Per; Elberling, Bo</t>
  </si>
  <si>
    <t>Combined effects of glacial retreat and penguin activity on soil greenhouse gas fluxes on South Georgia, sub-Antarctica</t>
  </si>
  <si>
    <t>Carbon dioxide; Methane oxidation; Nitrous oxide; Soil properties; Chronosequence; King Penguin (Aptenodytes patagonicus); Glacier foreland; sub-Antarctic</t>
  </si>
  <si>
    <t>NITROUS-OXIDE; SPATIAL VARIABILITY; MARITIME ANTARCTICA; ADMIRALTY BAY; CO2 EMISSIONS; CRYOSOLS; ISLAND; CH4; METHANE; COLONY</t>
  </si>
  <si>
    <t>The effects of soil succession after glacial retreat and fertilisation by marine animals are known to have major impacts on soil greenhouse gas (GHG) fluxes in polar terrestrial ecosystems. While in many polar coastal areas retreating glaciers open up new ground for marine animals to colonise, little is known about the combination of both factors on the local GHG budget. We studied the magnitude of GHG fluxes (CO2, CH4 and N2O) on the combined effect of glacial retreat and penguin-induced fertilisation along a transect protruding into the world's largest King Penguin (Aptenodytes patagonicus) colony at Saint Andrews Bay on sub-Antarctic South Georgia. GHG production and consumption rates were assessed based on laboratory incubations of intact soil cores and nutrients and water additional experimental incubations. The oldest soils along the transect show significant higher contents of soil carbon, nutrients and moisture and were strongly influenced by penguin activity. We found a net CH4 consumption along the entire transect with a marked decrease within the penguin colony. CO2 production strongly increased along the transect, while N2O production rates were low near the glacier front and increased markedly within the penguin colony. Controlled applications of guano resulted in a significant increase in CO2 and N2O production, and decrease in CH4 consumption, except for sites already strongly influenced by penguin activity. The results show that soil microbial activity promptly catalyses a turnover of soil C and atmospheric methane oxidation in de-glaciated forelands. The methane oxidizers, however, may increase relatively slowly in their capacity to oxidise atmospheric CH4. Results show also that the increase of nutrients by penguins reduces CH4 oxidation whereas N2O production is greatly increased. A future expansion of penguins into newly available ice-free polar coastal areas may therefore markedly increase the local GHG budget. (C) 2019 Elsevier B.V. All rights reserved.</t>
  </si>
  <si>
    <t>[Wang, Peiyan; Tian, Qingjiu] Nanjing Univ, Int Inst Earth Syst Sci, Nanjing 210023, Peoples R China; [Wang, Peiyan; Tian, Qingjiu] Nanjing Univ, Jiangsu Prov Key Lab Geog Informat Sci &amp; Technol, Nanjing 210023, Peoples R China; [Wang, Peiyan; D'Imperio, Ludovica; Ranniku, Reti; Xu, Wenyi; Ambus, Per; Elberling, Bo] Univ Copenhagen, Ctr Permafrost CENPERM, Dept Geosci &amp; Nat Resource Management, Oster Voldgade 10, DK-1350 Copenhagen, Denmark; [Biersma, Elisabeth M.] British Antarctic Survey, Madingley Rd, Cambridge CB3 0ET, England; [Biersma, Elisabeth M.] Univ Copenhagen, Nat Hist Museum Denmark, Oster Farimagsgade 5, DK-1353 Copenhagen, Denmark</t>
  </si>
  <si>
    <t>Nanjing University; Nanjing University; University of Copenhagen; UK Research &amp; Innovation (UKRI); Natural Environment Research Council (NERC); NERC British Antarctic Survey; University of Copenhagen</t>
  </si>
  <si>
    <t>Elberling, B (corresponding author), Univ Copenhagen, Ctr Permafrost CENPERM, Dept Geosci &amp; Nat Resource Management, Oster Voldgade 10, DK-1350 Copenhagen, Denmark.</t>
  </si>
  <si>
    <t>be@ign.ku.dk</t>
  </si>
  <si>
    <t>Biersma, Elisabeth Machteld/JKI-1084-2023; Biersma, Elisabeth Machteld/AAL-9818-2020; Ambus, Per/B-2514-2015; Elberling, Bo/M-4000-2014; D'Imperio, Ludovica/C-9840-2015</t>
  </si>
  <si>
    <t>Biersma, Elisabeth Machteld/0000-0002-9877-2177; Xu, Wenyi/0000-0002-9516-4395; Tian, Qingjiu/0000-0003-0986-6479; Ranniku, Reti/0000-0002-5271-5302; Ambus, Per/0000-0001-7580-524X; Elberling, Bo/0000-0002-6023-885X; D'Imperio, Ludovica/0000-0002-6751-145X</t>
  </si>
  <si>
    <t>Danish National Research Foundation [CENPERM DNRF100]; NERC-CONICYT grant [NE/P003079/1]; Antarctic Circumnavigation Expedition (ACE); British Antarctic Survey; China Scholarship Council [201606190145]; National Natural Science Foundation of China [41771370]; National Key Research and Development Program of China [2017YFD0600903]; National Science and Technology Major Project of China [03-Y20A04-9001-17/18, 30Y20A07-9003-17/18]; NERC [bas0100036] Funding Source: UKRI</t>
  </si>
  <si>
    <t>Danish National Research Foundation(Danmarks Grundforskningsfond); NERC-CONICYT grant; Antarctic Circumnavigation Expedition (ACE); British Antarctic Survey; China Scholarship Council(China Scholarship Council); National Natural Science Foundation of China(National Natural Science Foundation of China (NSFC)); National Key Research and Development Program of China; National Science and Technology Major Project of China; NERC(UK Research &amp; Innovation (UKRI)Natural Environment Research Council (NERC))</t>
  </si>
  <si>
    <t>For financial and logistical support for the fieldwork at South Georgia we would like to acknowledge the Danish National Research Foundation (CENPERM DNRF100), NERC-CONICYT grant NE/P003079/1 to EMB, the Antarctic Circumnavigation Expedition (ACE), the British Antarctic Survey and staff at King Edward Point. PW was supported by the China Scholarship Council (NO. 201606190145), National Natural Science Foundation of China (Grant No.41771370), the National Key Research and Development Program of China (2017YFD0600903) and the National Science and Technology Major Project of China (03-Y20A04-9001-17/18 &amp; 30Y20A07-9003-17/18). We would like to thank Carolina Isabel Galleguillos de la Paz, Rasme Agbel Hereme Ruedlinge and Diego Knop Henriques for help in the field. Anders Michelsen and laboratory technician Maja Holm Wahlgren are thanked for help with the laboratory analysis. EMB, LD and BE conceived the project and LD and EMB did the fieldwork, PW made the incubation with the help from LD, RR, WX, PA and BE; PW and PA made the solid phase analyses and PW analysed the data and wrote the paper together with BE and PA with contributions from all authors.</t>
  </si>
  <si>
    <t>10.1016/j.scitotenv.2019.135255</t>
  </si>
  <si>
    <t>WOS:000526029000027</t>
  </si>
  <si>
    <t>Zang, N; Wang, F; Sprintall, J</t>
  </si>
  <si>
    <t>Zang Nan; Wang Fan; Sprintall, Janet</t>
  </si>
  <si>
    <t>The intermediate water in the Philippine Sea</t>
  </si>
  <si>
    <t>JOURNAL OF OCEANOLOGY AND LIMNOLOGY</t>
  </si>
  <si>
    <t>the intermediate water; the Antarctic Intermediate Water; the North Pacific Intermediate Water; seasonal variation</t>
  </si>
  <si>
    <t>WESTERN EQUATORIAL PACIFIC; MINDANAO CURRENT; NORTH; KUROSHIO; VARIABILITY; CIRCULATION; CURRENTS; INTRUSION; ORIGIN; EAST</t>
  </si>
  <si>
    <t>The dimensional and temporal distribution of Antarctic Intermediate Water (AAIW) and North Pacific Intermediate Water (NPIW) in the Philippine Sea were explored using Argo profiles and gridded Argo data. As the salinity minimum of intermediate water from mid-high latitude of the southern and northern hemisphere of the Pacific Ocean, the properties of AAIW and NPIW merge at about 10 degrees N with different properties in the Philippine Sea. The core of AAIW is located below 600 dbar with potential density of 27 &lt;=sigma(theta)&lt;= 27.3 kg/m(3)and salinity of 34.5 &lt;= S &lt;= 34.55. The core of NPIW is located between 300-700 dbar with potential density of 26.2 &lt;=sigma(theta)&lt;= 27 kg/m(3)and salinity of 34 &lt;= S &lt;= 34.4. The volume of AAIW and NPIW during January 2004 to December 2017 is negatively correlated. The time series of AAIW and NPIW is dominated by significant periods of 6 and 8 months, respectively. The variations of AAIW and NPIW are mainly affected by volume transport through a 130 degrees E section by the North Equatorial Current (NEC) and North Equatorial Undercurrent (NEUC).</t>
  </si>
  <si>
    <t>[Zang Nan; Wang Fan] Chinese Acad Sci, Inst Oceanol, CAS Key Lab Ocean Circulat &amp; Waves, Qingdao 266071, Peoples R China; [Zang Nan; Wang Fan] Chinese Acad Sci, Ctr Ocean Megasci, Qingdao 266071, Peoples R China; [Zang Nan; Wang Fan] Pilot Natl Lab Marine Sci &amp; Technol Qingdao, Qingdao 266237, Peoples R China; [Zang Nan; Wang Fan] Univ Chinese Acad Sci, Coll Marine Sci, Qingdao 266071, Peoples R China; [Sprintall, Janet] Univ Calif San Diego, Scripps Inst Oceanog, La Jolla, CA 92093 USA</t>
  </si>
  <si>
    <t>Chinese Academy of Sciences; Institute of Oceanology, CAS; Chinese Academy of Sciences; Laoshan Laboratory; Chinese Academy of Sciences; University of Chinese Academy of Sciences, CAS; University of California System; University of California San Diego; Scripps Institution of Oceanography</t>
  </si>
  <si>
    <t>Zang, N (corresponding author), Chinese Acad Sci, Inst Oceanol, CAS Key Lab Ocean Circulat &amp; Waves, Qingdao 266071, Peoples R China.;Zang, N (corresponding author), Chinese Acad Sci, Ctr Ocean Megasci, Qingdao 266071, Peoples R China.;Zang, N (corresponding author), Pilot Natl Lab Marine Sci &amp; Technol Qingdao, Qingdao 266237, Peoples R China.;Zang, N (corresponding author), Univ Chinese Acad Sci, Coll Marine Sci, Qingdao 266071, Peoples R China.</t>
  </si>
  <si>
    <t>zangnan@qdio.ac.cn</t>
  </si>
  <si>
    <t>Wang, Fan/J-5119-2012</t>
  </si>
  <si>
    <t>Wang, Fan/0000-0001-5932-7567</t>
  </si>
  <si>
    <t>National Key RAMP;D Program of China [2016YFC1401702]; National Program on Global Change and Air-Sea Interaction [GASI-IPOVAI-01-01]; State Key Program of National Natural Science of China [41730534]; NSFC Innovative Group Grant [41421005]; NSFC-Shandong Joint Fund for Marine Science Research Centers [U1406401]; NOAA's Climate Program Office, Climate Variability and Predictability Program [NA17OAR4310257]</t>
  </si>
  <si>
    <t>National Key RAMP;D Program of China; National Program on Global Change and Air-Sea Interaction; State Key Program of National Natural Science of China(National Natural Science Foundation of China (NSFC)); NSFC Innovative Group Grant; NSFC-Shandong Joint Fund for Marine Science Research Centers; NOAA's Climate Program Office, Climate Variability and Predictability Program</t>
  </si>
  <si>
    <t>Supported by the National Key R&amp;D Program of China (No. 2016YFC1401702), the National Program on Global Change and Air-Sea Interaction (No. GASI-IPOVAI-01-01), the State Key Program of National Natural Science of China (No.41730534), the NSFC Innovative Group Grant (No. 41421005), and the NSFC-Shandong Joint Fund for Marine Science Research Centers (No. U1406401) to ZANG Nan and WANG Fan. Janet SPRINTALL was supported by NOAA's Climate Program Office, Climate Variability and Predictability Program (No. NA17OAR4310257)</t>
  </si>
  <si>
    <t>SCIENCE PRESS</t>
  </si>
  <si>
    <t>BEIJING</t>
  </si>
  <si>
    <t>16 DONGHUANGCHENGGEN NORTH ST, BEIJING, 100717, PEOPLES R CHINA</t>
  </si>
  <si>
    <t>2096-5508</t>
  </si>
  <si>
    <t>2523-3521</t>
  </si>
  <si>
    <t>J OCEANOL LIMNOL</t>
  </si>
  <si>
    <t>J. Oceanol. Limnol.</t>
  </si>
  <si>
    <t>10.1007/s00343-020-0035-4</t>
  </si>
  <si>
    <t>OK1GC</t>
  </si>
  <si>
    <t>WOS:000565844200001</t>
  </si>
  <si>
    <t>Nickels, PP</t>
  </si>
  <si>
    <t>Nickels, Philipp P.</t>
  </si>
  <si>
    <t>Revisiting Bioprospecting in the Southern Ocean in the Context of the BBNJ Negotiations</t>
  </si>
  <si>
    <t>OCEAN DEVELOPMENT AND INTERNATIONAL LAW</t>
  </si>
  <si>
    <t>Antarctic Treaty System; biodiversity in areas beyond national jurisdiction; bioprospecting; marine genetic resources; United Nations Convention on the Law of the Sea</t>
  </si>
  <si>
    <t>ANTARCTIC TREATY; ACCESS; AREAS; LAW</t>
  </si>
  <si>
    <t>This article revisits marine bioprospecting in the Southern Ocean in the context of the efforts to develop an international legally binding instrument (ILBI) under the United Nations Convention on the Law of the Sea on the conservation and sustainable use of marine biological diversity in areas beyond national jurisdiction. After briefly introducing the Antarctic Treaty System (ATS), this article examines the extent to which the ILBI will likely spatially overlap with the ATS. As the next step, it is highlighted that future provisions on marine genetic resources (MGRs) in the ILBI might substantively differ from the way the ATS currently regulates bioprospecting. Based on that, the final section reflects on how the ILBI will normatively and institutionally relate to the ATS.</t>
  </si>
  <si>
    <t>[Nickels, Philipp P.] Arctic Univ Norway, Norwegian Ctr Law Sea, KG Jebsen Ctr Law Sea, Tromso, Norway</t>
  </si>
  <si>
    <t>UiT The Arctic University of Tromso</t>
  </si>
  <si>
    <t>Nickels, PP (corresponding author), Univ Tromso, N-9037 Tromso, Norway.</t>
  </si>
  <si>
    <t>philipp.nickels@uit.no</t>
  </si>
  <si>
    <t>Nickels, Philipp Peter/0000-0002-1834-1693</t>
  </si>
  <si>
    <t>Norwegian Research Council as part of the project BIOs-POLAR: Legal Frameworks for Bioprospecting and BioInnovation in Polar Regions [257631]</t>
  </si>
  <si>
    <t>Norwegian Research Council as part of the project BIOs-POLAR: Legal Frameworks for Bioprospecting and BioInnovation in Polar Regions</t>
  </si>
  <si>
    <t>The research for this article was funded by the Norwegian Research Council (Project Number: 257631) as part of the project BIOs-POLAR: Legal Frameworks for Bioprospecting and BioInnovation in Polar Regions. The author expresses his gratitude to two anonymous reviewers and, in particular, to Vito De Lucia (K.G. Jebsen Centre for the Law of the Sea, University of Tromso-The Arctic University of Norway) for his excellent feedback on earlier drafts of this article.</t>
  </si>
  <si>
    <t>0090-8320</t>
  </si>
  <si>
    <t>1521-0642</t>
  </si>
  <si>
    <t>OCEAN DEV INT LAW</t>
  </si>
  <si>
    <t>Ocean Dev. Int. Law</t>
  </si>
  <si>
    <t>AUG 3</t>
  </si>
  <si>
    <t>10.1080/00908320.2020.1736773</t>
  </si>
  <si>
    <t>International Relations; Law</t>
  </si>
  <si>
    <t>International Relations; Government &amp; Law</t>
  </si>
  <si>
    <t>MQ3WU</t>
  </si>
  <si>
    <t>WOS:000537563200001</t>
  </si>
  <si>
    <t>Arthur, JF; Stokes, C; Jamieson, SSR; Carr, JR; Leeson, AA</t>
  </si>
  <si>
    <t>Arthur, Jennifer F.; Stokes, Chris; Jamieson, Stewart S. R.; Carr, J. Rachel; Leeson, Amber A.</t>
  </si>
  <si>
    <t>Recent understanding of Antarctic supraglacial lakes using satellite remote sensing</t>
  </si>
  <si>
    <t>PROGRESS IN PHYSICAL GEOGRAPHY-EARTH AND ENVIRONMENT</t>
  </si>
  <si>
    <t>Supraglacial lakes; hydrology; Antarctica; remote sensing</t>
  </si>
  <si>
    <t>GREENLAND ICE-SHEET; LONGITUDINAL SURFACE-STRUCTURES; WEST GREENLAND; SEASONAL EVOLUTION; LANDSAT 8; MODIS IMAGERY; MASS-BALANCE; GEORGE VI; SHELF; MELT</t>
  </si>
  <si>
    <t>Supraglacial lakes (SGLs) are now known to be widespread in Antarctica, where they represent an important component of ice sheet mass balance. This paper reviews how recent progress in satellite remote sensing has substantially advanced our understanding of SGLs in Antarctica, including their characteristics, geographic distribution and impacts on ice sheet dynamics. Important advances include: (a) the capability to resolve lakes at sub-metre resolution at weekly timescales; (b) the measurement of lake depth and volume changes at seasonal timescales, including sporadic observations of lake drainage events and (c) the integration of multiple optical satellite datasets to obtain continent-wide observations of lake distributions. Despite recent progress, however, there remain important gaps in our understanding, most notably: (a) the relationship between seasonal variability in SGL development and near-surface climate; (b) the prevalence and impact of SGL drainage events on both grounded and floating ice and (c) the sensitivity of individual ice shelves to lake-induced hydrofracture. Given that surface melting and SGL development is predicted to play an increasingly important role in the surface mass balance of Antarctica, bridging these gaps will help constrain predictions of future rapid ice loss from Antarctica.</t>
  </si>
  <si>
    <t>[Arthur, Jennifer F.; Stokes, Chris] Univ Durham, Dept Geog, South Rd, Durham DH1 3LE, England; [Jamieson, Stewart S. R.] Univ Durham, Durham, England; [Carr, J. Rachel] Newcastle Univ, Sch Geog Polit &amp; Sociol, Newcastle Upon Tyne, Tyne &amp; Wear, England; [Leeson, Amber A.] Univ Lancaster, Lancaster Environm Ctr, Lancaster, England</t>
  </si>
  <si>
    <t>Durham University; Durham University; Newcastle University - UK; Lancaster University</t>
  </si>
  <si>
    <t>Arthur, JF (corresponding author), Univ Durham, Dept Geog, South Rd, Durham DH1 3LE, England.</t>
  </si>
  <si>
    <t>jennifer.arthur@durham.ac.uk</t>
  </si>
  <si>
    <t>Stokes, Chris R/A-1957-2011; Leeson, Amber/JFA-1001-2023; Jamieson, Stewart/B-8330-2013</t>
  </si>
  <si>
    <t>Arthur, Jennifer/0000-0001-8753-7211; Leeson, Amber/0000-0001-8720-9808; Jamieson, Stewart/0000-0002-9036-2317</t>
  </si>
  <si>
    <t>Natural Environment Research Council Doctoral Training Partnership Studentship [NE/L002590/1]; NERC [NE/S011390/1] Funding Source: UKRI</t>
  </si>
  <si>
    <t>Natural Environment Research Council Doctoral Training Partnership Studentship; NERC(UK Research &amp; Innovation (UKRI)Natural Environment Research Council (NERC))</t>
  </si>
  <si>
    <t>The authors disclosed receipt of the following financial support for the research, authorship, and/or publication of this article: JFA acknowledges a Natural Environment Research Council Doctoral Training Partnership Studentship (grant no. NE/L002590/1).</t>
  </si>
  <si>
    <t>0309-1333</t>
  </si>
  <si>
    <t>1477-0296</t>
  </si>
  <si>
    <t>PROG PHYS GEOG</t>
  </si>
  <si>
    <t>Prog. Phys. Geogr.</t>
  </si>
  <si>
    <t>10.1177/0309133320916114</t>
  </si>
  <si>
    <t>OB1HO</t>
  </si>
  <si>
    <t>WOS:000534656900001</t>
  </si>
  <si>
    <t>Osborne, A; Jones, CW; Risi, MM; Green, DB; Dilley, B; Cooper, J</t>
  </si>
  <si>
    <t>Osborne, Alexis; Jones, Christopher W.; Risi, Michelle M.; Green, David B.; Dilley, Ben J.; Cooper, John</t>
  </si>
  <si>
    <t>Cases of foreign egg adoption by Brown Skuas Stercorarius antarcticus on Marion and Gough Islands</t>
  </si>
  <si>
    <t>Incubation stimulus; Mistaken food hypothesis</t>
  </si>
  <si>
    <t>BREEDING BIOLOGY; PSEUDO-EGG; KELP GULL</t>
  </si>
  <si>
    <t>Ground-nesting birds, such as large gulls and skuas, are known to include a variety of items in their nests as pseudo-eggs, as well as to adopt the eggs of conspecifics or other species. Three hypotheses have been proposed to explain this phenomenon: incubation stimulus, mistaken food, and mistaken egg hypotheses. Of 657 Brown Skua Stercorarius antarcticus nests surveyed on Marion Island during the 2017/18 breeding season, two instances of egg adoption were recorded. Another case of egg adoption was found in a Brown Skua nest on Gough Island in the 2018/19 breeding season. It is likely that all three were cases of mistaken food. This study adds further evidence to the assumption that avian egg predators such as skuas and gulls which are able to steal and carry an egg unbroken in flight, are at risk of this maladaptive behaviour.</t>
  </si>
  <si>
    <t>[Osborne, Alexis; Jones, Christopher W.; Risi, Michelle M.] Royal Soc Protect Birds, RSPB Ctr Conservat Sci, Sandy SG19 2DL, Beds, England; [Osborne, Alexis; Jones, Christopher W.; Risi, Michelle M.; Dilley, Ben J.] Univ Cape Town, DST NRF Ctr Excellence, FitzPatrick Inst African Ornithol, ZA-7701 Rondebosch, South Africa; [Green, David B.] Nelson Mandela Univ, Inst Coastal &amp; Marine Res, Dept Zool, Marine Apex Predator Res Unit, ZA-6031 Summerstrand, South Africa; [Cooper, John] Stellenbosch Univ, Dept Bot &amp; Zool, Private Bag X1, ZA-7602 Matieland, South Africa</t>
  </si>
  <si>
    <t>Royal Society for Protection of Birds; University of Cape Town; National Research Foundation - South Africa; Nelson Mandela University; Stellenbosch University</t>
  </si>
  <si>
    <t>Osborne, A (corresponding author), Royal Soc Protect Birds, RSPB Ctr Conservat Sci, Sandy SG19 2DL, Beds, England.;Osborne, A (corresponding author), Univ Cape Town, DST NRF Ctr Excellence, FitzPatrick Inst African Ornithol, ZA-7701 Rondebosch, South Africa.</t>
  </si>
  <si>
    <t>lexisosborne@gmail.com</t>
  </si>
  <si>
    <t>; Green, David/E-8985-2019</t>
  </si>
  <si>
    <t>Jones, Christopher/0000-0002-4112-1912; Green, David/0000-0002-0346-3129</t>
  </si>
  <si>
    <t>UK's Royal Society for the Protection of Birds; South African National Antarctic Programme through the National Research Foundation</t>
  </si>
  <si>
    <t>We thank the Administrator, Island Council and the Conservation Department of Tristan da Cunha for permission to visit and conduct research on Gough Island. Research at Gough Island is supported by the UK's Royal Society for the Protection of Birds. Permission to visit and conduct research on Marion Island was granted by the Prince Edward Islands Management Committee. Research at Marion Island is supported by the South African National Antarctic Programme through the National Research Foundation. The then South African Department of Environmental Affairs provided logistical support and transport to both islands.</t>
  </si>
  <si>
    <t>10.1007/s00300-020-02678-3</t>
  </si>
  <si>
    <t>WOS:000534192600001</t>
  </si>
  <si>
    <t>Robertson, MW; Russo, NJ; Mclnnes, SJ; Goffinet, B; Jiménez, JE</t>
  </si>
  <si>
    <t>Robertson, Michael W.; Russo, Nicholas J.; Mclnnes, Sandra J.; Goffinet, Bernard; Jimenez, Jaime E.</t>
  </si>
  <si>
    <t>Potential dispersal of tardigrades by birds through endozoochory: evidence from Sub-Antarctic White-bellied Seedsnipe (Attagis malouinus)</t>
  </si>
  <si>
    <t>Bird feces; Cape Horn region; Herbivory</t>
  </si>
  <si>
    <t>Tardigrades are potentially dispersed by birds, but the extent of the interactions between birds and tardigrades is virtually unknown. We discovered nine tardigrades within feces of White-bellied Seedsnipe (Attagis malouinus) collected from high Andean tundra on Navarino Island, Chile. Eight of the tardigrade specimens began moving once rehydrated. Two specimens belonged to the genus Adropion (Hypsibiidae), one to the Macrobiotus (Macrobiotidae), and five could not be identified. A ninth specimen was a species of Isohypsibius in an embryonic egg state. These tardigrades could have passed through the avian digestive tract after incidental ingestion or burrowed into the feces post-defecation to feed on microorganisms and undigested plant matter present in the feces. To our knowledge, this is the first discovery of tardigrades in bird feces and may have implications for tardigrade distributions if birds transport tardigrades endogenously.</t>
  </si>
  <si>
    <t>[Robertson, Michael W.; Jimenez, Jaime E.] Univ North Texas, Dept Biol Sci, Denton, TX 76203 USA; [Russo, Nicholas J.; Goffinet, Bernard] Univ Connecticut, Dept Ecol &amp; Evolutionary Biol, Storrs, CT USA; [Mclnnes, Sandra J.] NERC, British Antarctic Survey, Madingley Rd, Cambridge, England; [Jimenez, Jaime E.] Univ North Texas, Adv Environm Res Inst, Denton, TX 76203 USA</t>
  </si>
  <si>
    <t>University of North Texas System; University of North Texas Denton; University of Connecticut; UK Research &amp; Innovation (UKRI); Natural Environment Research Council (NERC); NERC British Antarctic Survey; University of North Texas System; University of North Texas Denton</t>
  </si>
  <si>
    <t>Robertson, MW (corresponding author), Univ North Texas, Dept Biol Sci, Denton, TX 76203 USA.</t>
  </si>
  <si>
    <t>MichaelRobertson2@my.unt.edu</t>
  </si>
  <si>
    <t>McInnes, Sandra/AAN-4773-2020; Russo, Nicholas/W-4693-2018</t>
  </si>
  <si>
    <t>McInnes, Sandra/0000-0003-3403-9379; Goffinet, Bernard/0000-0002-2754-3895; Robertson, Michael W/0000-0002-1312-6820; Russo, Nicholas/0000-0002-7055-8056</t>
  </si>
  <si>
    <t>National Science Foundation (NSF) International Research Experiences for Students (IRES) [1658651]; NERC [bas010011] Funding Source: UKRI; Office Of The Director; Office Of Internatl Science &amp;Engineering [1658651] Funding Source: National Science Foundation</t>
  </si>
  <si>
    <t>National Science Foundation (NSF) International Research Experiences for Students (IRES)(National Science Foundation (NSF)); NERC(UK Research &amp; Innovation (UKRI)Natural Environment Research Council (NERC)); Office Of The Director; Office Of Internatl Science &amp;Engineering(National Science Foundation (NSF)NSF - Office of the Director (OD))</t>
  </si>
  <si>
    <t>This study was funded by the National Science Foundation (NSF) International Research Experiences for Students (IRES) 1658651 Cross-cutting interdisciplinary research and integration of ecology and biocultural conservation in the world's southernmost forests. The authors would like to thank the Sub-Antarctic Biocultural Conservation Program for lodging during the experiment, Tamara Contador and the Wankara Lab for providing their laboratory space and equipment, Peter Convey for transferring the tardigrades to the UK, and Jorge Talamantes for providing the illustration of Fig. . The authors would also like to thank Roy Mackenzie and Jose A. Sanchez-Ruiz for their input and critique. A special thanks to ukasz Kaczmarek and Harry Meyer for providing peer review for the publication.</t>
  </si>
  <si>
    <t>10.1007/s00300-020-02680-9</t>
  </si>
  <si>
    <t>WOS:000534192600002</t>
  </si>
  <si>
    <t>Fogt, RL; Marshall, GJ</t>
  </si>
  <si>
    <t>Fogt, Ryan L.; Marshall, Gareth J.</t>
  </si>
  <si>
    <t>The Southern Annular Mode: Variability, trends, and climate impacts across the Southern Hemisphere</t>
  </si>
  <si>
    <t>WILEY INTERDISCIPLINARY REVIEWS-CLIMATE CHANGE</t>
  </si>
  <si>
    <t>Antarctica; climate variability; ozone depletion; Southern Annular Mode</t>
  </si>
  <si>
    <t>LOW-FREQUENCY VARIABILITY; SEA-LEVEL PRESSURE; ANTARCTIC OSCILLATION; INTERANNUAL VARIABILITY; OZONE DEPLETION; ICE RESPONSE; STORM TRACKS; ZONAL FLOW; PART II; EXTRATROPICAL CIRCULATION</t>
  </si>
  <si>
    <t>The Southern Annular Mode (SAM) is the leading mode of extratropical Southern Hemisphere climate variability, associated with changes in the strength and position of the polar jet around Antarctica. This variability in the polar jet drives large fluctuations in the Southern Hemisphere climate, from the lower stratosphere into the troposphere, and stretching from the midlatitudes across the Southern Ocean to Antarctica. Notably, the SAM index has displayed marked positive trends in the austral summer season (stronger and poleward shifted westerlies), associated with stratospheric ozone loss. Historical reconstructions demonstrate that these recent positive SAM index values are unprecedented in the last millennia, and fall outside the range of natural climate variability. Despite these advances in the understanding of the SAM behavior, several areas of active research are identified that highlight gaps in our present knowledge. This article is categorized under: Paleoclimates and Current Trends &gt; Earth System Behavior</t>
  </si>
  <si>
    <t>[Fogt, Ryan L.] Ohio Univ, Dept Geog, Athens, OH 45701 USA; [Fogt, Ryan L.] Ohio Univ, Lab Atmospher Anal, Athens, OH 45701 USA; [Marshall, Gareth J.] British Antarctic Survey, Cambridge, England</t>
  </si>
  <si>
    <t>University System of Ohio; Ohio University; University System of Ohio; Ohio University; UK Research &amp; Innovation (UKRI); Natural Environment Research Council (NERC); NERC British Antarctic Survey</t>
  </si>
  <si>
    <t>Fogt, RL (corresponding author), Ohio Univ, Dept Geog, Athens, OH 45701 USA.;Fogt, RL (corresponding author), Ohio Univ, Lab Atmospher Anal, Athens, OH 45701 USA.</t>
  </si>
  <si>
    <t>Fogt, Ryan L/B-6989-2008</t>
  </si>
  <si>
    <t>Fogt, Ryan L/0000-0002-5398-3990; Marshall, Gareth/0000-0001-8887-7314</t>
  </si>
  <si>
    <t>British Antarctic Survey; National Science Foundation [PLR-1744998]; NERC [bas0100032] Funding Source: UKRI</t>
  </si>
  <si>
    <t>British Antarctic Survey; National Science Foundation(National Science Foundation (NSF)); NERC(UK Research &amp; Innovation (UKRI)Natural Environment Research Council (NERC))</t>
  </si>
  <si>
    <t>British Antarctic Survey; National Science Foundation, Grant/Award Number: PLR-1744998</t>
  </si>
  <si>
    <t>1757-7780</t>
  </si>
  <si>
    <t>1757-7799</t>
  </si>
  <si>
    <t>WIRES CLIM CHANGE</t>
  </si>
  <si>
    <t>Wiley Interdiscip. Rev.-Clim. Chang.</t>
  </si>
  <si>
    <t>e652</t>
  </si>
  <si>
    <t>10.1002/wcc.652</t>
  </si>
  <si>
    <t>Environmental Studies; Meteorology &amp; Atmospheric Sciences</t>
  </si>
  <si>
    <t>LZ3VI</t>
  </si>
  <si>
    <t>WOS:000534535000001</t>
  </si>
  <si>
    <t>Cleeland, JB; Pardo, D; Raymond, B; Terauds, A; Alderman, R; McMahon, CR; Phillips, RA; Lea, MA; Hindell, MA</t>
  </si>
  <si>
    <t>Cleeland, Jaimie B.; Pardo, Deborah; Raymond, Ben; Terauds, Aleks; Alderman, Rachael; McMahon, Clive R.; Phillips, Richard A.; Lea, Mary-Anne; Hindell, Mark A.</t>
  </si>
  <si>
    <t>Introduced species and extreme weather as key drivers of reproductive output in three sympatric albatrosses</t>
  </si>
  <si>
    <t>BURROW-NESTING PETRELS; CATS FELIS-CATUS; MACQUARIE ISLAND; CLIMATE-CHANGE; POPULATION TRENDS; ORYCTOLAGUS-CUNICULUS; EUROPEAN RABBITS; BREEDING SUCCESS; COASTAL SLOPES; ERADICATION</t>
  </si>
  <si>
    <t>Invasive species present a major conservation threat globally and nowhere are their affects more pronounced than in island ecosystems. Determining how native island populations respond demographically to invasive species can provide information to mitigate the negative effects of invasive species. Using 20 years of mark-recapture data from three sympatric species of albatrosses (black-browed Thalassarche melanophris, grey-headed T. chrysostoma, and light-mantled albatrosses Phoebetria palpebrata), we quantified the influence of invasive European rabbits Oryctolagus cuniculus and extreme weather patterns on breeding probability and success. Temporal variability in rabbit density explained 33-76% of the variability in breeding probability for all three species, with severe decreases in breeding probability observed after a lag period following highest rabbit numbers. For black-browed albatrosses, the combination of extreme rainfall and high rabbit density explained 33% of total trait variability and dramatically reduced breeding success. We showed that invasive rabbits and extreme weather events reduce reproductive output in albatrosses and that eliminating rabbits had a positive effect on albatross reproduction. This illustrates how active animal management at a local breeding site can result in positive population outcomes even for wide ranging animals like albatrosses where influencing vital rates during their at-sea migrations is more challenging.</t>
  </si>
  <si>
    <t>[Cleeland, Jaimie B.; Raymond, Ben; McMahon, Clive R.; Lea, Mary-Anne; Hindell, Mark A.] Univ Tasmania, Inst Marine &amp; Antarctic Studies, 20 Castray Esplanade, Battery Point, Tas 7004, Australia; [Cleeland, Jaimie B.; Raymond, Ben; Terauds, Aleks] Australian Antarctic Div, Dept Agr Water &amp; Environm, 203 Channel Highway, Kingston, Tas 7050, Australia; [Pardo, Deborah; Phillips, Richard A.] NERC, British Antarctic Survey, Madingley Rd, Cambridge CB3 0ET, England; [Alderman, Rachael] Dept Primary Ind Pk Water &amp; Environm, Hobart, Tas 7000, Australia; [McMahon, Clive R.] Sydney Inst Marine Sci, 19 Chowder Bay Rd, Mosman, NSW 2088, Australia</t>
  </si>
  <si>
    <t>University of Tasmania; Australian Antarctic Division; UK Research &amp; Innovation (UKRI); Natural Environment Research Council (NERC); NERC British Antarctic Survey; Sydney Institute of Marine Science</t>
  </si>
  <si>
    <t>Cleeland, JB (corresponding author), Univ Tasmania, Inst Marine &amp; Antarctic Studies, 20 Castray Esplanade, Battery Point, Tas 7004, Australia.;Cleeland, JB (corresponding author), Australian Antarctic Div, Dept Agr Water &amp; Environm, 203 Channel Highway, Kingston, Tas 7050, Australia.</t>
  </si>
  <si>
    <t>jaimie.cleeland@gmail.com</t>
  </si>
  <si>
    <t>McMahon, Clive R/D-5713-2013; Terauds, Aleks/A-4991-2010; Hindell, Mark A/K-1131-2013; Lea, Mary-Anne/E-9054-2013</t>
  </si>
  <si>
    <t>McMahon, Clive R/0000-0001-5241-8917; Lea, Mary-Anne/0000-0001-8318-9299; Cleeland, Jaimie/0000-0003-2196-3968; Hindell, Mark/0000-0002-7823-7185</t>
  </si>
  <si>
    <t>Australian Antarctic Division through the Australian Antarctic Science Program [751, 2569, 4112]; Scientific Committee for Antarctic Research Fellowship; Antarctic Science Bursary; NERC [bas0100035] Funding Source: UKRI</t>
  </si>
  <si>
    <t>Australian Antarctic Division through the Australian Antarctic Science Program; Scientific Committee for Antarctic Research Fellowship; Antarctic Science Bursary; NERC(UK Research &amp; Innovation (UKRI)Natural Environment Research Council (NERC))</t>
  </si>
  <si>
    <t>The authors would like to thank Rosemary Gales for her commitment to albatross monitoring on Macquarie Island, Jenny Scott and Rowan Trebilco for the contribution of photos used in this manuscript, Keith Springer for insights into historical Macquarie Island vegetation changes, and Guillaume Souchay for technical assistance. The Australian Antarctic Division through the Australian Antarctic Science Program (Project numbers: 751, 2569, 4112) has supported this research at Macquarie Island. Jaimie Cleeland was supported by a Scientific Committee for Antarctic Research Fellowship and an Antarctic Science Bursary.</t>
  </si>
  <si>
    <t>MAY 18</t>
  </si>
  <si>
    <t>10.1038/s41598-020-64662-5</t>
  </si>
  <si>
    <t>LY5BO</t>
  </si>
  <si>
    <t>WOS:000540544000011</t>
  </si>
  <si>
    <t>Veytia, D; Corney, S; Meiners, KM; Kawaguchi, S; Murphy, EJ; Bestley, S</t>
  </si>
  <si>
    <t>Veytia, Devi; Corney, Stuart; Meiners, Klaus M.; Kawaguchi, So; Murphy, Eugene J.; Bestley, Sophie</t>
  </si>
  <si>
    <t>Circumpolar projections of Antarctic krill growth potential</t>
  </si>
  <si>
    <t>EUPHAUSIA-SUPERBA; SEA-ICE; SOUTHERN-OCEAN; MARINE PREDATORS; MODELING GROWTH; CLIMATE-CHANGE; RECRUITMENT; FOOD; HABITAT; WINTER</t>
  </si>
  <si>
    <t>The impact of climate change on the circumpolar distribution of the key Antarctic food-web species, krill, is unknown. Combining a krill growth model with projected climate scenarios shows the growth habitat is likely to experience only moderate change, with the northern edges most at risk. Antarctic krill is a key species of important Southern Ocean food webs, yet how changes in ocean temperature and primary production may impact their habitat quality remains poorly understood. We provide a circumpolar assessment of the robustness of krill growth habitat to climate change by coupling an empirical krill growth model with projections from a weighted subset of IPCC Earth system models. We find that 85% of the study area experienced only a moderate change in relative gross growth potential (+/- 20%) by 2100. However, a temporal shift in seasonal timings of habitat quality may cause disjunctions between krill's biological timings and the future environment. Regions likely to experience habitat quality decline or retreat are concentrated near the northern limits of krill distribution and in the Amundsen-Bellingshausen seas region during autumn, meaning habitat will likely shift to higher latitudes in these areas.</t>
  </si>
  <si>
    <t>[Veytia, Devi; Corney, Stuart; Bestley, Sophie] Univ Tasmania, Inst Marine &amp; Antarctic Studies, Hobart, Tas, Australia; [Meiners, Klaus M.; Kawaguchi, So] Australian Antarctic Div, Dept Agr Water &amp; Environm, Kingston, Tas, Australia; [Meiners, Klaus M.; Kawaguchi, So; Bestley, Sophie] Univ Tasmania, Antarctic Climate &amp; Ecosyst Cooperat Res Ctr, Hobart, Tas, Australia; [Murphy, Eugene J.] British Antarctic Survey, Cambridge, England</t>
  </si>
  <si>
    <t>University of Tasmania; Australian Antarctic Division; University of Tasmania; Antarctic Climate &amp; Ecosystems Cooperative Research Centre (ACE CRC); UK Research &amp; Innovation (UKRI); Natural Environment Research Council (NERC); NERC British Antarctic Survey</t>
  </si>
  <si>
    <t>Veytia, D (corresponding author), Univ Tasmania, Inst Marine &amp; Antarctic Studies, Hobart, Tas, Australia.</t>
  </si>
  <si>
    <t>Devi.Veytia@utas.edu.au</t>
  </si>
  <si>
    <t>murphy, eugene/GZL-1620-2022; Bestley, Sophie/AAN-2483-2021; Kawaguchi, So/N-1795-2017</t>
  </si>
  <si>
    <t>Bestley, Sophie/0000-0001-9342-669X; Corney, Stuart/0000-0002-8293-0863; Kawaguchi, So/0000-0002-2042-5095; Veytia, Devi/0000-0001-6268-1508; Murphy, Eugene/0000-0002-7369-9196</t>
  </si>
  <si>
    <t>Australian Government through Antarctic Science Project [4408]; Cooperative Research Centres Programme through the Antarctic Climate and Ecosystems Cooperative Research Centre (ACE CRC); University of Tasmania; Australian Research Council Australian Discovery Early Career Award [DE180100828]; BAS ALI-Science Ecosystems project (developing krill life-cycle models and future projections); Australian Research Council [DE180100828] Funding Source: Australian Research Council; NERC [bas0100035] Funding Source: UKRI</t>
  </si>
  <si>
    <t>Australian Government through Antarctic Science Project; Cooperative Research Centres Programme through the Antarctic Climate and Ecosystems Cooperative Research Centre (ACE CRC)(Australian GovernmentDepartment of Industry, Innovation and ScienceCooperative Research Centres (CRC) Programme); University of Tasmania; Australian Research Council Australian Discovery Early Career Award(Australian Research Council); BAS ALI-Science Ecosystems project (developing krill life-cycle models and future projections); Australian Research Council(Australian Research Council); NERC(UK Research &amp; Innovation (UKRI)Natural Environment Research Council (NERC))</t>
  </si>
  <si>
    <t>This research was supported by the Australian Government through Antarctic Science Project 4408 and the Cooperative Research Centres Programme through the Antarctic Climate and Ecosystems Cooperative Research Centre (ACE CRC). D.V. is the recipient of a Tasmania Graduate Research Scholarship provided by the University of Tasmania. S.B. is the recipient of an Australian Research Council Australian Discovery Early Career Award (project DE180100828). E.M. was supported by the BAS ALI-Science Ecosystems project (developing krill life-cycle models and future projections) and acknowledges BAS colleagues for discussions on the development of analyses, models and projections of Antarctic krill population processes. The study is also a contribution to the international Integrating Climate and Ecosystems Dynamics Programme (ICED).</t>
  </si>
  <si>
    <t>10.1038/s41558-020-0758-4</t>
  </si>
  <si>
    <t>WOS:000534778800003</t>
  </si>
  <si>
    <t>Chang, LY; Wu, ZW; Xu, JM</t>
  </si>
  <si>
    <t>Chang, Luyu; Wu, Zhiwei; Xu, Jianming</t>
  </si>
  <si>
    <t>Potential impacts of the Southern Hemisphere polar vortices on central-eastern China haze pollution during boreal early winter</t>
  </si>
  <si>
    <t>AEROSOL CONCENTRATIONS; EL-NINO; ANNULAR MODE; INTERANNUAL VARIABILITY; TIBETAN PLATEAU; PART I; OSCILLATION; PRECIPITATION; MONSOON; CIRCULATION</t>
  </si>
  <si>
    <t>Understanding the spatial-temporal evolution of China haze pollution (HP) and identifying its precursory signals is of central importance. Based on observational data across central-eastern China (CEC) for the period of 1980-2015, this study finds that HP interannual variations in the CEC region during the most polluted season (December-January) are mainly dominated by a homogeneous pattern with maximum loading centers located over the Central China, Yangtze River Delta, and South China, which accounts for 42.3% of the total variances. The circulations conducive to such polluted mode feature barotropic high anomalies over central-eastern China. Correspondently, the related anomalous weather and circulation conditions with less precipitation, low-level dryer air, weaker surface wind speed, more descending movement, and more upstream transportation of aerosols at the northeast and southeast planks of the anomalous high, leading to the HP frequently occur in the CEC region, and vice versa. Observed evidences show that the combined effects of the Southern Hemisphere tropospheric and stratospheric polar vortices (SHPV) in August and September (AS), can exert profound effects on the HP dominant mode. Notable circulation anomalies associated with the combined effects of the SHPV, prevailing over the ocean off the south-west Western Australia, can induce sea surface temperature (SST) anomalies around the ocean off the south-west Western Australia. This anomalous SST pattern in AS can persist into the following early winter and impact the HP variations by modulating the Hadley cell and correspondently circulation anomalies over central-eastern China. Based on the preseason SHPV signal, we establish a physical-empirical seasonal prediction model to predict the HP dominant mode variations. The hindcast shows a promising prediction skill. Since the regional PV anomalies linked to the combined effects of the SHPV could be monitored in preceding autumn, the HP over the CEC in early winter can be forecasted in real-time by this empirical model.</t>
  </si>
  <si>
    <t>[Chang, Luyu; Wu, Zhiwei] Fudan Univ, Dept Atmospher &amp; Ocean Sci, 2005 Songhu Rd, Shanghai 200433, Peoples R China; [Chang, Luyu; Wu, Zhiwei] Fudan Univ, Inst Atmospher Sci, 2005 Songhu Rd, Shanghai 200433, Peoples R China; [Chang, Luyu; Xu, Jianming] Shanghai Meteorol Serv, Shanghai Typhoon Inst, Shanghai 200030, Peoples R China; [Chang, Luyu; Wu, Zhiwei; Xu, Jianming] Shanghai Key Lab Meteorol &amp; Hlth, Shanghai 200030, Peoples R China; [Xu, Jianming] Anhui Prov Key Lab Atmospher Sci &amp; Satellite Remo, Hefei 230031, Peoples R China</t>
  </si>
  <si>
    <t>Fudan University; Fudan University</t>
  </si>
  <si>
    <t>Wu, ZW (corresponding author), Fudan Univ, Dept Atmospher &amp; Ocean Sci, 2005 Songhu Rd, Shanghai 200433, Peoples R China.;Wu, ZW (corresponding author), Fudan Univ, Inst Atmospher Sci, 2005 Songhu Rd, Shanghai 200433, Peoples R China.;Wu, ZW (corresponding author), Shanghai Key Lab Meteorol &amp; Hlth, Shanghai 200030, Peoples R China.</t>
  </si>
  <si>
    <t>zhiweiwu@fudan.edu.cn</t>
  </si>
  <si>
    <t>xu, jianmin/G-8032-2012; Wu, Zhiwei/KHE-4328-2024</t>
  </si>
  <si>
    <t>Ministry of Science and Technology of China [2019YFC1509100, 2018YFC0213800]; National Natural Science Foundation of China [91937302, 91644223, 41430424, 41790475]; Science and Technology Research and Development project of Shanghai meteorological service [19DZ1205003, MS201807]</t>
  </si>
  <si>
    <t>Ministry of Science and Technology of China(Ministry of Science and Technology, China); National Natural Science Foundation of China(National Natural Science Foundation of China (NSFC)); Science and Technology Research and Development project of Shanghai meteorological service</t>
  </si>
  <si>
    <t>The authors thank three anonymous reviewers for their constructive comments on our paper. This research was jointly supported by the Ministry of Science and Technology of China (Grant Nos. 2019YFC1509100 and 2018YFC0213800), the National Natural Science Foundation of China (Grant Nos. 91937302, 91644223, 41430424 and 41790475), and the Science and Technology Research and Development project of Shanghai meteorological service (Grant Nos. 19DZ1205003 and MS201807). The Climate Prediction Center Antarctic Oscillation index is available online by National Oceanic and Atmospheric Administration Climate Prediction Center https://www.cpc.ncep.noaa.gov/products/precip/CWlink/daily ao_index/aao/aao.shtml</t>
  </si>
  <si>
    <t>10.1007/s00382-020-05294-3</t>
  </si>
  <si>
    <t>ML7MZ</t>
  </si>
  <si>
    <t>WOS:000534115200002</t>
  </si>
  <si>
    <t>Meredith, NP; Horne, RB; Shen, XC; Li, W; Bortnik, J</t>
  </si>
  <si>
    <t>Meredith, Nigel P.; Horne, Richard B.; Shen, Xiao-Chen; Li, Wen; Bortnik, Jacob</t>
  </si>
  <si>
    <t>Global Model of Whistler Mode Chorus in the Near-Equatorial Region (|λm|&lt; 18°)</t>
  </si>
  <si>
    <t>whistler mode chorus; wave-particle interactions; radiation belts</t>
  </si>
  <si>
    <t>VAN ALLEN PROBES; RADIATION-BELT; PLASMASPHERIC HISS; WAVE; ACCELERATION; ELECTRONS; ORIGIN</t>
  </si>
  <si>
    <t>We extend our database of whistler mode chorus, based on data from seven satellites, by including similar to 3 years of data from Radiation Belt Storm Probes (RBSP)-A and RBSP-B and an additional similar to 6 years of data from Time History of Events and Macroscale Interactions during Substorms (THEMIS)-A, THEMIS-D, and THEMIS-E. The new database allows us to probe the near-equatorial region in detail, revealing new features. In the equatorial source region, |lambda(m)|&lt;6 degrees, strong wave power is most extensive in the 0.1-0.4f(ce)bands in the region 21-11 magnetic local time (MLT) from the plasmapause out toL* = 8 and beyond, especially near dawn. At higher frequencies, in the 0.4-0.6f(ce)frequency bands, strong wave power is more tightly confined, typically being restricted to the postmidnight sector in the region 4&lt;6. The global distribution of strong chorus wave power changes dramatically with increasing magnetic latitude, with strong chorus waves in the region 12 lambda(m)|f(ce)in the prenoon sector, in the region 5&lt;8.</t>
  </si>
  <si>
    <t>[Meredith, Nigel P.; Horne, Richard B.] British Antarctic Survey, Nat Environm Res Council, Cambridge, England; [Shen, Xiao-Chen; Li, Wen] Boston Univ, Ctr Space Phys, Boston, MA 02215 USA; [Bortnik, Jacob] Univ Calif Los Angeles, Dept Atmospher &amp; Ocean Sci, Los Angeles, CA USA</t>
  </si>
  <si>
    <t>UK Research &amp; Innovation (UKRI); Natural Environment Research Council (NERC); NERC British Antarctic Survey; Boston University; University of California System; University of California Los Angeles</t>
  </si>
  <si>
    <t>Meredith, NP (corresponding author), British Antarctic Survey, Nat Environm Res Council, Cambridge, England.</t>
  </si>
  <si>
    <t>nmer@bas.ac.uk</t>
  </si>
  <si>
    <t>Horne, Richard B/U-3764-2019</t>
  </si>
  <si>
    <t>Horne, Richard B/0000-0002-0412-6407; Meredith, Nigel/0000-0001-5032-3463</t>
  </si>
  <si>
    <t>NASA [NNX14AI18G, NAS5-02099, NNX17AG07G, 80NSSC19K0845]; Natural Environment Research Council Highlight Topic Grant [NE/P10738X/1]; NERC [NE/R016038/1]; NSF [AGS-1847818]; Alfred P. Sloan Research Fellowship [FG-2018-10936]; RBSP-ECT; JHU/APL under NASA's prime contract [967399, 921647, NAS5-01072]; NERC [bas0100031, NE/R016038/1] Funding Source: UKRI</t>
  </si>
  <si>
    <t>NASA(National Aeronautics &amp; Space Administration (NASA)); Natural Environment Research Council Highlight Topic Grant; NERC(UK Research &amp; Innovation (UKRI)Natural Environment Research Council (NERC)); NSF(National Science Foundation (NSF)); Alfred P. Sloan Research Fellowship(Alfred P. Sloan Foundation); RBSP-ECT; JHU/APL under NASA's prime contract; NERC(UK Research &amp; Innovation (UKRI)Natural Environment Research Council (NERC))</t>
  </si>
  <si>
    <t>We acknowledge the CDAWeb () for the provision of the DE-1 wave data. We thank LPCEE laboratory (Orleans, France) for their help in the analysis of this wave data. We thank the STAFF-DWP instrument team for provision of the Double Star TC1 data, which are available at the Cluster Science Archive (). We thank NASA Contract NAS5-02099 and V. Angelopoulos for use of data from THEMIS mission. Specifically, we thank O. Le Contel and A. Roux for use of SCM data, which are available from the website (). We are grateful for the Van Allen Probes data from the EMFISIS instrument obtained from the website (). We acknowledge the NSSDC Omniweb for the provision of the geomagnetic activity indices used in this report. The research leading to these results has received funding from the Natural Environment Research Council Highlight Topic Grant NE/P10738X/1 (Rad-Sat) and the NERC Grant NE/R016038/1. W. L. and X. S. would like to acknowledge support from NASA Grants NNX17AG07G and 80NSSC19K0845, NSF Grant AGS-1847818, and the Alfred P. Sloan Research Fellowship FG-2018-10936. J. B. would like to acknowledge support from NASA Grants NNX14AI18G, and RBSP-ECT and EMFISIS funding provided by JHU/APL Contracts 967399 and 921647 under NASA's prime contract NAS5-01072.</t>
  </si>
  <si>
    <t>MAY 16</t>
  </si>
  <si>
    <t>e2020GL087311</t>
  </si>
  <si>
    <t>10.1029/2020GL087311</t>
  </si>
  <si>
    <t>MD6KN</t>
  </si>
  <si>
    <t>WOS:000544080600001</t>
  </si>
  <si>
    <t>Pelle, T; Morlighem, M; McCormack, FS</t>
  </si>
  <si>
    <t>Pelle, Tyler; Morlighem, Mathieu; McCormack, Felicity S.</t>
  </si>
  <si>
    <t>Aurora Basin, the Weak Underbelly of East Antarctica</t>
  </si>
  <si>
    <t>Aurora; Antarctica; Totten; modeling; mass; balance</t>
  </si>
  <si>
    <t>SURFACE MASS-BALANCE; ICE-SHEET; TOTTEN GLACIER; OCEAN ACCESS; MELT RATES; SHELF; DYNAMICS; RETREAT; BENEATH</t>
  </si>
  <si>
    <t>The East Antarctic Ice Sheet (EAIS) has the potential to raise global sea levels by similar to 52 m. Here, we model the evolution of select EAIS catchments to 2100 using three basal melt rate parameterizations and force our model with surface mass balance and ocean thermal anomalies from 10 global climate models. While the domain loses mass under low-emission scenarios, it gains similar to 10-mm sea-level rise equivalent ice volume (SLRe) under high-emission scenarios. The primary region of thinning is within 50 km upstream of Totten Glacier's grounding line. Totten's glacial discharge is modulated by the migration of its grounding line, which is sensitive to brief intrusions of ocean water at temperatures higher than present. Once the grounding line is dislodged, Totten's ice velocity increases by up to 70% of present-day values, resulting in similar to 6-mm SLRe loss from this sector.</t>
  </si>
  <si>
    <t>[Pelle, Tyler; Morlighem, Mathieu] Univ Calif Irvine, Dept Earth Syst Sci, Irvine, CA 92697 USA; [McCormack, Felicity S.] Univ Tasmania, Inst Marine &amp; Antarctic Studies, Hobart, Tas, Australia; [McCormack, Felicity S.] Sch Earth, Atmosphere, Hobart, Tas, Australia</t>
  </si>
  <si>
    <t>University of California System; University of California Irvine; University of Tasmania</t>
  </si>
  <si>
    <t>Pelle, T (corresponding author), Univ Calif Irvine, Dept Earth Syst Sci, Irvine, CA 92697 USA.</t>
  </si>
  <si>
    <t>tpelle@uci.edu</t>
  </si>
  <si>
    <t>Morlighem, Mathieu/O-9942-2014; McCormack, Felicity/B-9218-2015</t>
  </si>
  <si>
    <t>Morlighem, Mathieu/0000-0001-5219-1310; McCormack, Felicity/0000-0002-2324-2120; Pelle, Tyler/0000-0002-9772-1730</t>
  </si>
  <si>
    <t>U.K. Natural Environment Research Council's (NERC) PROPHET program [1739031]; Australian Research Council's Special Research Initiative for Antarctic Gateway Partnership [SR140300001]; U.S. National Science Foundation (NSF); Climate and Cryosphere (CliC) effort</t>
  </si>
  <si>
    <t>U.K. Natural Environment Research Council's (NERC) PROPHET program; Australian Research Council's Special Research Initiative for Antarctic Gateway Partnership(Australian Research Council); U.S. National Science Foundation (NSF)(National Science Foundation (NSF)); Climate and Cryosphere (CliC) effort</t>
  </si>
  <si>
    <t>This work was performed at the University of California Irvine under a contract with the U.S. National Science Foundation (NSF) and U.K. Natural Environment Research Council's (NERC) PROPHET program (1739031). We thank the Climate and Cryosphere (CliC) effort, which provided support for ISMIP6 through sponsoring of workshops, hosting the ISMIP6 website and wiki, and promoted ISMIP6. We acknowledge theWorld Climate Research Programme, which, through itsWorking Group on Coupled Modelling, coordinated and promoted CMIP5 and CMIP6. We thank the climate modeling groups for producing and making available their model output, the Earth System Grid Federation (ESGF) for archiving the CMIP data and providing access, the University at Buffalo for ISMIP6 data distribution and upload, and the multiple funding agencies who support CMIP5 and CMIP6 and ESGF. We thank the ISMIP6 steering committee, the ISMIP6 model selection group, and ISMIP6 data set preparation group for their continuous engagement in defining ISMIP6. All of the data sets and source code used in this study are publicly available. The CMIP5 and CMIP6 data sets are available through the ISMIP6 wiki (http://www.climate-cryosphere.org/wiki).BedMachine Antarctica is available at NSIDC (http://nsidc.org/data/nsidc-0756).The Ice Sheet System Model is open source and can be accessed at https://issm.jpl.nasa.gov (we used version 4.17). The Antarctic surface mass balance data set produced by RACMO 2.3 is available at the following address (https://www.projects.science.uu.nl/iceclimate/models/antarctica.php).This research was supported under Australian Research Council's Special Research Initiative for Antarctic Gateway Partnership (Project ID SR140300001).</t>
  </si>
  <si>
    <t>e2019GL086821</t>
  </si>
  <si>
    <t>10.1029/2019GL086821</t>
  </si>
  <si>
    <t>LS8OF</t>
  </si>
  <si>
    <t>WOS:000536639500055</t>
  </si>
  <si>
    <t>Pellichero, V; Boutin, J; Claustre, H; Merlivat, L; Sallée, JB; Blain, S</t>
  </si>
  <si>
    <t>Pellichero, Violaine; Boutin, Jacqueline; Claustre, Herve; Merlivat, Liliane; Sallee, Jean-baptiste; Blain, Stephane</t>
  </si>
  <si>
    <t>Relaxation of Wind Stress Drives the Abrupt Onset of Biological Carbon Uptake in the Kerguelen Bloom: A Multisensor Approach</t>
  </si>
  <si>
    <t>onset of the phytoplankton bloom; mixing-layer depth; in situ high-resolution data; mixed-layer depth; air-sea heat flux; wind stress</t>
  </si>
  <si>
    <t>NATURAL IRON-FERTILIZATION; ANTARCTIC MODE WATER; OCEAN MIXED-LAYER; SOUTHERN-OCEAN; PHYTOPLANKTON BLOOM; SEASONAL CYCLE; CHLOROPHYLL; DYNAMICS; ATLANTIC; PLATEAU</t>
  </si>
  <si>
    <t>We deployed sensors for physical and biogeochemical measurements on one Eulerian mooring and two Lagrangian biogeochemical Argo floats on the Kerguelen Plateau. High temporal and vertical resolution measurements revealed an abrupt shoaling of both the mixed-layer depth and mixing-layer depth. The sudden stratification was concomitant with the start of significant biological activity detected by chlorophyll-a accumulation, oxygen oversaturation, and dissolved inorganic carbon drawdown. The net community production computed in the mixing-layer during the onset period of 9 days was 119 +/- 7 mmol center dot m(-2)center dot day(-1). While it is generally admitted that bloom initiation is mostly driven by the onset of positive heat fluxes, our results suggest that this is not a sufficient condition. Here we report that the decrease in the depth over which wind mixes the upper layer drives the initiation of the bloom. These results suggest that future atmospheric changes in Southern Ocean could impact the phenology of the blooms.</t>
  </si>
  <si>
    <t>[Pellichero, Violaine; Boutin, Jacqueline; Merlivat, Liliane; Sallee, Jean-baptiste] Sorbonne Univ, Lab Oceanog &amp; Climat Expt &amp; Approches Numer, LOCEAN IPSL, CNRS,IRD,MNHN,UMR 7159, Paris, France; [Claustre, Herve] Sorbonne Univ, Lab Oceanog Villefranche, CNRS, UMR 7093,LOV, Paris, France; [Blain, Stephane] Sorbonne Univ, Lab Oceanog MICrobienne, CNRS, UMR 7621,LOMIC, Paris, France</t>
  </si>
  <si>
    <t>Sorbonne Universite; Centre National de la Recherche Scientifique (CNRS); CNRS - National Institute for Earth Sciences &amp; Astronomy (INSU); Institut de Recherche pour le Developpement (IRD); Museum National d'Histoire Naturelle (MNHN); Sorbonne Universite; Centre National de la Recherche Scientifique (CNRS); CNRS - National Institute for Earth Sciences &amp; Astronomy (INSU); Centre National de la Recherche Scientifique (CNRS); CNRS - National Institute for Earth Sciences &amp; Astronomy (INSU); Sorbonne Universite</t>
  </si>
  <si>
    <t>Pellichero, V (corresponding author), Sorbonne Univ, Lab Oceanog &amp; Climat Expt &amp; Approches Numer, LOCEAN IPSL, CNRS,IRD,MNHN,UMR 7159, Paris, France.</t>
  </si>
  <si>
    <t>violaine.pellichero@gmail.com</t>
  </si>
  <si>
    <t>SALLEE, Jean baptiste/HDO-5355-2022; CLAUSTRE, Herve/E-6877-2011; Merlivat, Liliane/KAL-8800-2024; Claustre, Herve/JPL-2367-2023; blain, stephane/F-6917-2010; SALLEE, Jean baptiste/A-5837-2010; /M-2253-2016</t>
  </si>
  <si>
    <t>CLAUSTRE, Herve/0000-0001-6243-0258; blain, stephane/0000-0002-5234-2446; SALLEE, Jean baptiste/0000-0002-6109-5176; /0000-0003-2845-4912; Merlivat, Liliane/0000-0002-5489-4658</t>
  </si>
  <si>
    <t>Climate Initiative of the foundation BNP Paribas; French research program LEFE-CYBER of INSU-CNRS; IPEV; Sorbonne Universite; Flotte Oceanographique Francaise; EU FP7 Carbochange project [264879]; remOcean project - European Research Council [246777]; European Research Council under the European Union's Horizon 2020 research and innovation program [637770]; Australian Research Council [160103130]; Earth Systems and Climate Change Hub of the Australian government's National Environmental Science Program; European Research Council (ERC) [637770, 246777] Funding Source: European Research Council (ERC)</t>
  </si>
  <si>
    <t>Climate Initiative of the foundation BNP Paribas; French research program LEFE-CYBER of INSU-CNRS; IPEV; Sorbonne Universite; Flotte Oceanographique Francaise; EU FP7 Carbochange project(European Union (EU)); remOcean project - European Research Council; European Research Council under the European Union's Horizon 2020 research and innovation program; Australian Research Council(Australian Research Council); Earth Systems and Climate Change Hub of the Australian government's National Environmental Science Program; European Research Council (ERC)(European Research Council (ERC)Spanish Government)</t>
  </si>
  <si>
    <t>We thank the captains and the crew of the R/V Marion Dufresne for their support during the cruise. We thank people from DT-INSU, Institut Polaire Paul Emile Victor (IPEV), LOCEAN/DITM, and LOV teams for the technical support. This work is part of the project SOCLIMsupported by the Climate Initiative of the foundation BNP Paribas, the French research program LEFE-CYBER of INSU-CNRS, IPEV, Sorbonne Universite, and the Flotte Oceanographique Francaise. It was also supported by the EU FP7 Carbochange project (Grant Agreement 264879) and by the remOcean project funded by the European Research Council (Grant Agreement 246777). Data supporting the conclusions are freely available at http://doi.org/10.17882/42182 (Argo data) and at https://doi.org/10.17882/71768 (mooring data). Air-sea data set is freely available at http://jra.kishou.go.jp (JRA-55), https://www.esrl.noaa.gov/psd/data/gridded/data.ncep.reanalysis.html (NCEP1), https://www.ecmwf.int (ERA5), and http://oaflux.whoi.edu/data.html (OAFlux + CERES). The marine mammal data are freely available by the International MEOP Consortium and the national programs that contribute to it (http://www.meop.net).J.-B.S.was supported by the European Research Council under the European Union's Horizon 2020 research and innovation program (Grant Agreement 637770). Catherine Schmechtig is acknowledged for managing the SOCLIMdatabase. Marin Cornec is acknowledged for computing metrics related to light measurements on the floats. V. P. is supported by the Australian Research Council Discovery Grant 160103130 and through funding from the Earth Systems and Climate Change Hub of the Australian government's National Environmental Science Program.</t>
  </si>
  <si>
    <t>e2019GL085992</t>
  </si>
  <si>
    <t>10.1029/2019GL085992</t>
  </si>
  <si>
    <t>WOS:000536639500040</t>
  </si>
  <si>
    <t>Roach, LA; Dörr, J; Holmes, CR; Massonnet, F; Blockley, EW; Notz, D; Rackow, T; Raphael, MN; O'Farrell, SP; Bailey, DA; Bitz, CM</t>
  </si>
  <si>
    <t>Roach, Lettie A.; Doerr, Jakob; Holmes, Caroline R.; Massonnet, Francois; Blockley, Edward W.; Notz, Dirk; Rackow, Thomas; Raphael, Marilyn N.; O'Farrell, Siobhan P.; Bailey, David A.; Bitz, Cecilia M.</t>
  </si>
  <si>
    <t>Antarctic Sea Ice Area in CMIP6</t>
  </si>
  <si>
    <t>sea ice; CMIP6; Antarctica; climate models; Southern Ocean; model evaluation</t>
  </si>
  <si>
    <t>NATURAL VARIABILITY; OCEAN; DRIVEN; TRENDS; BIASES; SIMULATIONS; MODELS; EXTENT</t>
  </si>
  <si>
    <t>Fully coupled climate models have long shown a wide range of Antarctic sea ice states and evolution over the satellite era. Here, we present a high-level evaluation of Antarctic sea ice in 40 models from the most recent phase of the Coupled Model Intercomparison Project (CMIP6). Many models capture key characteristics of the mean seasonal cycle of sea ice area (SIA), but some simulate implausible historical mean states compared to satellite observations, leading to large intermodel spread. Summer SIA is consistently biased low across the ensemble. Compared to the previous model generation (CMIP5), the intermodel spread in winter and summer SIA has reduced, and the regional distribution of sea ice concentration has improved. Over 1979-2018, many models simulate strong negative trends in SIA concurrently with stronger-than-observed trends in global mean surface temperature (GMST). By the end of the 21st century, models project clear differences in sea ice between forcing scenarios.</t>
  </si>
  <si>
    <t>[Roach, Lettie A.; Bitz, Cecilia M.] Univ Washington, Atmospher Sci, Seattle, WA 98195 USA; [Doerr, Jakob; Notz, Dirk] Max Planck Inst Meteorol, Hamburg, Germany; [Holmes, Caroline R.] British Antarctic Survey, Cambridge, England; [Massonnet, Francois] Catholic Univ Louvain, Georges Lemaitre Ctr Earth &amp; Climate Res, Earth &amp; Life Inst, Louvain La Neuve, Belgium; [Blockley, Edward W.] Met Off Hadley Ctr, Exeter, Devon, England; [Notz, Dirk] Univ Hamburg, Earth Syst Res &amp; Sustainabil CEN, Hamburg, Germany; [Rackow, Thomas] Helmholtz Ctr Polar &amp; Marine Res, Climate Dynam, Alfred Wegener Inst, Bremerhaven, Germany; [Raphael, Marilyn N.] Univ Calif Los Angeles, Dept Geog, Los Angeles, CA 90024 USA; [O'Farrell, Siobhan P.] CSIRO Oceans &amp; Atmosphere, Aspendale, Vic, Australia; [Bailey, David A.] Natl Ctr Atmospher Res, Climate &amp; Global Dynam Lab, POB 3000, Boulder, CO 80307 USA</t>
  </si>
  <si>
    <t>University of Washington; University of Washington Seattle; Max Planck Society; UK Research &amp; Innovation (UKRI); Natural Environment Research Council (NERC); NERC British Antarctic Survey; Universite Catholique Louvain; Met Office - UK; Hadley Centre; University of Hamburg; Helmholtz Association; Alfred Wegener Institute, Helmholtz Centre for Polar &amp; Marine Research; University of California System; University of California Los Angeles; Commonwealth Scientific &amp; Industrial Research Organisation (CSIRO); National Center Atmospheric Research (NCAR) - USA</t>
  </si>
  <si>
    <t>Roach, LA (corresponding author), Univ Washington, Atmospher Sci, Seattle, WA 98195 USA.</t>
  </si>
  <si>
    <t>lroach@uw.edu</t>
  </si>
  <si>
    <t>Notz, Dirk/P-4428-2017; Rackow, Thomas/AAP-2735-2020; Bitz, Cecilia M/S-8423-2016; Roach, Lettie/HKV-2511-2023; Dörr, Jakob/JDM-2765-2023; Massonnet, Francois/J-5315-2014</t>
  </si>
  <si>
    <t>Notz, Dirk/0000-0003-0365-5654; Rackow, Thomas/0000-0002-5468-575X; Roach, Lettie/0000-0003-4189-3928; Dörr, Jakob/0000-0002-1920-9301; O'Farrell, Siobhan/0000-0002-9019-6136; Massonnet, Francois/0000-0002-4697-5781; Bailey, David/0000-0002-6584-0663; Bitz, Cecilia/0000-0002-9477-7499; Holmes, Caroline/0000-0002-3134-555X; Blockley, Ed/0000-0002-0489-4238</t>
  </si>
  <si>
    <t>WCRP-CliC Project; Scientific Committee on Antarctic Research, SCAR; WMO; National Science Foundation [PLR-1643431]; National Oceanic and Atmospheric Administration [NA18OAR4310274]; German Ministry for Education and Research; Natural Environment Research Council [NE/N01829X/1]; Joint UK BEIS/Defra Met Office Hadley Centre Climate Programme [GA01101]; Deutsche Forschungsgemeinschaft under EXC 2037 CLICCS -Climate, Climatic Change, and Society [390683824]; National Science Foundation (NSF); National Center for Atmospheric Research (NCAR) - NSF [1852977]; NERC [bas0100032, NE/N018486/1, NE/N01829X/1] Funding Source: UKRI</t>
  </si>
  <si>
    <t>WCRP-CliC Project; Scientific Committee on Antarctic Research, SCAR; WMO; National Science Foundation(National Science Foundation (NSF)); National Oceanic and Atmospheric Administration(National Oceanic Atmospheric Admin (NOAA) - USA); German Ministry for Education and Research(Federal Ministry of Education &amp; Research (BMBF)); Natural Environment Research Council(UK Research &amp; Innovation (UKRI)Natural Environment Research Council (NERC)); Joint UK BEIS/Defra Met Office Hadley Centre Climate Programme; Deutsche Forschungsgemeinschaft under EXC 2037 CLICCS -Climate, Climatic Change, and Society; National Science Foundation (NSF)(National Science Foundation (NSF)); National Center for Atmospheric Research (NCAR) - NSF; NERC(UK Research &amp; Innovation (UKRI)Natural Environment Research Council (NERC))</t>
  </si>
  <si>
    <t>We acknowledge the World Climate Research Programme (WRCP), which, through itsWorking Group on Coupled Modelling, coordinated and promoted CMIP6. We thank the climate modeling groups for producing and making available their model output, the Earth System Grid Federation (ESGF) for archiving the data and providing access, and the multiple funding agencies who support CMIP6 and ESGF. This work was inspired by the Sea Ice Model Intercomparison Project (supported by theWCRP-CliC Project) and AntClim21 (supported by the Scientific Committee on Antarctic Research, SCAR) workshops in 2019. L. R. would like to acknowledge travel funding from the WMO to attend both of these workshops. L. R. and C. M. B. were supported by the National Science Foundation Grant PLR-1643431 and the National Oceanic and Atmospheric Administration Grant NA18OAR4310274. J. D. was supported by the German Ministry for Education and Research through the project Meereis bei +1.5.C. C. R. H. was supported by Natural Environment Research Council Grant NE/N01829X/1. F. M. is a F.R.S.-FNRS Research Fellow. E. B. was supported by the Joint UK BEIS/Defra Met Office Hadley Centre Climate Programme (GA01101). D. N. was supported by the Deutsche Forschungsgemeinschaft under EXC 2037 CLICCS -Climate, Climatic Change, and Society Project 390683824. The CESM project is supported primarily by the National Science Foundation (NSF). This material is based upon work supported by the National Center for Atmospheric Research (NCAR), which is a major facility sponsored by the NSF under Cooperative Agreement 1852977. We thank Doroteaciro Iovino for providing comments on an early draft of the manuscript. Finally are grateful to two anonymous reviewers for their assistance in improving the manuscript. Data availability: All model output is available online (through https://esgf-node.llnl.gov/projects/esgf-llnl/) (Table S1). All observational products are publicly available at the time of writing: OSI SAF from http://www.osi-saf.org/? q=content/sea-ice-products (Lavergne et al., 2019); NASA-Team and Bootstrap from https://nsidc.org/data/g02202 (Meier et al., 2017); Berkeley from https://berkeleyearth.org/data/(Rohde et al., 2013); NOAA globaltemp v5.0.0 from https://www.ncdc.noaa.gov/noaa-merged-land -ocean-global-surface-temperature -analysis-noaaglobaltemp-v5 (Vose et al., 2012; Zhang et al., 2020), GISTEMPv4 from https://data.giss.nasa.gov/gistemp/(GISTEMP Team, 2019; Lenssen et al., 2019); and HadCRUT4.6.0.0 from https://www.metoffice.gov.uk/hadobs/hadcrut4/(Morice et al., 2012). Author contributions: L. R. led the study. L. R. and J. D. processed the data and performed the analysis. All authors contributed to the manuscript. S. O., E. B., and T. R. additionally provided model data before they were available on ESGF.</t>
  </si>
  <si>
    <t>e2019GL086729</t>
  </si>
  <si>
    <t>10.1029/2019GL086729</t>
  </si>
  <si>
    <t>WOS:000536639500005</t>
  </si>
  <si>
    <t>Thirumalai, K; Clemens, SC; Partin, JW</t>
  </si>
  <si>
    <t>Thirumalai, Kaustubh; Clemens, Steven C.; Partin, Judson W.</t>
  </si>
  <si>
    <t>Methane, Monsoons, and Modulation of Millennial-Scale Climate</t>
  </si>
  <si>
    <t>methane; monsoon; modulation; orbital forcing; millennial-scale climate variability; late Pleistocene</t>
  </si>
  <si>
    <t>ATMOSPHERIC METHANE; ASIAN MONSOON; ICE; CH4; VARIABILITY; RECORD; HYDROCLIMATE; PERMAFROST; INSOLATION; EMISSIONS</t>
  </si>
  <si>
    <t>Earth's orbital geometry exerts a profound influence on climate by regulating changes in incoming solar radiation. Superimposed on orbitally paced climate change, Pleistocene records reveal substantial millennial-scale variability characterized by abrupt changes and rapid swings. However, the extent to which orbital forcing modulates the amplitude and timing of these millennial variations is unclear. Here we isolate the magnitude of millennial-scale variability (MMV) in two well-dated records, both linked to precession cycles (19,000- and 23,000-year periodicity): composite Chinese speleothem delta O-18, commonly interpreted as a proxy for Asian monsoon intensity, and atmospheric methane. At the millennial timescale (1,000-10,000 years), we find a fundamental decoupling wherein precession directly modulates the MMV of methane but not that of speleothem delta O-18, which is shown to be strikingly similar to the MMV of Antarctic ice core delta H-2. One explanation is that the MMV of methane responds to changes in midlatitude to high-latitude insolation, whereas speleothem delta O-18 is modulated by internal climate feedbacks.</t>
  </si>
  <si>
    <t>[Thirumalai, Kaustubh] Univ Arizona, Dept Geosci, Tucson, AZ 85721 USA; [Clemens, Steven C.] Brown Univ, Dept Earth Environm &amp; Planetary Sci, Providence, RI 02912 USA; [Partin, Judson W.] Univ Texas Austin, Inst Geophys, Jackson Sch Geosci, Austin, TX USA</t>
  </si>
  <si>
    <t>University of Arizona; Brown University; University of Texas System; University of Texas Austin</t>
  </si>
  <si>
    <t>Thirumalai, K (corresponding author), Univ Arizona, Dept Geosci, Tucson, AZ 85721 USA.</t>
  </si>
  <si>
    <t>kaustubh@arizona.edu</t>
  </si>
  <si>
    <t>Partin, Judson W/A-3086-2012; Thirumalai, Kaustubh/N-2511-2014</t>
  </si>
  <si>
    <t>Clemens, Steven/0000-0002-1136-7815; Partin, Judson/0000-0003-0315-5545; Thirumalai, Kaustubh/0000-0002-7875-4182</t>
  </si>
  <si>
    <t>Brown University Presidential Fellowship; NSF [AGS-1703123, OCE-1634774]</t>
  </si>
  <si>
    <t>Brown University Presidential Fellowship; NSF(National Science Foundation (NSF))</t>
  </si>
  <si>
    <t>We are grateful toWarren Prell for commenting on a previous version of this manuscript and to Baylor Fox-Kemper who provided input on the statistical analysis. We thank Yoshimi Kubota, Joseph Orchardo, and Nick Scroxton for fruitful discussion. We also thank two anonymous reviewers and Associate Editor Sarah Feakins of Geophysical Research Letters for their suggestions to improve this manuscript. K. T. acknowledges the Brown University Presidential Fellowship and the Department of Geosciences at the University of Arizona. This research was supported by NSF grants AGS-1703123 to K. T. and J. W. P. and OCE-1634774 to S. C. C. The MMV data sets calculated by the authors are attached as a supporting information spreadsheet; all data used herein have been previously peer-reviewed and available: sea level from Spratt and Lisiecki (2016), the molybdenum XRF composite record from Gibson and Peterson (2014), the composite Borneo speleothem. delta18O record from Carolin et al. (2016), the composite Chinese speleothem. delta18O record from Cheng et al. (2016), atmospheric methane from Loulergue et al. (2008), and Antarctic. delta2H fromJouzel et al. (2007).</t>
  </si>
  <si>
    <t>e2020GL087613</t>
  </si>
  <si>
    <t>10.1029/2020GL087613</t>
  </si>
  <si>
    <t>WOS:000536639500016</t>
  </si>
  <si>
    <t>Wu, YF; Tao, X; Liu, X; Chen, LJ; Xie, HS; Liu, KJ; Horne, RB</t>
  </si>
  <si>
    <t>Wu, Yifan; Tao, Xin; Liu, Xu; Chen, Lunjin; Xie, Huasheng; Liu, Kaijun; Horne, Richard B.</t>
  </si>
  <si>
    <t>Particle-in-Cell Simulation of Electron Cyclotron Harmonic Waves Driven by a Loss Cone Distribution</t>
  </si>
  <si>
    <t>ECH waves; PIC simulation; magnetosphere; electrostatic wave; loss cone distribution</t>
  </si>
  <si>
    <t>Electron Cyclotron Harmonic (ECH) waves driven by a loss cone distribution are studied in this work by self-consistent particle-in-cell simulations. These waves have been suggested to play an important role in diffuse auroral precipitation in the outer magnetosphere. However, particle simulation of this instability is difficult because the saturation amplitude of the wave driven by a realistic size loss cone distribution is very small. In this work we use an extraordinarily large number of particles to reduce simulation noise so that the growth and saturation of ECH waves can be investigated. Our simulation results are consistent with linear theory in terms of growth rate, and with observation in terms of wave amplitude. We demonstrate that the heating of cold electrons is negligible and nonresonant, different from previous conclusions, and suggest that the saturation of the wave is caused by the filling of the loss cone of hot electrons.</t>
  </si>
  <si>
    <t>[Wu, Yifan; Tao, Xin] Univ Sci &amp; Technol China, Dept Geophys &amp; Planetary Sci, CAS Key Lab Geospace Environm, Hefei, Peoples R China; [Wu, Yifan; Tao, Xin] CAS Ctr Excellence Comparat Planetol, Hefei, Peoples R China; [Wu, Yifan; Tao, Xin] Anhui Mengcheng Geophys Natl Observat &amp; Res Stn, Mengcheng, Peoples R China; [Liu, Xu; Chen, Lunjin] Univ Texas Dallas, Dept Phys, Dallas, TX USA; [Xie, Huasheng] Hebei Key Lab Compact Fus, Langfang, Peoples R China; [Xie, Huasheng] ENN Sci &amp; Technol Dev Co Ltd, Langfang, Peoples R China; [Liu, Kaijun] Southern Univ Sci &amp; Technol, Dept Earth &amp; Space Sci, Shenzhen, Peoples R China; [Horne, Richard B.] British Antarctic Survey, Cambridge, England</t>
  </si>
  <si>
    <t>Chinese Academy of Sciences; University of Science &amp; Technology of China, CAS; University of Texas System; University of Texas Dallas; Southern University of Science &amp; Technology; UK Research &amp; Innovation (UKRI); Natural Environment Research Council (NERC); NERC British Antarctic Survey</t>
  </si>
  <si>
    <t>Tao, X (corresponding author), Univ Sci &amp; Technol China, Dept Geophys &amp; Planetary Sci, CAS Key Lab Geospace Environm, Hefei, Peoples R China.;Tao, X (corresponding author), CAS Ctr Excellence Comparat Planetol, Hefei, Peoples R China.;Tao, X (corresponding author), Anhui Mengcheng Geophys Natl Observat &amp; Res Stn, Mengcheng, Peoples R China.</t>
  </si>
  <si>
    <t>xtao@ustc.edu.cn</t>
  </si>
  <si>
    <t>Liu, Kaijun/I-9724-2019; Wu, Yifan/JNS-0829-2023; XIE, Hua-sheng/KHU-1481-2024; Horne, Richard B/U-3764-2019; Chen, Lunjin/L-1250-2013</t>
  </si>
  <si>
    <t>Wu, Yifan/0000-0002-2039-0590; XIE, Hua-sheng/0000-0001-9204-135X; Horne, Richard B/0000-0002-0412-6407; Liu, Kaijun/0000-0001-5882-1328; Chen, Lunjin/0000-0003-2489-3571; liu, xu/0000-0002-7211-0546</t>
  </si>
  <si>
    <t>NSFC [41674174, 41631071, 41474142, 41974168]; Fundamental Research Funds for the Central Universities; B-type Strategic Priority Program of the Chinese Academy of Sciences [XDB41000000]; UK National Environment Research Council Highlight Topic Grant [NE/P10738X/1]; NERC [bas0100031] Funding Source: UKRI</t>
  </si>
  <si>
    <t>NSFC(National Natural Science Foundation of China (NSFC)); Fundamental Research Funds for the Central Universities(Fundamental Research Funds for the Central Universities); B-type Strategic Priority Program of the Chinese Academy of Sciences; UK National Environment Research Council Highlight Topic Grant; NERC(UK Research &amp; Innovation (UKRI)Natural Environment Research Council (NERC))</t>
  </si>
  <si>
    <t>This work was supported by NSFC grants (41674174, 41631071, 41474142, and 41974168), the Fundamental Research Funds for the Central Universities, the B-type Strategic Priority Program of the Chinese Academy of Sciences (Grant XDB41000000), and UK National Environment Research Council Highlight Topic Grant NE/P10738X/1 (Rad-Sat). Simulation data can be downloaded online (from http://doi.org/10.5281/zenodo.3679092).</t>
  </si>
  <si>
    <t>e2020GL087649</t>
  </si>
  <si>
    <t>10.1029/2020GL087649</t>
  </si>
  <si>
    <t>WOS:000536639500009</t>
  </si>
  <si>
    <t>Wolf, PJ; Hamilton, F</t>
  </si>
  <si>
    <t>Wolf, Peter J.; Hamilton, Francis</t>
  </si>
  <si>
    <t>Managing free-roaming cats in US cities: An object lesson in public policy and citizen action</t>
  </si>
  <si>
    <t>JOURNAL OF URBAN AFFAIRS</t>
  </si>
  <si>
    <t>ANTARCTIC MARION ISLAND; TRAP-NEUTER-RETURN; FERAL CATS; ANIMAL SHELTERS; FELIS-CATUS; ASCENSION ISLAND; DOMESTIC CATS; ERADICATION; MANAGEMENT; EUTHANASIA</t>
  </si>
  <si>
    <t>Citizens expect local elected and appointed officials to make, implement, and evaluate public policy. In recent years, citizen efforts to increase the number of companion animals leaving U.S. animal shelters alive have received considerable attention from animal welfare advocates, the mainstream media, and policymakers. Among the greatest challenges for urban shelters, where the most unowned, free-roaming cats are found, is how best to manage community cats. Three policy options have been identified: eradication, impoundment followed by lethal injection of cats not adopted (sometimes referred to as trap-and-kill), and trap-neuter-vaccinate-return (TNVR). Since governments at the state and local level are directly involved in any policy or decision-making strategy to manage community cats, public opinion and taxpayer-funded initiatives are important factors in policy making, especially in light of the recent push for no-kill animal shelters (i.e., where live outcomes are provided for 90% or more of the animals entering a facility).</t>
  </si>
  <si>
    <t>[Wolf, Peter J.] Best Friends Anim Soc, 5001 Angel Canyon Rd, Kanab, UT 84741 USA; [Hamilton, Francis] Eckerd Coll, Management, St Petersburg, FL 33733 USA</t>
  </si>
  <si>
    <t>Wolf, PJ (corresponding author), Best Friends Anim Soc, 5001 Angel Canyon Rd, Kanab, UT 84741 USA.</t>
  </si>
  <si>
    <t>peterw@bestfriends.org</t>
  </si>
  <si>
    <t>Hamilton, Francis/0000-0002-0552-3746</t>
  </si>
  <si>
    <t>0735-2166</t>
  </si>
  <si>
    <t>1467-9906</t>
  </si>
  <si>
    <t>J URBAN AFF</t>
  </si>
  <si>
    <t>J. Urban Aff.</t>
  </si>
  <si>
    <t>FEB 7</t>
  </si>
  <si>
    <t>10.1080/07352166.2020.1742577</t>
  </si>
  <si>
    <t>Urban Studies</t>
  </si>
  <si>
    <t>ZG9JV</t>
  </si>
  <si>
    <t>WOS:000535342100001</t>
  </si>
  <si>
    <t>Shu, Q; Wang, Q; Song, ZY; Qiao, FL; Zhao, JC; Chu, M; Li, XF</t>
  </si>
  <si>
    <t>Shu, Qi; Wang, Qiang; Song, Zhenya; Qiao, Fangli; Zhao, Jiechen; Chu, Min; Li, Xinfang</t>
  </si>
  <si>
    <t>Assessment of Sea Ice Extent in CMIP6 With Comparison to Observations and CMIP5</t>
  </si>
  <si>
    <t>sea ice; CMIP6; climate models</t>
  </si>
  <si>
    <t>NATURAL VARIABILITY; SIMULATIONS; TRENDS</t>
  </si>
  <si>
    <t>Both the Arctic and Antarctic sea ice extents (SIEs) from 44 coupled models in the Coupled Model Intercomparison Project Phase 6 (CMIP6) are evaluated by comparing them with observations and CMIP5 results. The CMIP6 multimodel mean can adequately reproduce the seasonal cycles of both the Arctic and Antarctic SIE. The observed Arctic September SIE declining trend (-0.82 +/- 0.18 million km(2) per decade) between 1979 and 2014 is slightly underestimated in CMIP6 models (-0.70 +/- 0.06 million km(2) per decade). The observed weak but significant upward trend of the Antarctic SIE is not captured, which was an issue already in the CMIP5 phase. Compared with CMIP5 models, CMIP6 models have lower intermodel spreads in SIE mean values and trends, although their SIE biases are relatively larger. The CMIP6 models did not reproduce the new summer tendencies after 2000, including the faster decline of Arctic SIE and the larger interannual variability in Antarctic SIE.</t>
  </si>
  <si>
    <t>[Shu, Qi; Song, Zhenya; Qiao, Fangli; Li, Xinfang] Minist Nat Resources, Inst Oceanog 1, Qingdao, Peoples R China; [Shu, Qi; Song, Zhenya; Qiao, Fangli] Qingdao Natl Lab Marine Sci &amp; Technol, Lab Reg Oceanog &amp; Numer Modeling, Qingdao, Peoples R China; [Shu, Qi; Song, Zhenya; Qiao, Fangli] Minist Nat Resources, Key Lab Marine Sci &amp; Numer Modeling, Qingdao, Peoples R China; [Wang, Qiang] Helmholtz Ctr Polar &amp; Marine Res AWI, Alfred Wegener Inst, Bremerhaven, Germany; [Zhao, Jiechen] Natl Marine Environm Forecasting Ctr, Beijing, Peoples R China; [Chu, Min] China Meteorol Adm, Beijing Climate Ctr, Beijing, Peoples R China</t>
  </si>
  <si>
    <t>First Institute of Oceanography, Ministry of Natural Resources; Ministry of Natural Resources of the People's Republic of China; Laoshan Laboratory; Ministry of Natural Resources of the People's Republic of China; Helmholtz Association; Alfred Wegener Institute, Helmholtz Centre for Polar &amp; Marine Research; National Marine Environmental Forecasting Center; China Meteorological Administration</t>
  </si>
  <si>
    <t>Qiao, FL (corresponding author), Minist Nat Resources, Inst Oceanog 1, Qingdao, Peoples R China.;Qiao, FL (corresponding author), Qingdao Natl Lab Marine Sci &amp; Technol, Lab Reg Oceanog &amp; Numer Modeling, Qingdao, Peoples R China.;Qiao, FL (corresponding author), Minist Nat Resources, Key Lab Marine Sci &amp; Numer Modeling, Qingdao, Peoples R China.</t>
  </si>
  <si>
    <t>qiaofl@fio.org.cn</t>
  </si>
  <si>
    <t>Song, Zhenya/AAC-2044-2019; Zhao, Jiechen/KHV-9905-2024</t>
  </si>
  <si>
    <t>Song, Zhenya/0000-0002-8098-5529; Wang, Qiang/0000-0002-2704-5394; Chu, Min/0000-0001-8126-3950; Zhao, Jiechen/0000-0001-7134-057X; SHU, Qi/0000-0003-4781-571X</t>
  </si>
  <si>
    <t>National Key Research and Development Program of China [2018YFC1407205]; Basic Scientific Fund for National Public Research Institute of China (ShuXingbei Young Talent Program) [2019S06]; Chinese Natural Science Foundation [41941012]; National Key R&amp;D Program of China [2016YFA0602200]; Basic Scientific Fund for National Public Research Institute of China [2016S03]; National Natural Science Foundation of China [41821004]; Helmholtz Climate Initiative REKLIM (Regional Climate Change)</t>
  </si>
  <si>
    <t>National Key Research and Development Program of China; Basic Scientific Fund for National Public Research Institute of China (ShuXingbei Young Talent Program); Chinese Natural Science Foundation(National Natural Science Foundation of China (NSFC)); National Key R&amp;D Program of China; Basic Scientific Fund for National Public Research Institute of China; National Natural Science Foundation of China(National Natural Science Foundation of China (NSFC)); Helmholtz Climate Initiative REKLIM (Regional Climate Change)</t>
  </si>
  <si>
    <t>Q. Shu was supported by the National Key Research and Development Program of China (Grant 2018YFC1407205), Basic Scientific Fund for National Public Research Institute of China (ShuXingbei Young Talent Program 2019S06), and the Chinese Natural Science Foundation (41941012). Z. Song was supported by the National Key R&amp;D Program of China (Grant 2016YFA0602200) and Basic Scientific Fund for National Public Research Institute of China (2016S03). F. Qiao was supported by the National Natural Science Foundation of China (41821004). Q. Wang was supported by the Helmholtz Climate Initiative REKLIM (Regional Climate Change). CMIP6 data are downloaded from https://esgf-node.llnl.gov/search/cmip6/website.Satellite-derived SIE data sets are from https://seaice.uni-bremen.de/sea-ice-concentration--amsr-eamsr2/time-series/and http://nsidc.org/data/g02135.html websites. Satellite-observed sea ice concentration data set are from NSIDC (http://nsidc.org/data/seaice/).ERA surface air temperature are provided by https://cds.climate.copernicus.eu/#!/home website. We would like to thank the data providers and the two anonymous reviewers.</t>
  </si>
  <si>
    <t>e2020GL087965</t>
  </si>
  <si>
    <t>10.1029/2020GL087965</t>
  </si>
  <si>
    <t>WOS:000536639500037</t>
  </si>
  <si>
    <t>Ellis, LT; Afonina, OM; Czernyadjeva, IV; Konoreva, LA; Potemkin, AD; Kotkova, VM; Alatas, M; Blom, HH; Boiko, M; Cabral, RA; Jimenez, S; Dagnino, D; Turcato, C; Minuto, L; Erzberger, P; Ezer, T; Galanina, OV; Hodgetts, N; Ignatov, MS; Ignatova, A; Kazanovsky, SG; Kiebacher, T; Köckinger, H; Korolkova, EO; Larraín, J; Maksimov, AI; Maity, D; Martins, A; Sim-Sim, M; Monteiro, F; Catarino, L; Medina, R; Nobis, M; Nowak, A; Ochyra, R; Parnikoza, I; Ivanets, V; Plasek, V; Philippe, M; Saha, P; Aziz, MN; Shkurko, AV; Stefanut, S; Suárez, GM; Uygur, A; Erkul, K; Wierzgon, M; Graulich, A</t>
  </si>
  <si>
    <t>Ellis, L. T.; Afonina, O. M.; Czernyadjeva, I., V; Konoreva, L. A.; Potemkin, A. D.; Kotkova, V. M.; Alatas, M.; Blom, H. H.; Boiko, M.; Cabral, R. A.; Jimenez, S.; Dagnino, D.; Turcato, C.; Minuto, L.; Erzberger, P.; Ezer, T.; Galanina, O., V; Hodgetts, N.; Ignatov, M. S.; Ignatova, A.; Kazanovsky, S. G.; Kiebacher, T.; Koeckinger, H.; Korolkova, E. O.; Larrain, J.; Maksimov, A., I; Maity, D.; Martins, A.; Sim-Sim, M.; Monteiro, F.; Catarino, L.; Medina, R.; Nobis, M.; Nowak, A.; Ochyra, R.; Parnikoza, I; Ivanets, V; Plasek, V; Philippe, M.; Saha, P.; Aziz, Md N.; Shkurko, A., V; Stefanut, S.; Suarez, G. M.; Uygur, A.; Erkul, K.; Wierzgon, M.; Graulich, A.</t>
  </si>
  <si>
    <t>New national and regional bryophyte records, 63</t>
  </si>
  <si>
    <t>JOURNAL OF BRYOLOGY</t>
  </si>
  <si>
    <t>MOSS FLORA; TAXONOMIC NOTES; GRIMMIACEAE; BUCKLANDIELLA; FISSIDENTACEAE; POTTIACEAE; ADDITIONS; ORTHOTRICHACEAE; PSEUDEPHEMERUM; GYMNANDRUS</t>
  </si>
  <si>
    <t>[Ellis, L. T.] Nat Hist Museum, Dept Life Sci, Cromwell Rd, London SW7 5BD, England; [Afonina, O. M.; Czernyadjeva, I., V; Konoreva, L. A.; Potemkin, A. D.; Kotkova, V. M.; Galanina, O., V] Komarov Bot Inst, St Petersburg, Russia; [Alatas, M.] Munzur Univ, Dept Bioengn, Tunceli, Turkey; [Blom, H. H.] Norwegian Inst Bioecon Res, Div Forest &amp; Forest Resources, Bergen, Norway; [Boiko, M.] Kherson State Univ, Dept Bot, Kherson, Ukraine; [Cabral, R. A.; Jimenez, S.] Inst Bot Nordeste, Corrientes, Argentina; [Dagnino, D.; Turcato, C.; Minuto, L.] Univ Genoa, Dept Earth Environm &amp; Life Sci DISTAV, Genoa, Italy; [Ezer, T.] Nigde Omer Halisdemir Univ, Dept Biol, Nigde, Turkey; [Ezer, T.] Nigde Omer Halisdemir Univ, Dept Landscape Architecture, Nigde, Turkey; [Galanina, O., V] St Petersburg State Univ, Inst Earth Sci, St Petersburg, Russia; [Ignatov, M. S.] Tsitsin Main Bot Garden, Moscow, Russia; [Ignatov, M. S.; Ignatova, A.] Moscow MV Lomonosov State Univ, Fac Biol, Moscow, Russia; [Kazanovsky, S. G.] Russian Acad Sci, Siberian Inst Plant Physiol &amp; Biochem, Siberian Branch, Irkutsk, Russia; [Kiebacher, T.] Univ Zurich, Dept Systemat &amp; Evolutionary Bot, Zurich, Switzerland; [Korolkova, E. O.] Moscow State Univ Educ, Moscow, Russia; [Korolkova, E. O.] Natl Res Univ Higher Sch Econ, Moscow, Russia; [Larrain, J.] Pontificia Univ Catolica Valparaiso, Inst Biol, Valparaiso, Chile; [Maksimov, A., I] Russian Acad Sci, Karelian Res Ctr, Inst Biol, Petrozavodsk, Russia; [Maity, D.] Univ Calcutta, Dept Bot, Taxon &amp; Biosystemat Lab, Kolkata, India; [Martins, A.; Sim-Sim, M.; Monteiro, F.; Catarino, L.] Univ Lisbon, Fac Ciencias Lisboa, Ctr Ecol Evolut &amp; Environm Changes, cE3c, Lisbon, Portugal; [Medina, R.] Augustana Coll, Rock Isl, IL 61201 USA; [Nobis, M.] Jagiellonian Univ, Krakow, Poland; [Nowak, A.] Univ Opole, Opole, Poland; [Ochyra, R.] Polish Acad Sci, W Szafer Inst Bot, Krakow, Poland; [Parnikoza, I] Natl Acad Sci, Inst Mol Biol &amp; Genet, Kiev, Ukraine; [Parnikoza, I; Ivanets, V] Minist Educ &amp; Sci Ukraine, Natl Antarctic Sci Ctr, State Inst, Kiev, Ukraine; [Plasek, V] Univ Ostrava, Dept Biol &amp; Ecol, Ostrava, Czech Republic; [Philippe, M.] Univ Lyon 1, Villeurbanne, France; [Philippe, M.] UMR CNRS 5023 Ecol Hydrosyst Nat &amp; Anthropises, Villeurbanne, France; [Saha, P.; Aziz, Md N.] Bot Survey India, Cent Natl Herbarium, PO Bot Garden, Howrah, India; [Shkurko, A., V] RAS, Tsitsin Main Bot Garden, Moscow, Russia; [Stefanut, S.] Bucharest Romanian Acad, Inst Biol, Bucharest, Romania; [Suarez, G. M.] UEL, Unidad Ejecutora Lillo, Miguel Lillo 251, RA-4000 San Miguel De Tucuman, Argentina; [Suarez, G. M.] FML CONICET, Miguel Lillo 251, RA-4000 San Miguel De Tucuman, Argentina; [Suarez, G. M.; Uygur, A.] Univ Nacl Tucuman, Fac Ciencias Nat, Miguel Lillo 205, RA-4000 San Miguel De Tucuman, Argentina; [Suarez, G. M.; Uygur, A.] Univ Nacl Tucuman, Inst Miguel Lillo, Miguel Lillo 205, RA-4000 San Miguel De Tucuman, Argentina; [Erkul, K.] Aksaray Univ, Dept Biol, Aksaray, Turkey; [Wierzgon, M.] Univ Silesia, Katowice, Poland</t>
  </si>
  <si>
    <t>Natural History Museum London; Russian Academy of Sciences; Komarov Botanical Institute, Russian Academy of Sciences; Munzur University; Norwegian Institute of Bioeconomy Research; Ministry of Education &amp; Science of Ukraine; Kherson State University; University of Genoa; Nigde Omer Halisdemir University; Nigde Omer Halisdemir University; Saint Petersburg State University; Tsytsin Main Moscow Botanical Garden of the Russian Academy of Sciences; Lomonosov Moscow State University; Irkutsk Science Centre of the Russian Academy of Sciences; Sochava Institute of Geography, Siberian Branch of the Russian Academy of Sciences; Russian Academy of Sciences; Siberian Institute of Plant Physiology &amp; Biochemistry; University of Zurich; HSE University (National Research University Higher School of Economics); Pontificia Universidad Catolica de Valparaiso; Russian Academy of Sciences; Karelian Research Centre of the Russian Academy of Sciences; Institute of Biology of Karelian Research Centre RAS; University of Calcutta; Universidade de Lisboa; Jagiellonian University; University of Opole; Polish Academy of Sciences; W. Szafer Institute of Botany of the Polish Academy of Sciences; National Academy of Sciences Ukraine; Institute of Molecular Biology &amp; Genetics of NASU; Ministry of Education &amp; Science of Ukraine; State Institution National Antarctic Scientific Center; University of Ostrava; Universite Claude Bernard Lyon 1; Botanical Survey of India (BSI); Tsytsin Main Moscow Botanical Garden of the Russian Academy of Sciences; Russian Academy of Sciences; Institute of Biology Bucharest; Romanian Academy of Sciences; Miguel Lillo Foundation; Miguel Lillo Foundation; Universidad Nacional de Tucuman; Universidad Nacional de Tucuman; Miguel Lillo Foundation; Aksaray University; University of Silesia in Katowice</t>
  </si>
  <si>
    <t>Ellis, LT (corresponding author), Nat Hist Museum, Dept Life Sci, Cromwell Rd, London SW7 5BD, England.</t>
  </si>
  <si>
    <t>l.ellis@nhm.ac.uk</t>
  </si>
  <si>
    <t>Plasek, Vitezslav/D-8242-2014; Boiko, MF/AID-4958-2022; Nowak, Arkadiusz/U-3240-2019; Galanina, Olga V./K-7388-2013; Ignatov, Michael S/H-9665-2016; Czernyadjeva, Irina/ABD-1374-2020; Stefanut, Sorin/GRO-5620-2022; Ivanets, Viktoria/ABG-6457-2020; Sim-Sim, Manuela/H-1666-2011; Parnikoza, Ivan/I-2398-2016; Shkurko, Anna/AAL-5794-2021; Martins, Anabela/I-6058-2016; Medina, Rafael/AFP-2227-2022; Stefanut, Sorin/B-9350-2011; Alataş, Mevlüt/ABI-4152-2020; Potemkin, Alexey/I-5467-2015; Catarino, Luis/L-8701-2013</t>
  </si>
  <si>
    <t>Plasek, Vitezslav/0000-0002-4664-2135; Ignatov, Michael S/0000-0001-6096-6315; Stefanut, Sorin/0000-0002-1061-8942; Sim-Sim, Manuela/0000-0003-3467-6538; Shkurko, Anna/0000-0001-7682-9323; Martins, Anabela/0000-0002-6644-4339; Medina, Rafael/0000-0001-5629-1503; Stefanut, Sorin/0000-0002-1061-8942; Alataş, Mevlüt/0000-0003-0862-0258; Korolkova, Ekaterina/0000-0002-1343-3492; Maksimov, Anatoly/0000-0002-6532-6939; Czernyadjeva, irina/0000-0002-7137-8604; Potemkin, Alexey/0000-0003-4420-1704; Suarez, Guillermo/0000-0002-7131-0634; Monteiro, Filipa/0000-0002-1505-2140; Wierzgon, Mariusz/0000-0002-4809-2202; Nowak, Arkadiusz/0000-0001-8638-0208; Larrain, Juan B./0000-0002-9423-6561; Catarino, Luis/0000-0002-1261-9076</t>
  </si>
  <si>
    <t>Natural History Museum, London, UK; Consejo Nacional de Investigaciones Cientificas y Tecnicas (CONICET); SGCyT [PI 16P002]; PIUNT from Argentina [G631]; United States National Science Foundation [DEB-1753673]; W. Szafer Institute of Botany of the Polish Academy of Sciences; EU [CZ.1.05/2.1.00/19.0388]; Ministry of Education, Youth and Sports of the Czech Republic [LO1208]; National Antarctic Research Centre of the Ministry of Education and Science of the Ukraine; Institute of Biology, Biotechnology and Environmental Protection of the University of Silesia in Katowice; RFBR [19-04-00976]; institutional research project Herbarium collections of BIN RAS (history, conservation, investigation and replenishment) [AAA-A18-1180222090078-2]; Russian Fund for Basic Research (RFBR) Bryocomponent of vegetation in the south of Siberia [18-04-00822]; Institute of Biology Bucharest of Romanian Academy [RO1567IBB03/2019]; Russian Foundation for Basic Research [18-05-60093]; Komarov Botanical Institute of the Russian Academy of Sciences [AAAA-A19119020690077-4]; Turkish Scientific and Technical Research Council (TUBITAK) [120Z046]; Program PICT [0810]; Tsitsin' Main Botanical Garden of RAS [118021490111-5]; [0218-2019-0078]</t>
  </si>
  <si>
    <t>Natural History Museum, London, UK; Consejo Nacional de Investigaciones Cientificas y Tecnicas (CONICET)(Consejo Nacional de Investigaciones Cientificas y Tecnicas (CONICET)); SGCyT; PIUNT from Argentina; United States National Science Foundation(National Science Foundation (NSF)); W. Szafer Institute of Botany of the Polish Academy of Sciences; EU(European Union (EU)); Ministry of Education, Youth and Sports of the Czech Republic(Ministry of Education, Youth &amp; Sports - Czech Republic); National Antarctic Research Centre of the Ministry of Education and Science of the Ukraine; Institute of Biology, Biotechnology and Environmental Protection of the University of Silesia in Katowice; RFBR(Russian Foundation for Basic Research (RFBR)); institutional research project Herbarium collections of BIN RAS (history, conservation, investigation and replenishment); Russian Fund for Basic Research (RFBR) Bryocomponent of vegetation in the south of Siberia(Russian Foundation for Basic Research (RFBR)); Institute of Biology Bucharest of Romanian Academy; Russian Foundation for Basic Research(Russian Foundation for Basic Research (RFBR)Spanish Government); Komarov Botanical Institute of the Russian Academy of Sciences; Turkish Scientific and Technical Research Council (TUBITAK)(Turkiye Bilimsel ve Teknolojik Arastirma Kurumu (TUBITAK)); Program PICT; Tsitsin' Main Botanical Garden of RAS;</t>
  </si>
  <si>
    <t>L. T. Ellis acknowledges the support of the Natural History Museum, London, UK. T. Kiebacher thanks H. Kockinger for the confirmation of determination of a specimen of Schistidium subflaccidum and for the critical examination of Tortella alpicola specimens, and thanks G. Buzas for linguistic correction. Dr M. Philippe thanks Ariel Bergamini, Vincent Hugonnot, Marta Infante Sanchez and Markus Meier who kindly helped to prepare his note. The research of R. A. Cabral, S. Jimenez and G. M. Suarez was sponsored by the Consejo Nacional de Investigaciones Cientificas y Tecnicas (CONICET), SGCyT (PI 16P002), the Program PICT (0810) and PIUNT (G631) from Argentina. These authors gratefully acknowledge Dr Jucara Bordin for confirming the identification of species.r A. D. Potemkin is grateful to Nele Ingerpuu for information on habitat and distribution of Lophozia perssonii in Estonia. The study of A. D. Potemkin was carried out in the framework of the institutional research project of Komarov Botanical Institute of the Russian Academy of Sciences Flora and systematics of lichens and bryophytes of Russia and phytogeographically important regions (AAAA-A19-119020690077-4). The field work of R. Medina was funded by the United States National Science Foundation (DEB-1753673). He also acknowledges A. Manteca for his assistance in the field. A. V. Shkurko is grateful to V. E. Fedosov for support and encouragement. The work of A. V. Shkurko was supported by governmental contract 118021490111-5 of Tsitsin' Main Botanical Garden of RAS. The work of A. I. Maksimov was carried out within the framework of the institutional research project 0218-2019-0078 and the research agreement between O. V. Galanina and the Polistovsky State Nature Reserve. P. Saha, Md. N. Aziz and D. Maity are grateful to the present Director (Dr A. A. Mao) and ex-Director (Dr P. Singh) of the Botanical Survey of India for encouragement and facilities.r The contributions by R. Ochyra have been financially supported by the statutory fund of the W. Szafer Institute of Botany of the Polish Academy of Sciences. He also thanks the curators at BM, H, JE and PC for the loan of specimens. The notes of V. Plasek are part of research projects of EU structural funding Operational Programme Research and Development for Innovation, project No. CZ.1.05/2.1.00/19.0388 and by the Ministry of Education, Youth and Sports of the Czech Republic in the National Feasibility Program I, project LO1208 TEWEP. The contribution by I. Parnikoza and V. Ivanets had the financial support of the National Antarctic Research Centre of the Ministry of Education and Science of the Ukraine. Their research was performed as part of the national targeted scientific and technological programme of research in the Antarctic for 2011-2020. Mariusz Wierzgon was funded by the statutory funds of the Institute of Biology, Biotechnology and Environmental Protection of the University of Silesia in Katowice.r The field work of M. S. Ignatov and E. A. Ignatova was supported by RFBR 19-04-00976. The study by O. M Afonina was carried out within the framework of the institutional research project Herbarium collections of BIN RAS (history, conservation, investigation and replenishment) AAA-A18-1180222090078-2. The contribution of S. G. Kazanovsky was supported by Grant No 18-04-00822 of the Russian Fund for Basic Research (RFBR) Bryocomponent of vegetation in the south of Siberia. S. Stefanut acknowledges the support by project no. RO1567IBB03/2019 through Institute of Biology Bucharest of Romanian Academy. The work of I. V.; Czernyadjeva and L. A. Konoreva was supported by Russian Foundation for Basic Research (grants # 18-05-60093) and it was carried out within the framework of the institutional research project (no. AAAA-A19119020690077-4) of the Komarov Botanical Institute of the Russian Academy of Sciences. A. Uygur, T. Ezer, S. Karaman Erkul and M. Alatas gratefully acknowledge the financial support of the Turkish Scientific and Technical Research Council (TUBITAK, Project Number: 120Z046).</t>
  </si>
  <si>
    <t>0373-6687</t>
  </si>
  <si>
    <t>1743-2820</t>
  </si>
  <si>
    <t>J BRYOL</t>
  </si>
  <si>
    <t>J. Bryol.</t>
  </si>
  <si>
    <t>10.1080/03736687.2020.1750930</t>
  </si>
  <si>
    <t>NE7RO</t>
  </si>
  <si>
    <t>WOS:000535953000001</t>
  </si>
  <si>
    <t>Juhls, B; Stedmon, CA; Morgenstern, A; Meyer, H; Hölemann, J; Heim, B; Povazhnyi, V; Overduin, PP</t>
  </si>
  <si>
    <t>Juhls, Bennet; Stedmon, Colin A.; Morgenstern, Anne; Meyer, Hanno; Holemann, Jens; Heim, Birgit; Povazhnyi, Vasily; Overduin, Pier P.</t>
  </si>
  <si>
    <t>Identifying Drivers of Seasonality in Lena River Biogeochemistry and Dissolved Organic Matter Fluxes</t>
  </si>
  <si>
    <t>Lena River; Arctic; DOC; CDOM; optical indices; stable water isotopes</t>
  </si>
  <si>
    <t>INTERANNUAL VARIABILITY; LAPTEV SEA; PERMAFROST THAW; CARBON; ICE; INCREASES; HYDROLOGY; DELTA; OCEAN</t>
  </si>
  <si>
    <t>Warming air temperatures, shifting hydrological regimes and accelerating permafrost thaw in the catchments of the Arctic rivers is affecting their biogeochemistry. Arctic river monitoring is necessary to observe changes in the mobilization of dissolved organic matter (DOM) from permafrost. The Lena River is the second largest Arctic river and 71% of its catchment is continuous permafrost. Biogeochemical parameters, including temperature, electrical conductivity (EC), stable water isotopes, dissolved organic carbon (DOC) and absorption by colored dissolved organic matter (a(CDOM)) have been measured as part of a new high-frequency sampling program in the central Lena River Delta. The results show strong seasonal variations of all biogeochemical parameters that generally follow seasonal patterns of the hydrograph. Optical indices of DOM indicate a trend of decreasing aromaticity and molecular weight from spring to winter. High-frequency sampling improved our estimated annual fluvial flux of annual dissolved organic carbon flux (6.79 Tg C). EC and stable isotope data were used to distinguish three different source water types which explain most of the seasonal variation in the biogeochemistry of the Lena River. These water types match signatures of (1) melt water, (2) rain water, and (3) subsurface water. Melt water and rain water accounted for 84% of the discharge flux and 86% of the DOC flux. The optical properties of melt water DOM were characteristic of fresh organic matter. In contrast, the optical properties of DOM in subsurface water revealed lower aromaticity and lower molecular weights, which indicate a shift toward an older organic matter source mobilized from deeper soil horizons or permafrost deposits. The first year of this new sampling program sets a new baseline for flux calculations of dissolved matter and has enabled the identification and characterization of water types that drive the seasonality of the Lena River water properties.</t>
  </si>
  <si>
    <t>[Juhls, Bennet] Free Univ Berlin, Dept Earth Sci, Inst Space Sci, Berlin, Germany; [Stedmon, Colin A.] Tech Univ Denmark, Natl Inst Aquat Resources, Copenhagen, Denmark; [Morgenstern, Anne; Meyer, Hanno; Heim, Birgit; Overduin, Pier P.] Alfred Wegener Inst, Helmholtz Ctr Polar &amp; Marine Res, Potsdam, Germany; [Holemann, Jens] Alfred Wegener Inst, Helmholtz Ctr Polar &amp; Marine Res, Bremerhaven, Germany; [Povazhnyi, Vasily] Arctic &amp; Antarctic Res Inst, Otto Schmidt Lab Polar &amp; Marine Res, St Petersburg, Russia</t>
  </si>
  <si>
    <t>Free University of Berlin; Technical University of Denmark; Helmholtz Association; Alfred Wegener Institute, Helmholtz Centre for Polar &amp; Marine Research; Helmholtz Association; Alfred Wegener Institute, Helmholtz Centre for Polar &amp; Marine Research; Arctic &amp; Antarctic Research Institute</t>
  </si>
  <si>
    <t>Juhls, B (corresponding author), Free Univ Berlin, Dept Earth Sci, Inst Space Sci, Berlin, Germany.</t>
  </si>
  <si>
    <t>bjuhls@wew.fu-berlin.de</t>
  </si>
  <si>
    <t>Overduin, Paul P/B-3258-2017; Stedmon, Colin Andrew/B-5841-2008; Morgenstern, Anne/N-3648-2015; Meyer, Hanno/AAQ-4260-2021; Juhls, Bennet/AAD-8848-2021; Hoelemann, Jens/N-3608-2016; Heim, Birgit/B-2815-2017</t>
  </si>
  <si>
    <t>Overduin, Paul P/0000-0001-9849-4712; Stedmon, Colin Andrew/0000-0001-6642-9692; Morgenstern, Anne/0000-0002-6466-7571; Meyer, Hanno/0000-0003-4129-4706; Hoelemann, Jens/0000-0001-5102-4086; Heim, Birgit/0000-0003-2614-9391</t>
  </si>
  <si>
    <t>Geo.X, the Research Network for Geosciences in Berlin and Potsdam [SO_087_GeoX]; Ministry of Higher Education and Science of the Russian Federation [RFMEFI61617X0076]; Helmholtz Association; Open Access Publication Initiative of Freie Universitat Berlin; NERC [NE/R012806/1] Funding Source: UKRI</t>
  </si>
  <si>
    <t>Geo.X, the Research Network for Geosciences in Berlin and Potsdam; Ministry of Higher Education and Science of the Russian Federation(Ministry of Education and Science, Russian Federation); Helmholtz Association(Helmholtz Association); Open Access Publication Initiative of Freie Universitat Berlin; NERC(UK Research &amp; Innovation (UKRI)Natural Environment Research Council (NERC))</t>
  </si>
  <si>
    <t>This research has been supported by Geo.X, the Research Network for Geosciences in Berlin and Potsdam (grant no. SO_087_GeoX). VP was supported from the Ministry of Higher Education and Science of the Russian Federation project RFMEFI61617X0076. This work was supported by funding from the Helmholtz Association in the framework of MOSES (Modular Observation Solutions for Earth Systems). We acknowledge support from the Open Access Publication Initiative of Freie Universitat Berlin.</t>
  </si>
  <si>
    <t>MAY 15</t>
  </si>
  <si>
    <t>10.3389/fenvs.2020.00053</t>
  </si>
  <si>
    <t>MW0BN</t>
  </si>
  <si>
    <t>WOS:000556712600001</t>
  </si>
  <si>
    <t>Thurnherr, I; Kozachek, A; Graf, P; Weng, YB; Bolshiyanov, D; Landwehr, S; Pfahl, S; Schmale, J; Sodemann, H; Steen-Larsen, HC; Toffoli, A; Wernli, H; Aemisegger, F</t>
  </si>
  <si>
    <t>Thurnherr, Iris; Kozachek, Anna; Graf, Pascal; Weng, Yongbiao; Bolshiyanov, Dimitri; Landwehr, Sebastian; Pfahl, Stephan; Schmale, Julia; Sodemann, Harald; Steen-Larsen, Hans Christian; Toffoli, Alessandro; Wernli, Heini; Aemisegger, Franziska</t>
  </si>
  <si>
    <t>Meridional and vertical variations of the water vapour isotopic composition in the marine boundary layer over the Atlantic and Southern Ocean</t>
  </si>
  <si>
    <t>DEUTERIUM EXCESS; EXTRATROPICAL CYCLONES; MIXING PROCESSES; PART I; EVAPORATION; MOISTURE; CRAIG; IDENTIFICATION; PRECIPITATION; CLIMATOLOGY</t>
  </si>
  <si>
    <t>Stable water isotopologues (SWIs) are useful tracers of moist diabatic processes in the atmospheric water cycle. They provide a framework to analyse moist processes on a range of timescales from large-scale moisture transport to cloud formation, precipitation and small-scale turbulent mixing. Laser spectrometric measurements on research vessels produce high-resolution time series of the variability of the water vapour isotopic composition in the marine boundary layer. In this study, we present a 5-month continuous time series of such ship-based measurements of delta H-2 and delta O-18 from the Antarctic Circumnavigation Expedition (ACE) in the Atlantic and the Southern Ocean in the time period from November 2016 to April 2017. We analyse the drivers of meridional SWI variations in the marine boundary layer across diverse climate zones in the Atlantic and Southern Ocean using Lagrangian moisture source diagnostics and relate vertical SWI differences to near-surface wind speed and ocean surface state. The median values of delta O-18, delta H-2 and deuterium excess during ACE decrease continuously from low to high latitudes. These meridional SWI distributions reflect climatic conditions at the measurement and moisture source locations, such as air temperature, specific humidity and relative humidity with respect to sea surface temperature. The SWI variability at a given latitude is highest in the extratropics and polar regions with decreasing values equatorwards. This meridional distribution of SWI variability is explained by the variability in moisture source locations and its associated environmental conditions as well as transport processes. The westward-located moisture sources of water vapour in the extratropics are highly variable in extent and latitude due to the frequent passage of cyclones and thus widen the range of encountered SWI values in the marine boundary layer. Moisture loss during transport further contributes to the high SWI variability in the extratropics. In the subtropics and tropics, persistent anticyclones lead to well-confined narrow easterly moisture source regions, which is reflected in the weak SWI variability in these regions. Thus, the expected range of SWI signals at a given latitude strongly depends on the large-scale circulation. Furthermore, the ACE SWI time series recorded at 8.0 and 13.5 m above the ocean surface provide estimates of vertical SWI gradients in the lowermost marine boundary layer. On average, the vertical gradients with height found during ACE are -0.1 parts per thousand m(-1) for delta O-18, -0.5 parts per thousand m(-1) for delta H-2 and 0.3 parts per thousand m(-1) for deuterium excess. Careful calibration and post-processing of the SWI data and a detailed uncertainty analysis provide a solid basis for the presented gradients. Using sea spray concentrations and sea state conditions, we show that the vertical SWI gradients are particularly large during high wind speed conditions with increased contribution of sea spray evaporation or during low wind speed conditions due to weak vertical turbulent mixing. Although further SWI measurements at a higher vertical resolution are required to validate these findings, the simultaneous SWI measurements at several heights during ACE show the potential of SWIs as tracers for vertical mixing and sea spray evaporation in the lowermost marine boundary layer.</t>
  </si>
  <si>
    <t>[Thurnherr, Iris; Graf, Pascal; Pfahl, Stephan; Wernli, Heini; Aemisegger, Franziska] Swiss Fed Inst Technol, Inst Atmospher &amp; Climate Sci, Zurich, Switzerland; [Kozachek, Anna; Bolshiyanov, Dimitri] Arctic &amp; Antarctic Res Inst, Climate &amp; Environm Res Lab, St Petersburg, Russia; [Weng, Yongbiao; Sodemann, Harald; Steen-Larsen, Hans Christian] Univ Bergen, Geophys Inst, Bergen, Norway; [Weng, Yongbiao; Sodemann, Harald; Steen-Larsen, Hans Christian] Bjerknes Ctr Climate Res, Bergen, Norway; [Landwehr, Sebastian; Schmale, Julia] Paul Scherrer Inst, Lab Atmospher Chem, Villigen, Switzerland; [Landwehr, Sebastian; Schmale, Julia] Ecole Polytech Fed Lausanne, Extreme Environm Res Lab, Sch Architecture Civil &amp; Environm Engn, Lausanne, Switzerland; [Pfahl, Stephan] Free Univ Berlin, Inst Meteorol, Berlin, Germany; [Toffoli, Alessandro] Univ Melbourne, Dept Infrastruct Engn, Melbourne, Vic, Australia</t>
  </si>
  <si>
    <t>Swiss Federal Institutes of Technology Domain; ETH Zurich; Arctic &amp; Antarctic Research Institute; University of Bergen; Bjerknes Centre for Climate Research; Swiss Federal Institutes of Technology Domain; Paul Scherrer Institute; Swiss Federal Institutes of Technology Domain; Ecole Polytechnique Federale de Lausanne; Free University of Berlin; University of Melbourne; Melbourne Genomics Health Alliance</t>
  </si>
  <si>
    <t>Thurnherr, I (corresponding author), Swiss Fed Inst Technol, Inst Atmospher &amp; Climate Sci, Zurich, Switzerland.</t>
  </si>
  <si>
    <t>iris.thurnherr@env.ethz.ch</t>
  </si>
  <si>
    <t>Kozachek, Anna V./JCE-4791-2023; Aemisegger, Franziska/G-5340-2018; Steen-Larsen, Hans Christian/F-9927-2013; Schmale, Julia Yvonne/Q-3942-2019; Sodemann, Harald/ABG-5304-2021; Pfahl, Stephan/G-4194-2014; Kozachek, Anna V./Q-4543-2016; Wernli, Heini/F-1099-2016</t>
  </si>
  <si>
    <t>Aemisegger, Franziska/0000-0002-4022-9825; Schmale, Julia Yvonne/0000-0002-1048-7962; Sodemann, Harald/0000-0002-8167-0860; Kozachek, Anna V./0000-0002-9704-8064; Toffoli, Alessandro/0000-0003-3112-6856; Wernli, Heini/0000-0001-9674-4837; Landwehr, Sebastian/0000-0003-2622-577X; Thurnherr, Iris/0000-0003-3647-0373</t>
  </si>
  <si>
    <t>ACE Foundation; Ferring Pharmaceuticals; RFBR [18-55-16001]; Swiss Data Science Center [17-02]; RCN project FARLAB</t>
  </si>
  <si>
    <t>ACE Foundation; Ferring Pharmaceuticals(Ferring Pharmaceuticals); RFBR(Russian Foundation for Basic Research (RFBR)); Swiss Data Science Center; RCN project FARLAB</t>
  </si>
  <si>
    <t>Iris Thurnherr and Julia Schmale received funding from the ACE Foundation and Ferring Pharmaceuticals. Anna Kozachek was supported by RFBR (grant no. 18-55-16001). Sebastian Landwehr received funding from the Swiss Data Science Center (grant no. 17-02). Harald Sodemann and Yongbiao Weng were supported by the RCN project FARLAB.</t>
  </si>
  <si>
    <t>10.5194/acp-20-5811-2020</t>
  </si>
  <si>
    <t>LQ8RB</t>
  </si>
  <si>
    <t>Green Accepted, Green Submitted, Green Published, gold</t>
  </si>
  <si>
    <t>WOS:000535264700001</t>
  </si>
  <si>
    <t>Wohl, C; Brown, I; Kitidis, V; Jones, AE; Sturges, WT; Nightingale, PD; Yang, MX</t>
  </si>
  <si>
    <t>Wohl, Charel; Brown, Ian; Kitidis, Vassilis; Jones, Anna E.; Sturges, William T.; Nightingale, Philip D.; Yang, Mingxi</t>
  </si>
  <si>
    <t>Underway seawater and atmospheric measurements of volatile organic compounds in the Southern Ocean</t>
  </si>
  <si>
    <t>SEA-AIR FLUXES; REACTION MASS-SPECTROMETER; WEIGHT CARBONYL-COMPOUNDS; MARINE BOUNDARY-LAYER; DIMETHYL-SULFIDE; PHOTOCHEMICAL PRODUCTION; SURFACE SEAWATER; GAS-EXCHANGE; IN-SITU; ISOPRENE PRODUCTION</t>
  </si>
  <si>
    <t>Dimethyl sulfide and volatile organic compounds (VOCs) are important for atmospheric chemistry. The emissions of biogenically derived organic gases, including dimethyl sulfide and especially isoprene, are not well constrained in the Southern Ocean. Due to a paucity of measurements. the role of the ocean in the atmospheric budgets of atmospheric methanol, acetone, and acetaldehyde is even more poorly known. In order to quantify the air-sea fluxes of these gases, we measured their seawater concentrations and air mixing ratios in the Atlantic sector of the Southern Ocean, along a similar to 11 000 km long transect at approximately 60 degrees S in February-April 2019. Concentrations, oceanic saturations. and estimated fluxes of five simultaneously sampled gases (dimethyl sulfide. isoprene. methanol. acetone. and acetaldehyde) are presented here. Campaign mean (+/- 1 sigma) surface water concentrations of dimethyl sulfide. isoprene. methanol. acetone. and acetaldehyde were 2.60 (+/- 3.94). 0.0133 (+/- 0.0063). 67 (+/- 35). 5.5 (+/- 2.5). and 2.6 (+/- 2.7) nmol dm(-3) respectively. In this dataset. seawater isoprene and methanol concentrations correlated positively. Furthermore. seawater acetone. methanol. and isoprene concentrations were found to correlate negatively with the fugacity of carbon dioxide. possibly due to a common biological origin. Campaign mean (+/- 1 sigma) air mixing ratios of dimethyl sulfide. isoprene. methanol. acetone. and acetaldehyde were 0.17 (+/- 0 .09). 0.053 (+/- 0 .034). 0.17 (+/- 0 .08). 0.081 (+/- 0 .031). and 0.049 (+/- 0 .040) ppbv. We observed diel changes in averaged acetaldehyde concentrations in seawa-ter and ambient air (and to a lesser degree also for acetone and isoprene). which suggest light-driven production. Campaign mean (+/- 1 sigma) fluxes of 4.3 (+/- 7 .4) mu molm(-2)d(-1) DMS and 0.028 (+/- 0 .021) mu molm(-2)d(-1) isoprene are determined where a positive flux indicates from the ocean to the atmosphere. Methanol was largely undersaturated in the surface ocean with a mean (+/- 1 sigma) net flux of 2.4 (+/- 4.7) mu molm(-2) d(-1). but it also had a few occasional episodes of outgassing. This section of the Southern Ocean was found to be a source and a sink for acetone and acetaldehyde this time of the year. depending on location. resulting in a mean net flux of 0.55 (+/- 1.14) mu molm(-2) d(-1) for acetone and 0.28 (+/- 1.22) mu molm(-2)d(-1) for acetaldehyde. The data collected here will be important for constraining the air-sea exchange. cycling. and atmospheric impact of these gases. especially over the Southern Ocean.</t>
  </si>
  <si>
    <t>[Wohl, Charel; Brown, Ian; Kitidis, Vassilis; Nightingale, Philip D.; Yang, Mingxi] Plymouth Marine Lab, Plymouth PL1 3DH, Devon, England; [Wohl, Charel; Sturges, William T.; Nightingale, Philip D.] Univ East Anglia, Sch Environm Sci, Ctr Ocean &amp; Atmospher Sci, Norwich NR4 7TJ, Norfolk, England; [Wohl, Charel; Jones, Anna E.] British Antarctic Survey, Madingley Rd, Cambridge CB3 0ET, England; [Nightingale, Philip D.] Rothamsted Res, Sustainable Agr Syst, North Wyke EX20 2SB, Devon, England</t>
  </si>
  <si>
    <t>Plymouth Marine Laboratory; University of East Anglia; UK Research &amp; Innovation (UKRI); Natural Environment Research Council (NERC); NERC British Antarctic Survey; UK Research &amp; Innovation (UKRI); Biotechnology and Biological Sciences Research Council (BBSRC); Rothamsted Research</t>
  </si>
  <si>
    <t>Yang, MX (corresponding author), Plymouth Marine Lab, Plymouth PL1 3DH, Devon, England.</t>
  </si>
  <si>
    <t>miya@pml.ac.uk</t>
  </si>
  <si>
    <t>Yang, Mingxi/ABC-7118-2020; Nightingale, Philip D/I-4324-2012</t>
  </si>
  <si>
    <t>Yang, Mingxi/0000-0002-8321-5984; Nightingale, Philip D/0000-0001-7177-5469; Wohl, Charel/0000-0002-6592-6037; Jones, Anna/0000-0002-2040-4841</t>
  </si>
  <si>
    <t>Natural Environment Research Council through the EnvEast Doctoral Training Partnership [NE/L002582/1]; ORCHESTRA project [NE/N018095/1]; NERC [NE/N018095/1, bas0100032] Funding Source: UKRI</t>
  </si>
  <si>
    <t>Natural Environment Research Council through the EnvEast Doctoral Training Partnership(UK Research &amp; Innovation (UKRI)Natural Environment Research Council (NERC)); ORCHESTRA project; NERC(UK Research &amp; Innovation (UKRI)Natural Environment Research Council (NERC))</t>
  </si>
  <si>
    <t>This work was supported by the Natural Environment Research Council through the EnvEast Doctoral Training Partnership (grant no. NE/L002582/1). A berth on the ANDREXII cruise was secured through the British Antarctic Survey (Collaborative Antarctic Science Scheme). The ANDREXII cruise was financed through the ORCHESTRA project (grant no. NE/N018095/1).</t>
  </si>
  <si>
    <t>10.5194/bg-17-2593-2020</t>
  </si>
  <si>
    <t>LQ8TP</t>
  </si>
  <si>
    <t>WOS:000535271400002</t>
  </si>
  <si>
    <t>Roessler, TY; Wirtz, A; Slater, MJ; Henjes, J</t>
  </si>
  <si>
    <t>Roessler, Tanja Yvonne; Wirtz, Andrea; Slater, Matthew James; Henjes, Joachim</t>
  </si>
  <si>
    <t>Growth performance and RNA/DNA ratio of noble crayfish (Astacus astacus) and narrow-clawed crayfish (Pontastacus leptodactylus) fed fish waste diets</t>
  </si>
  <si>
    <t>AQUACULTURE RESEARCH</t>
  </si>
  <si>
    <t>freshwater crayfish; growth performance; IMTA; integrated aquaponics; RNA; DNA ratio</t>
  </si>
  <si>
    <t>DIGESTIVE ENZYME-ACTIVITY; JUVENILE WHITE SHRIMP; RNA-DNA RATIO; BODY-COMPOSITION; BIOCHEMICAL-COMPOSITION; LIPID-LEVELS; PROTEIN; SURVIVAL; DIGESTIBILITY; CARBOHYDRATE</t>
  </si>
  <si>
    <t>New and viable species for aquaponics and integrated multi-trophic aquaculture (IMTA) in freshwater systems can improve yields and sustainability of aquaculture. Freshwater crayfish species such as Astacus astacus and Pontastacus leptodactylus are omnivorous feeders and considered candidates for feeding on faecal matters in existing aquaculture systems. Feeding trials were conducted to determine growth response and RNA/DNA ratio in freshwater crayfish fed fish waste. Carapace length and wet weight were measured to determine the growth response. Juvenile A. astacus was fed faeces of hybrid striped bass (Morone chrysops x Morone saxatilis) and rainbow trout (Oncorhynchus mykiss), while adult P. leptodactylus was fed with two commercial pellet diets and pikeperch (Sander lucioperca) faeces. The nutritional composition of hybrid striped bass faeces was close to optimal diet composition of A. astacus, and crayfish showed significantly higher carapace growth, weight gain and weight gain per moult as the group fed rainbow trout faeces. The growth of P. leptodactylus was significantly lower in terms of weight gain and weight gain percentage per moult for crayfish fed on pikeperch faeces. Thus, this study can recommend a co-cultivation of hybrid striped bass and A. astacus within one system, but cannot recommend co-cultivation of P. leptodactylus with pikeperch. Additionally, this study showed controversial results of RNA/DNA ratio and weight gain of both crayfish species. Thus, RNA/DNA ratio cannot be approved for investigations on crayfish physiological status in controlled feeding experiments if animals are fed with an inadequate diet.</t>
  </si>
  <si>
    <t>[Roessler, Tanja Yvonne; Slater, Matthew James; Henjes, Joachim] Helmholtz Ctr Polar &amp; Marine Res, Alfred Wegener Inst, Handelshafen 12, D-27570 Bremerhaven, Germany; [Wirtz, Andrea] Univ Tasmania, Inst Marine &amp; Antarctic Studies IMAS, Hobart, Tas, Australia</t>
  </si>
  <si>
    <t>Helmholtz Association; Alfred Wegener Institute, Helmholtz Centre for Polar &amp; Marine Research; University of Tasmania</t>
  </si>
  <si>
    <t>Henjes, J (corresponding author), Helmholtz Ctr Polar &amp; Marine Res, Alfred Wegener Inst, Handelshafen 12, D-27570 Bremerhaven, Germany.</t>
  </si>
  <si>
    <t>joachim.henjes@awi.de</t>
  </si>
  <si>
    <t>Williamson, Andrea/0000-0002-2498-8135; Slater, Matthew James/0000-0001-8588-544X; Henjes, Joachim/0000-0002-6688-8802</t>
  </si>
  <si>
    <t>German Federal Ministry for Economic Affairs and Energy [ZF4010504CS5]</t>
  </si>
  <si>
    <t>German Federal Ministry for Economic Affairs and Energy</t>
  </si>
  <si>
    <t>German Federal Ministry for Economic Affairs and Energy, Grant/Award Number: ZF4010504CS5</t>
  </si>
  <si>
    <t>1355-557X</t>
  </si>
  <si>
    <t>1365-2109</t>
  </si>
  <si>
    <t>AQUAC RES</t>
  </si>
  <si>
    <t>Aquac. Res.</t>
  </si>
  <si>
    <t>10.1111/are.14655</t>
  </si>
  <si>
    <t>NE7SJ</t>
  </si>
  <si>
    <t>WOS:000532700200001</t>
  </si>
  <si>
    <t>Di Fonzo, C; Montalti, D; Ansaldo, M</t>
  </si>
  <si>
    <t>Di Fonzo, Carla; Montalti, Diego; Ansaldo, Martin</t>
  </si>
  <si>
    <t>Blood antioxidant status of Stercorarius maccormicki and Stercorarius antarcticus from Potter Peninsula, 25 de Mayo (King George) Island, Antarctica</t>
  </si>
  <si>
    <t>Antarctica; Skuas; Chick vs adult; Blood antioxidant status; Oxidative stress biomarkers</t>
  </si>
  <si>
    <t>SKUA CATHARACTA-MACCORMICKI; SOUTH POLAR SKUAS; OXIDATIVE STRESS; CIRCULATING ANTIOXIDANTS; BROWN; DIET; RESISTANCE; LONNBERGI; PIGEONS; ASSAY</t>
  </si>
  <si>
    <t>Oxidative stress is considered the main physiological mechanism involved in short- and long-term life histories, operating through the progressive deterioration of tissues, with consequences in the reproductive performance, growth patterns, aging, and survival. Besides, the Antarctic Peninsula environmental change, registered in the last decades, makes essential the antioxidant status knowledge of fauna and flora to optimize current management plans to protect Antarctic wildlife. Therefore, the present study aimed to investigate the differences between the oxidant-antioxidant status in adults and chicks ' blood of the skuas Stercorarius antarcticus and Stercorarius maccormicki. Through spectrophotometric techniques, the enzyme activities of superoxide dismutase (SOD), catalase (CAT), glutathione peroxidase (GPx), and glutathione S-transferase (GST) as well as the level of total glutathione (TG), total protein (TP), lipid peroxidation (LPO), and protein oxidation (PO) were measured. The adults of both species showed higher TG levels than the chicks. S. antarcticus adults were characterized by showing high GST activity and the highest total protein (TP) levels. Instead, S. maccormicki adults showed high levels of oxidative damage (PO and LPO) and high CAT activity. On the other hand, the chicks of both species were typified by the augmented SOD activity compared to those registered in adults. In turn, S. maccormicki chicks had increased GPx activity. Considering the multiple factors that affect the antioxidant status of both skua species, the information reported, herein, is a first promising dataset that would allow giving reference values for them.</t>
  </si>
  <si>
    <t>[Di Fonzo, Carla; Montalti, Diego; Ansaldo, Martin] Inst Antartico Argentino, Lab Ecofisiol &amp; Ecotoxicol, 25 Mayo 1143,B1650HMK, San Martin, Buenos Aires, Argentina; [Montalti, Diego] Consejo Nacl Invest Cient &amp; Tecn, Museo La Plata, Paseo Bosque S-N,B1900FWA, La Plata, Buenos Aires, Argentina</t>
  </si>
  <si>
    <t>Instituto Antartico Argentino; National University of La Plata; Museo La Plata; Consejo Nacional de Investigaciones Cientificas y Tecnicas (CONICET)</t>
  </si>
  <si>
    <t>Ansaldo, M (corresponding author), Inst Antartico Argentino, Lab Ecofisiol &amp; Ecotoxicol, 25 Mayo 1143,B1650HMK, San Martin, Buenos Aires, Argentina.</t>
  </si>
  <si>
    <t>martinansaldo@gmail.com</t>
  </si>
  <si>
    <t>Ansaldo, Martin/0000-0003-4463-5924</t>
  </si>
  <si>
    <t>[PICTO 0091 (FONCyT/DNA-IAA)]</t>
  </si>
  <si>
    <t>The authors acknowledge the Instituto Antartico Argentino staff that collaborated in sampling. This work was totally funded by the PICTO 0091 (FONCyT/DNA-IAA) project.</t>
  </si>
  <si>
    <t>10.1007/s00300-020-02676-5</t>
  </si>
  <si>
    <t>LS2YD</t>
  </si>
  <si>
    <t>WOS:000533040000002</t>
  </si>
  <si>
    <t>Bloom, H; Lodders, K; Chen, H; Zhao, C; Tian, Z; Koefoed, P; Peto, MK; Jiang, Y; Wang, K</t>
  </si>
  <si>
    <t>Bloom, Hannah; Lodders, Katharina; Chen, Heng; Zhao, Chen; Tian, Zhen; Koefoed, Piers; Peto, Maria K.; Jiang, Yun; Wang, Kun</t>
  </si>
  <si>
    <t>Potassium isotope compositions of carbonaceous and ordinary chondrites: Implications on the origin of volatile depletion in the early solar system</t>
  </si>
  <si>
    <t>MC-ICP-MS; CHEMICAL-ANALYSES; SILICATE EARTH; ZN ISOTOPES; METEORITES; PLANETARY; FRACTIONATION; CHONDRULES; CONSTRAINTS; EVOLUTION</t>
  </si>
  <si>
    <t>[Bloom, Hannah; Lodders, Katharina; Chen, Heng; Zhao, Chen; Tian, Zhen; Koefoed, Piers; Wang, Kun] Washington Univ, Dept Earth &amp; Planetary Sci, One Brookings Dr, St Louis, MO 63130 USA; [Bloom, Hannah; Lodders, Katharina; Chen, Heng; Zhao, Chen; Tian, Zhen; Koefoed, Piers; Wang, Kun] Washington Univ, McDonnell Ctr Space Sci, One Brookings Dr, St Louis, MO 63130 USA; [Chen, Heng] Columbia Univ, Lamont Doherty Earth Observ, Palisades, NY 10964 USA; [Zhao, Chen] China Univ Geosci, Fac Earth Sci, Wuhan 430074, Hubei, Peoples R China; [Peto, Maria K.] Res Ctr Astron &amp; Earth Sci, Konkoly Observ, H-1121 Budapest, Hungary; [Jiang, Yun] Chinese Acad Sci, CAS Key Lab Planetary Sci, Purple Mt Observ, Nanjing 210008, Peoples R China; [Jiang, Yun] CAS Ctr Excellence Comparat Planetol, Hefei, Peoples R China</t>
  </si>
  <si>
    <t>Washington University (WUSTL); Washington University (WUSTL); Columbia University; China University of Geosciences; Hungarian Research Network; Hungarian Academy of Sciences; HUN-REN Research Centre for Astronomy &amp; Earth Sciences; Chinese Academy of Sciences; Nanjing Institute of Astronomical Optics &amp; Technology, NAOC, CAS; Purple Mountain Observatory, CAS</t>
  </si>
  <si>
    <t>Wang, K (corresponding author), Washington Univ, Dept Earth &amp; Planetary Sci, One Brookings Dr, St Louis, MO 63130 USA.;Wang, K (corresponding author), Washington Univ, McDonnell Ctr Space Sci, One Brookings Dr, St Louis, MO 63130 USA.</t>
  </si>
  <si>
    <t>wangkun@wustl.edu</t>
  </si>
  <si>
    <t>Tian, Zhen/AAG-6420-2021</t>
  </si>
  <si>
    <t>Tian, Zhen/0000-0003-1758-3559; Koefoed, Piers/0000-0002-4036-6088; Wang, Kun/0000-0003-0691-7058; Lodders, Katharina/0000-0001-7531-626X</t>
  </si>
  <si>
    <t>McDonnell Center for the Space Sciences; WUSTL Office of Undergraduate Research; NSF [AST 1517541]; European Union's Horizon 2020 research and innovation programme under the Marie Sklodowska-Curie grant [753276]; NSFC [41873076]; NASA; Marie Curie Actions (MSCA) [753276] Funding Source: Marie Curie Actions (MSCA)</t>
  </si>
  <si>
    <t>McDonnell Center for the Space Sciences; WUSTL Office of Undergraduate Research; NSF(National Science Foundation (NSF)); European Union's Horizon 2020 research and innovation programme under the Marie Sklodowska-Curie grant(Marie Curie Actions); NSFC(National Natural Science Foundation of China (NSFC)); NASA(National Aeronautics &amp; Space Administration (NASA)); Marie Curie Actions (MSCA)(Marie Curie Actions)</t>
  </si>
  <si>
    <t>We thank the Associate Editor Dr. Thorsten Kleine for prompt handling and editing of this manuscript. We also thank reviewers Dr. Conel Alexander and Dr. Haolan Tang as well as one anonymous reviewer for their thorough comments. We would like to thank Dr. Kevin Righter from NASA Johnson Space Center, and Dr. Philipp Heck from The Field Museum in Chicago for providing samples. We would also like to thank the McDonnell Center for the Space Sciences and WUSTL Office of Undergraduate Research for funding our research endeavors. Work by KL is supported in part by NSF AST 1517541. MKP has received funding from the European Union's Horizon 2020 research and innovation programme under the Marie Sklodowska-Curie grant agreement No 753276. YJ is supported by NSFC (Grant Nos. 41873076).;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</si>
  <si>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LK2VQ</t>
  </si>
  <si>
    <t>WOS:000530720600006</t>
  </si>
  <si>
    <t>Grünenwald, M; Carter, CG; Nichols, DS; Adams, MB; Adams, LR</t>
  </si>
  <si>
    <t>Grunenwald, Martin; Carter, Chris G.; Nichols, David S.; Adams, Mark B.; Adams, Louise R.</t>
  </si>
  <si>
    <t>Heterogeneous astaxanthin distribution in the fillet of Atlantic salmon post-smolt at elevated temperature is not affected by dietary fatty acid composition, metabolic conversion of astaxanthin to idoxanthin, or oxidative stress</t>
  </si>
  <si>
    <t>Atlantic salmon; Pigmentation; Oxidative stress; Elevated temperature; Astaxanthin; Idoxanthin</t>
  </si>
  <si>
    <t>SALAR FED DIETS; FISH-OIL; MEMBRANE-LIPIDS; FLESH QUALITY; L.; MUSCLE; DEPOSITION; COLOR; PERFORMANCE; LIVER</t>
  </si>
  <si>
    <t>Farmed Atlantic salmon in Tasmania are exposed to elevated water temperatures during summer, which is often associated with reduced pigmentation quality. This study tested the effects of the factors: temperature (elevated, 19.4 degrees C (ET) vs. control, 15.2 degrees C), dietary fatty acid (FA) composition (diet 1, high in fish oil vs. diet 2, low in fish oil) and fillet cut (anterior/dorsal cut; ADCT and dorsal Norwegian quality cut (dNQC)) on the concentration of astaxanthin (Axn) in white muscle of salmon post-smolt. After fish doubled initial weights (212 g) at each temperature, the concentration of Axn in muscle was not affected by dietary FA composition, but was higher at ET and higher in the dorsal NQC at ET. In contrast, Axn concentrations between these fillet cuts were the same at the control temperature. The concentration of long chain polyunsaturated FA, which are prone to peroxidation, was generally higher in the fish fed the diet high in fish oil, and in the anterior/dorsal cut. However, the relationships between these FA within triglycerides and phospholipids and the lipid peroxidation product malondialdehyde in white muscle were poor. Further, the concentrations of malondialdehyde showed a poor relationship with Axn in white muscle. There was no idoxanthin in any of the white muscle samples at the analytical detection limit of 0.1 mg/kg. In summary, ET led to higher concentrations of Axn in white muscle, but also to heterogeneous Axn concentrations between the fillet cuts tested. The concentration of Axn in white muscle was not affected by the dietary FA composition and was not associated with oxidative stress or metabolic conversion into idoxanthin in this tissue under the conditions tested. When Axn was expressed per unit of crude protein, the concentration of Axn was higher in the dorsal NQC at ET, indicating that differences of myofibrillar white muscle proteins in their capacity to bind pigment carotenoids may have contributed to the heterogeneous pigment deposition in fillet at ET. Global sea temperatures are anticipated to rise in the future and the implications for aquaculture production must be understood. This study demonstrated the significant effects of temperature on the deposition of pigment carotenoids over the fillet of salmon.</t>
  </si>
  <si>
    <t>[Grunenwald, Martin; Carter, Chris G.; Adams, Mark B.; Adams, Louise R.] Univ Tasmania, Inst Marine &amp; Antarctic Studies, Private Bag 49, Hobart, Tas 7001, Australia; [Nichols, David S.] Univ Tasmania, Cent Sci Lab, Private Bag 51, Hobart, Tas 7001, Australia</t>
  </si>
  <si>
    <t>Grünenwald, M (corresponding author), Biomar Pty Ltd, 212 York St, Launceston, Tas 7250, Australia.</t>
  </si>
  <si>
    <t>Martin.Grunenwald@utas.edu.au; Chris.Carter@utas.edu.au; D.Nichols@utas.edu.au; Mark.Adams@utas.edu.au; Louise.Adams@utas.edu.au</t>
  </si>
  <si>
    <t>Carter, Chris Guy/A-3438-2008; Adams, Louise/J-7558-2014</t>
  </si>
  <si>
    <t>Carter, Chris Guy/0000-0001-5210-1282; Adams, Louise/0000-0001-5535-5253; Nichols, David/0000-0002-8066-3132</t>
  </si>
  <si>
    <t>Skretting Australia; DSM; Australian Government</t>
  </si>
  <si>
    <t>Skretting Australia; DSM; Australian Government(Australian Government)</t>
  </si>
  <si>
    <t>We thank Skretting for the financial support to this project, as well as provision of the kernel and oils, particularly Nicole Ruff from Skretting Australia. We greatly appreciated the financial input of DSM and the carotenoid analysis, especially Viviane Verlhac-Trichet and Joseph Schierle. Greatly appreciated was also financial support and provision of the experimental fish by Petuna. M. Grunenwald was supported by an Australian Government Research Training Program Scholarship during the time of the study.</t>
  </si>
  <si>
    <t>10.1016/j.aquaculture.2020.735096</t>
  </si>
  <si>
    <t>KW6NV</t>
  </si>
  <si>
    <t>WOS:000521282400043</t>
  </si>
  <si>
    <t>Winton, VHL; Ming, A; Caillon, N; Hauge, L; Jones, A; Savarino, J; Yang, X; Frey, MM</t>
  </si>
  <si>
    <t>Winton, V. Holly L.; Ming, Alison; Caillon, Nicolas; Hauge, Lisa; Jones, Anna; Savarino, Joel; Yang, Xin; Frey, Markus M.</t>
  </si>
  <si>
    <t>Deposition, recycling, and archival of nitrate stable isotopes between the air-snow interface: comparison between Dronning Maud Land and Dome C, Antarctica</t>
  </si>
  <si>
    <t>NITROGEN-OXIDES NO; SOUTH-POLE; ICE CORES; ATMOSPHERIC NITROGEN; REACTIVE NITROGEN; EAST ANTARCTICA; DIURNAL VARIABILITY; SPATIAL VARIABILITY; OPTICAL-PROPERTIES; LIGHT PENETRATION</t>
  </si>
  <si>
    <t>The nitrogen stable isotopic composition in nitrate (delta N-15-NO3-) measured in ice cores from low-snow-accumulation regions in East Antarctica has the potential to provide constraints on past ultraviolet (UV) radiation and thereby total column ozone (TCO) due to the sensitivity of nitrate (NO3-) photolysis to UV radiation. However, understanding the transfer of reactive nitrogen at the air-snow interface in polar regions is paramount for the interpretation of ice core records of delta N-15-NO3- and NO3- mass concentrations. As NO 3 undergoes a number of post-depositional processes before it is archived in ice cores, site-specific observations of delta N-15-NO3- and air-snow transfer modelling are necessary to understand and quantify the complex photochemical processes at play. As part of the Isotopic Constraints on Past Ozone Layer Thickness in Polar Ice (ISOL-ICE) project, we report new measurements of NO3- mass concentration and delta N-15-NO3- in the atmosphere, skin layer (operationally defined as the top 5 mm of the snowpack), and snow pit depth profiles at Kohnen Station, Dronning Maud Land (DML), Antarctica. We compare the results to previous studies and new data, presented here, from Dome C on the East Antarctic Plateau. Additionally, we apply the conceptual 1D model of TRansfer of Atmospheric Nitrate Stable Isotopes To the Snow (TRANSITS) to assess the impact of NO3- recycling on delta N-15-NO3- and NO3- mass concentrations archived in snow and firn. We find clear evidence of NO3- photolysis at DML and confirmation of previous theoretical, field, and laboratory studies that UV photolysis is driving NO3- recycling and redistribution at DML. Firstly, strong denitrification of the snowpack is observed through the delta N-15-NO3- signature, which evolves from the enriched snowpack (-3 parts per thousand to 100 parts per thousand), to the skin layer (-20 parts per thousand to 3 parts per thousand), to the depleted atmosphere (-50% to -2 parts per thousand), corresponding to mass loss of NO3- from the snowpack. Based on the TRANSITS model, we find that NO3- is recycled two times, on average, before it is archived in the snowpack below 15 cm and within 0.75 years (i.e. below the photic zone). Mean annual archived delta N-15-NO3- and NO3- mass concentration values are 50 parts per thousand and 60 ng g(-1), respectively, at the DML site. We report an e-folding depth (light attenuation) of 2-5 cm for the DML site, which is considerably lower than Dome C. A reduced photolytic loss of NO3- at DML results in less enrichment of delta N-15-NO3- than at Dome C mainly due to the shallower e-folding depth but also due to the higher snow accumulation rate based on TRANSITS-modelled sensitivities. Even at a relatively low snow accumulation rate of 6 cm yr(-1) (water equivalent; w.e. ), the snow accumulation rate at DML is great enough to preserve the seasonal cycle of NO3- mass concentration and delta N-15-NO3-, in contrast to Dome C where the depth profiles are smoothed due to longer exposure of surface snow layers to incoming UV radiation before burial. TRANSITS sensitivity analysis of delta N-15-NO3- at DML highlights that the dominant factors controlling the archived delta N-15-NO3- signature are the e-folding depth and snow accumulation rate, with a smaller role from changes in the snowfall timing and TCO. Mean TRANSITS model sensitivities of archived delta N-15-NO3- at the DML site are 100% for an e-folding depth change of 8 cm, 110% for an annual snow accumulation rate change of 8.5 cm yr(-1) w.e., 10% for a change in the dominant snow deposition season between winter and summer, and 10% for a TCO change of 100DU (Dobson units). Here we set the framework for the interpretation of a 1000-year ice core record of delta N-15-NO3- from DML. Ice core delta N-15-NO3- records at DML will be less sensitive to changes in UV than at Dome C; however the higher snow accumulation rate and more accurate dating at DML allows for higher-resolution delta N-15-NO3- records.</t>
  </si>
  <si>
    <t>[Winton, V. Holly L.; Ming, Alison; Hauge, Lisa; Jones, Anna; Yang, Xin; Frey, Markus M.] British Antarctic Survey, Cambridge CB3 0ET, England; [Caillon, Nicolas; Savarino, Joel] Univ Grenoble Alpes, CNRS, IRD, Grenoble INP,IGE, F-38000 Grenoble, France</t>
  </si>
  <si>
    <t>UK Research &amp; Innovation (UKRI); Natural Environment Research Council (NERC); NERC British Antarctic Survey; Institut de Recherche pour le Developpement (IRD); Communaute Universite Grenoble Alpes; Universite Grenoble Alpes (UGA); Institut National Polytechnique de Grenoble; Centre National de la Recherche Scientifique (CNRS)</t>
  </si>
  <si>
    <t>Winton, VHL (corresponding author), British Antarctic Survey, Cambridge CB3 0ET, England.</t>
  </si>
  <si>
    <t>holly.winton@vuw.ac.nz</t>
  </si>
  <si>
    <t>Frey, Markus/G-1756-2012; Yang, Xin/AGB-3514-2022; Winton, Holly/J-5486-2019; Caillon, Nicolas/B-7127-2019; savarino, joel/H-9730-2012</t>
  </si>
  <si>
    <t>Frey, Markus/0000-0003-0535-0416; Yang, Xin/0000-0002-3838-9758; Winton, Holly/0000-0001-7112-6768; Caillon, Nicolas/0000-0002-6318-6194; savarino, joel/0000-0002-6708-9623; Jones, Anna/0000-0002-2040-4841</t>
  </si>
  <si>
    <t>National Environment Research Council (NERC) [NE/N011813/1]; University of Cambridge Doctoral Training Programme (DTP); Institut Polaire Francais IPEV [1011/1177]; French National Research Agency (Investissements d'avenir grant) [ANR-15-IDEX-02]; LabEx OSUG@2020 [ANR10 LABX56]; French National Research Agency (EAIIST grant) [ANR-16-CE01-0011-01]; NERC [NE/N011813/1] Funding Source: UKRI</t>
  </si>
  <si>
    <t>National Environment Research Council (NERC)(UK Research &amp; Innovation (UKRI)Natural Environment Research Council (NERC)); University of Cambridge Doctoral Training Programme (DTP); Institut Polaire Francais IPEV; French National Research Agency (Investissements d'avenir grant)(Agence Nationale de la Recherche (ANR)); LabEx OSUG@2020; French National Research Agency (EAIIST grant)(Agence Nationale de la Recherche (ANR)); NERC(UK Research &amp; Innovation (UKRI)Natural Environment Research Council (NERC))</t>
  </si>
  <si>
    <t>This project was supported by a National Environment Research Council (NERC) Standard Grant (NE/N011813/1) to Markus M. Frey. V. Holly L. Winton would like to thank the University of Cambridge Doctoral Training Programme (DTP) for funding a NERC Research Experience Project (REP) that contributed to this research. Field collection of samples at Dome C was made possible through the programme SUNITEDC/CAPOXI (grant 1011/1177) funded by the Institut Polaire Francais IPEV. Joel Savarino and Nicolas Caillon thank the French National Research Agency (Investissements d'avenir grant ANR-15-IDEX-02 and EAIIST grant ANR-16-CE01-0011-01) and the INSU programme LEFE-CHAT for supporting the stable isotope laboratory. This is publication 1 of PANDA platform on which isotope analyses were performed. PANDA was partially funded by the LabEx OSUG@2020 (ANR10 LABX56).</t>
  </si>
  <si>
    <t>10.5194/acp-20-5861-2020</t>
  </si>
  <si>
    <t>WOS:000535264700003</t>
  </si>
  <si>
    <t>Liu, B; Pan, SK</t>
  </si>
  <si>
    <t>Liu, Bing; Pan, Saikun</t>
  </si>
  <si>
    <t>Effect of chitosan coatings incorporated sodium phytate on the shelf-life of Antarctic krill (Euphausia superba)</t>
  </si>
  <si>
    <t>Chitosan; Sodium phytate; Antarctic krill</t>
  </si>
  <si>
    <t>SHRIMP; QUALITY</t>
  </si>
  <si>
    <t>Chitosan is a preservative with potent antibacterial activity, and sodium phytate has antioxidant activity and potent ion chelating ability. The present work aimed to explore the effects of chitosan coating combined with sodium phytate (0.1% sodium phytate + 1% chitosan) on preserving Antarctic krill (Euphausia superba) during partially frozen storage. Treatment of chitosan coating combined with sodium phytate significantly suppressed microbial growth, the increases in pH value, total volatile basic nitrogen and sensory deterioration of Antarctic krill (E. superba) during partially frozen storage. Therefore, chitosan coating combined with sodium phytate may be a practical method to suppress quality deterioration of Antarctic krill and thus extend its shelf life. (C) 2020 Elsevier B.V. All rights reserved.</t>
  </si>
  <si>
    <t>[Liu, Bing; Pan, Saikun] Jiangsu Ocean Univ, Jiangsu Key Lab Marine Bioresources &amp; Environm, 59 Cangwu Rd, Haizhou 222005, Peoples R China; [Liu, Bing; Pan, Saikun] Coinnovat Ctr Jiangsu Marine Bioind Technol, 59 Cangwu Rd, Haizhou 222005, Peoples R China; [Liu, Bing; Pan, Saikun] Jiangsu Key Lab Marine Biotechnol, 59 Cangwu Rd, Haizhou 222005, Peoples R China</t>
  </si>
  <si>
    <t>Jiangsu Ocean University</t>
  </si>
  <si>
    <t>Pan, SK (corresponding author), Jiangsu Ocean Univ, Jiangsu Key Lab Marine Bioresources &amp; Environm, 59 Cangwu Rd, Haizhou 222005, Peoples R China.</t>
  </si>
  <si>
    <t>pskgx@jou.edu.cn</t>
  </si>
  <si>
    <t>Priority Academic Program Development of Jiangsu Higher Education Institutions (PAPD); Jiangsu Key Laboratory of Marine Biotechnology, China [HS16002]; Jiangsu provincial Six Talent Peaks [NY-197]; fifth 521 project scientific research project of Lianyungang, China</t>
  </si>
  <si>
    <t>Priority Academic Program Development of Jiangsu Higher Education Institutions (PAPD); Jiangsu Key Laboratory of Marine Biotechnology, China; Jiangsu provincial Six Talent Peaks; fifth 521 project scientific research project of Lianyungang, China</t>
  </si>
  <si>
    <t>This research was supported by A Project Funded by the Priority Academic Program Development of Jiangsu Higher Education Institutions (PAPD), Open Fund of Jiangsu Key Laboratory of Marine Biotechnology, China (HS16002), A class sponsored project of Jiangsu provincial Six Talent Peaks (NY-197) and The fifth 521 project scientific research project of Lianyungang, China.</t>
  </si>
  <si>
    <t>10.1016/j.ijbiomac.2020.02.148</t>
  </si>
  <si>
    <t>LG7HN</t>
  </si>
  <si>
    <t>WOS:000528267400007</t>
  </si>
  <si>
    <t>Cagnacci, J; Estravis-Barcala, M; Lia, MV; Martínez-Meier, A; Polo, MG; Arana, MV</t>
  </si>
  <si>
    <t>Cagnacci, J.; Estravis-Barcala, M.; Lia, M., V; Martinez-Meier, A.; Gonzalez Polo, M.; Arana, M., V</t>
  </si>
  <si>
    <t>The impact of different natural environments on the regeneration dynamics of two Nothofagus species across elevation in the southern Andes</t>
  </si>
  <si>
    <t>FOREST ECOLOGY AND MANAGEMENT</t>
  </si>
  <si>
    <t>Altitudinal gradient; Climate change; Nothofagus; Regeneration; Relative air humidity; Temperature</t>
  </si>
  <si>
    <t>ABIES-LASIOCARPA SEEDLINGS; SEED SIZE; PLANT; GROWTH; GERMINATION; SURVIVAL; TRAITS; PHOTOSYNTHESIS; ESTABLISHMENT; COMMUNITIES</t>
  </si>
  <si>
    <t>A widely accepted paradigm in forest ecology proposes that patterns of relative abundance among mature forest trees are largely influenced by biotic and abiotic processes that operate most intensely during the earliest life-cycle stages. Therefore, traits expressed early in development such as germination and seedling establishment may be under strong selective pressure from the environment, and their adjustment to changing climates may ultimately influence species' responses to global climate change. Here we used different environments established across altitude in an old-growth temperate Patagonian forest as a natural laboratory, and studied the Nothofagus obliqua and N. pumilio regeneration response - seedling emergence and survival -to different climatic scenarios, inside and outside their natural distribution range. These are two iconic species of sub-Antarctic forests, which co-exist in contrasting and non-overlapping thermal niches. Whereas N. obliqua is predominant in the warmer and lower environments at 650-850 m above sea level (a.s.l.), N. pumilio inhabits the colder and higher montane environments, above 1000 m a.s.l. By sowing germinated seeds of both species at different altitudes in the forest - 680, 930 and 1340 m a.s.l. - we were able to distinguish the environmental influence on seedling emergence from its influence on germination. Our results show that the local environment had a major effect on seedling survival, and a minor influence on emergence. Overall, regeneration of both species showed a temporal window of stronger environmental susceptibility, which comprised the process of emergence, and in the particular case of N. obliqua, the first month of post-emergence growth. Survival ability was influenced by the ontogenetic stage of the seedling, evidencing stronger environmental resistance and higher probability of survival after the first year of growth. Interestingly, we found inter-specific differences in survival dynamics and the final number of surviving seedlings, which may reflect species-specific physiological adaptations and tolerance to abiotic stress. However, the performance of both species was favored in relatively colder environments inside their natural ranges. This indicates that present climatic conditions in the lower zones of the gradient exert physiological constraints at seedling stage, even in N. obliqua, which shows high abundance of adult trees at these alludes. Results reported here were consistent across two independent experiments and will be discussed in the context of forest regeneration in present and future climatic scenarios.</t>
  </si>
  <si>
    <t>[Cagnacci, J.; Martinez-Meier, A.; Arana, M., V] Consejo Nacl Invest Cient &amp; Tecn, Inst Nacl Tecnol Agr, Inst Invest Forestales &amp; Agron Bariloche IFAB, Modesta Victoria 4450,R8402DVZ, San Carlos De Bariloche, Rio Negro, Argentina; [Estravis-Barcala, M.] Univ Nacl Comahue, Inst Andino Patagon Tecnol Biol &amp; Geoambientales, Consejo Nacl Invest Cient &amp; Tecn, Av Pioneros 2350, San Carlos De Bariloche, Rio Negro, Argentina; [Lia, M., V] Consejo Nacl Invest Cient &amp; Tecn, Inst Nacl Tecnol Agr, Inst Agrobiotecnol &amp; Biol Mol IABIMO, Nicolas Repetto &amp; Los Reseros S-N,B1686K6, Hurlingham, Buenos Aires, Argentina; [Gonzalez Polo, M.] Univ Nacl Comahue, Inst Invest Biodiversidad &amp; Medioambiente, Consejo Nacl Invest Cient &amp; Tecn, Quintral 1250,R8400FRF, San Carlos De Bariloche, Rio Negro, Argentina</t>
  </si>
  <si>
    <t>Instituto Nacional de Tecnologia Agropecuaria (INTA); Consejo Nacional de Investigaciones Cientificas y Tecnicas (CONICET); Universidad Nacional del Comahue; Consejo Nacional de Investigaciones Cientificas y Tecnicas (CONICET); Instituto Nacional de Tecnologia Agropecuaria (INTA); Consejo Nacional de Investigaciones Cientificas y Tecnicas (CONICET); Universidad Nacional del Comahue; Consejo Nacional de Investigaciones Cientificas y Tecnicas (CONICET)</t>
  </si>
  <si>
    <t>Arana, MV (corresponding author), Consejo Nacl Invest Cient &amp; Tecn, Inst Nacl Tecnol Agr, Inst Invest Forestales &amp; Agron Bariloche IFAB, Modesta Victoria 4450,R8402DVZ, San Carlos De Bariloche, Rio Negro, Argentina.</t>
  </si>
  <si>
    <t>arana@agro.uba.ar</t>
  </si>
  <si>
    <t>Estravis Barcala, Maximiliano/ABA-6391-2021; ARANA, MARIA/KEH-9587-2024; GonzalezPolo, Marina/KFR-2509-2024</t>
  </si>
  <si>
    <t>Estravis Barcala, Maximiliano/0000-0002-0337-023X; Martinez-Meier, Alejandro/0000-0001-9139-8023; Arana, Maria Veronica/0000-0002-9483-7906</t>
  </si>
  <si>
    <t>Consejo Nacional de Investigaciones Cientificas y Tecnicas (CONICET), Argentina [PIP: 11220150100237CO]; Instituto Nacional de Tecnologia Agropecuaria (INTA), Argentina [PNFOR-044321]; Agencia Nacional de Promocion Cientifica y Tecnologica (ANPCyT) [PICT 2017-2656]; CONICET doctoral fellowships</t>
  </si>
  <si>
    <t>Consejo Nacional de Investigaciones Cientificas y Tecnicas (CONICET), Argentina(Consejo Nacional de Investigaciones Cientificas y Tecnicas (CONICET)); Instituto Nacional de Tecnologia Agropecuaria (INTA), Argentina; Agencia Nacional de Promocion Cientifica y Tecnologica (ANPCyT)(ANPCyTSpanish Government); CONICET doctoral fellowships</t>
  </si>
  <si>
    <t>This work was supported by Consejo Nacional de Investigaciones Cientificas y Tecnicas (CONICET), Argentina, grant number: PIP: 11220150100237CO; Instituto Nacional de Tecnologia Agropecuaria (INTA), Argentina, grant number: PNFOR-044321 and Agencia Nacional de Promocion Cientifica y Tecnologica (ANPCyT), grant number: PICT 2017-2656. We thank Dr. Paula Marchelli and Dr. Mario Pstorino for their help during the first stages of the experiments. We thank Nahuel Huapi and Lanin National Parks for permissions for seed collection and field experiments. We are particularly grateful to M. Penalba, L. Lozano, M. Fernandez and M. Lara, M. Fernandez and C.Clericci (Lanin National Park) for their support and advice during experiments in the altitudinal gradient. J.C. and M.E.-B. were supported by CONICET doctoral fellowships.</t>
  </si>
  <si>
    <t>0378-1127</t>
  </si>
  <si>
    <t>1872-7042</t>
  </si>
  <si>
    <t>FOREST ECOL MANAG</t>
  </si>
  <si>
    <t>For. Ecol. Manage.</t>
  </si>
  <si>
    <t>10.1016/j.foreco.2020.118034</t>
  </si>
  <si>
    <t>Forestry</t>
  </si>
  <si>
    <t>LG6EI</t>
  </si>
  <si>
    <t>WOS:000528191300002</t>
  </si>
  <si>
    <t>Steinbrink, L; Gohl, K; Riefstahl, F; Davy, B; Carter, L</t>
  </si>
  <si>
    <t>Steinbrink, Lara; Gohl, Karsten; Riefstahl, Florian; Davy, Bryan; Carter, Lionel</t>
  </si>
  <si>
    <t>Late Cretaceous to recent ocean-bottom currents in the SW Pacific Gateway, southeastern Chatham Rise, New Zealand</t>
  </si>
  <si>
    <t>PALAEOGEOGRAPHY PALAEOCLIMATOLOGY PALAEOECOLOGY</t>
  </si>
  <si>
    <t>Contourites; Sediment drifts; Deep Western Boundary Current; Tasmanian Gateway; Marshall Paraconformity</t>
  </si>
  <si>
    <t>WESTERN-BOUNDARY CURRENT; BOUNTY TROUGH; PLATE REORGANIZATION; DEEP; CIRCULATION; EVOLUTION; ALREADY; BENEATH; INFLOW; MARGIN</t>
  </si>
  <si>
    <t>Sedimentary drifts archive the history of the ocean-bottom current dynamics. Bottom currents associated with the Pacific Deep Western Boundary Current (DWBC) along the submarine continental margin off southern and eastern New Zealand are of particular interest because of their potential to contain records of changes in the SW Pacific circulation. Analysis of multi-channel seismic reflection data from the RV Sonne expedition SO246 together with earlier seismic data enabled us to reconstruct bottom currents and map sediment deposits along the southeastern Chatham Rise margin for the past 80 million years. The seismic records are supplemented by sub-bottom profiler and bathymetric data, which provide detailed information on the youngest stratigraphy, sedimentary structures and bathymetry. This approach allows time-dependent mapping of sedimentary deposits and reconstruction of current regimes. The opening of the Tasmanian Gateway in the early Oligocene led to the development of the DWBC, which influenced regional sedimentary processes. However, the occurrence of bottom current activity prior to opening the Tasmanian Gateway suggests the existence of a proto-DWBC. Increased bottom current activity in the Miocene indicates a change to a more dynamic circulation regime in the SW Pacific, consistent with intensification of Antarctic glaciation and increased Antarctic Bottom Water formation. Plio/Pleistocene records indicate a weakening of the bottom-water energy along the Chatham Rise margin. Overall, sediment deposition was widespread before gateway opening, almost non-existent in the Oligocene and sparse in the Neogene.</t>
  </si>
  <si>
    <t>[Steinbrink, Lara; Gohl, Karsten; Riefstahl, Florian] Helmholtz Ctr Polar &amp; Marine Res, Alfred Wegener Inst, Bremerhaven, Germany; [Davy, Bryan] GNS Sci, Lower Hutt, New Zealand; [Carter, Lionel] Victoria Univ Wellington, Wellington, New Zealand</t>
  </si>
  <si>
    <t>Helmholtz Association; Alfred Wegener Institute, Helmholtz Centre for Polar &amp; Marine Research; GNS Science - New Zealand; Victoria University Wellington</t>
  </si>
  <si>
    <t>Steinbrink, L (corresponding author), Helmholtz Ctr Polar &amp; Marine Res, Alfred Wegener Inst, Bremerhaven, Germany.</t>
  </si>
  <si>
    <t>lara.steinbrink@outlook.de</t>
  </si>
  <si>
    <t>Gohl, Karsten/0000-0002-9558-2116; Riefstahl, Florian/0000-0002-1198-1698</t>
  </si>
  <si>
    <t>German Federal Ministry of Education and Research (BMBF) [03G0246A]; Alfred Wegener Institute through its Research Program PACES-II, Workpackage 3.2; GNS Science EEZ Research Program</t>
  </si>
  <si>
    <t>German Federal Ministry of Education and Research (BMBF)(Federal Ministry of Education &amp; Research (BMBF)); Alfred Wegener Institute through its Research Program PACES-II, Workpackage 3.2; GNS Science EEZ Research Program</t>
  </si>
  <si>
    <t>We are grateful to Captain Oliver Meyer and his crew for their support of the scientific teams during the RV Sonne expedition SO246. The seismic reflection acquisition team, led by Katharina Hochmuth, is gratefully acknowledged. The expedition and project was funded by the German Federal Ministry of Education and Research (BMBF) through grant no. 03G0246A to K.G., institutional funds of the Alfred Wegener Institute through its Research Program PACES-II, Workpackage 3.2, and the GNS Science EEZ Research Program. The data are available from the institutional data repositories of the Alfred Wegener Institute and GNS Science. We are grateful for seismic reflection data made available by the New Zealand UNCLOS project. We would like to thank Emerson E&amp; P Software, Emerson Automation Solutions, for providing licenses for the seismic software Paradigm in the scope of the Emerson Academic Program. Maps were created with Generic Mapping Tools (Wessel and Smith, 1998). We thank the editor and two anonymous reviewers for their helpful comments and suggestions on the manuscript.</t>
  </si>
  <si>
    <t>0031-0182</t>
  </si>
  <si>
    <t>1872-616X</t>
  </si>
  <si>
    <t>PALAEOGEOGR PALAEOCL</t>
  </si>
  <si>
    <t>Paleogeogr. Paleoclimatol. Paleoecol.</t>
  </si>
  <si>
    <t>10.1016/j.palaeo.2020.109633</t>
  </si>
  <si>
    <t>Geography, Physical; Geosciences, Multidisciplinary; Paleontology</t>
  </si>
  <si>
    <t>Physical Geography; Geology; Paleontology</t>
  </si>
  <si>
    <t>LE6IA</t>
  </si>
  <si>
    <t>WOS:000526826100014</t>
  </si>
  <si>
    <t>Meseguer-Ruiz, O; Cortesi, N; Guijarro, JA; Sarricolea, P</t>
  </si>
  <si>
    <t>Meseguer-Ruiz, Oliver; Cortesi, Nicola; Guijarro, Jose A.; Sarricolea, Pablo</t>
  </si>
  <si>
    <t>Weather regimes linked to daily precipitation anomalies in Northern Chile</t>
  </si>
  <si>
    <t>ATMOSPHERIC RESEARCH</t>
  </si>
  <si>
    <t>Weather regimes; Northern Chile; Altiplano; Atacama Desert; Geopotential height; Megadrought</t>
  </si>
  <si>
    <t>EXTREME PRECIPITATION; CLIMATE VARIABILITY; AMERICAN SECTOR; SOUTH-AMERICA; TRENDS; ATLANTIC; RAINFALL; WIND; TEMPERATURES; MEGADROUGHT</t>
  </si>
  <si>
    <t>Northern Chile is one of the most arid regions in the world, with precipitation mainly occurring during austral summer, between December and April. The aim of this study is to classify the main weather regimes derived from sea level pressure, surface wind speed, 500 or 250 hPa geopotential heights, in order to measure their influence on precipitation anomalies and determine if they can be considered sources of predictability of rainfall in this region. Four weather regimes were found to optimally describe atmospheric circulation in the study area during 1966-2015 and for each of the four levels described above. Using daily precipitation data from a network of 161 meteorological stations across the region, the rainfall anomalies associated with each weather regime were quantified. They are coherent with the direction of flow derived from pressure and geopotential anomalies, bringing humid air masses from the Amazon Basin or the Pacific. The transitions between the different regimes are also coherent, representing transitions to and from similar regimes. A few negative and significant trends in the persistence of different regimes were detected, most likely linked to the absence of anthropogenic warming in the Antarctic as opposed to the Arctic. Finally, two of the regimes derived from surface wind speed exhibit a negative and significant trend in its frequency of occurrence, determining a precipitation decrease in the south of the study area (28-30 degrees S), which can be compared with the Megadrought experienced in central Chile.</t>
  </si>
  <si>
    <t>[Meseguer-Ruiz, Oliver] Univ Tarapaca, Dept Ciencias Hist &amp; Geograf, 18 Septiembre 2222, Arica, Chile; [Cortesi, Nicola] Barcelona Supercomp Ctr BSC CNS, Earth Sci Dept, Barcelona, Spain; [Guijarro, Jose A.] Balearic Isl Off, State Meteorol Agcy AEMET, Palma De Mallorca, Spain; [Sarricolea, Pablo] Univ Chile, Dept Geog, Santiago, Chile</t>
  </si>
  <si>
    <t>Universidad de Tarapaca; Universitat Politecnica de Catalunya; Barcelona Supercomputer Center (BSC-CNS); Agencia Estatal de Meteorologia (AEMET); Universidad de Chile</t>
  </si>
  <si>
    <t>Meseguer-Ruiz, O (corresponding author), Univ Tarapaca, Dept Ciencias Hist &amp; Geograf, 18 Septiembre 2222, Arica, Chile.</t>
  </si>
  <si>
    <t>omeseguer@academicos.uta.cl; nicola.cortesi@bsc.es; jguijarrop@aemet.es; psarricolea@uchilefau.cl</t>
  </si>
  <si>
    <t>Sarricolea, Pablo/I-3246-2013; Guijarro, José A/L-3744-2014; Meseguer-Ruiz, Oliver/K-7886-2017</t>
  </si>
  <si>
    <t>Sarricolea, Pablo/0000-0002-6679-2798; Meseguer-Ruiz, Oliver/0000-0002-2222-6137</t>
  </si>
  <si>
    <t>FONDECYT Project [11160059]; Climatology Group [2017 SGR 1362]; Spanish Ministry of Economy and Competitiveness (MINECO) as part of the Juan de la Cierva - Incorporacion grant [BOE-A-2010-3694]; New European Wind Atlas (NEWA) project [PCIN-2016-029]; Subseasonal to Seasonal for Energy (S2S4E) project [H2020-SC5-2016-2017]; CLICES Project [CGL2017-83866-C3-2-R]</t>
  </si>
  <si>
    <t>FONDECYT Project(Comision Nacional de Investigacion Cientifica y Tecnologica (CONICYT)CONICYT FONDECYT); Climatology Group; Spanish Ministry of Economy and Competitiveness (MINECO) as part of the Juan de la Cierva - Incorporacion grant; New European Wind Atlas (NEWA) project; Subseasonal to Seasonal for Energy (S2S4E) project; CLICES Project</t>
  </si>
  <si>
    <t>The authors want to thank the support of the FONDECYT Project 11160059 (Chilean Government), the Climatology Group (2017 SGR 1362, Catalan Government), the Spanish Ministry of Economy and Competitiveness (MINECO) as part of the Juan de la Cierva - Incorporacion grant (BOE-A-2010-3694), the New European Wind Atlas (NEWA) project (PCIN-2016-029), the Subseasonal to Seasonal for Energy (S2S4E) project (H2020-SC5-2016-2017), and the CLICES Project (CGL2017-83866-C3-2-R). The authors also acknowledge the s2d verification R-language-based software package developers, as this package was used for the data analysis and the visualization of the results presented in this work.</t>
  </si>
  <si>
    <t>0169-8095</t>
  </si>
  <si>
    <t>1873-2895</t>
  </si>
  <si>
    <t>ATMOS RES</t>
  </si>
  <si>
    <t>Atmos. Res.</t>
  </si>
  <si>
    <t>10.1016/j.atmosres.2019.104802</t>
  </si>
  <si>
    <t>LC4VC</t>
  </si>
  <si>
    <t>WOS:000525322900027</t>
  </si>
  <si>
    <t>Garcia, MD; Dutto, MS; Chazarreta, CJ; Berasategui, AA; Schloss, IR; Hoffmeyer, MS</t>
  </si>
  <si>
    <t>Garcia, Maximiliano D.; Sofia Dutto, M.; Chazarreta, Carlo J.; Berasategui, Anabela A.; Schloss, Irene R.; Hoffmeyer, Monica S.</t>
  </si>
  <si>
    <t>Micro- and mesozooplankton successions in an Antarctic coastal environment during a warm year</t>
  </si>
  <si>
    <t>KING GEORGE ISLAND; SEA-ICE; CLIMATE-CHANGE; COMMUNITY COMPOSITION; EUPHAUSIA-SUPERBA; AMUNDSEN SEA; POTTER COVE; POLAR FRONT; PACK-ICE; PHYTOPLANKTON</t>
  </si>
  <si>
    <t>The rapid increase in atmospheric temperature detected in the last decades in the Western Antarctic Peninsula was accompanied by a strong glacier retreat and an increase in production of melting water, as well as changes in the sea-ice dynamic. The objective of this study was to analyze the succession of micro- and mesozooplankton during a warm annual cycle (December 2010-December 2011) in an Antarctic coastal environment (Potter Cove). The biomass of zooplankton body size classes was used to predict predator-prey size relationships (i.e., to test bottom-up/top-down control effects) using a Multiple Linear Regression Analysis. The micro- and mesozooplanktonic successions were graphically analyzed to detect the influence of environmental periods (defined by the degree of glacial melting, seaice freezing and sea-ice melting) on coupling/uncoupling planktonic biomass curves associated to possible predator-prey size relationship scenarios. At the beginning of the glacial melting, medium and large mesozooplankton (calanoid copepods, Euphausia superba, and Salpa thompsoni) exert a top-down control on Chl-a and microzooplankton. Stratification of the water column benefitted the availability of adequate food-size (Chl-a &lt;20) for large microzooplankton (tintinnids) development observed during fall. High abundance of omnivores mesozooplankton (Oithona similis and furcilia of E. superba) during sea-ice freezing periods would be due to the presence of available heterotrophic food under or within the sea ice. Finally, the increase in microzooplankton abundance in the middle of spring, when seaice melting starts, corresponded to small and medium dinoflagellates and ciliates species, which were possibly part of the biota of sea ice. If glacier retreat continues and the duration and thickness of the sea ice layer fluctuates as predicted by climate models, our results predict a future scenario regarding the zooplankton succession in Antarctic coastal environments.</t>
  </si>
  <si>
    <t>[Garcia, Maximiliano D.; Sofia Dutto, M.; Chazarreta, Carlo J.; Berasategui, Anabela A.; Hoffmeyer, Monica S.] Univ Nacl Sur UNS, Inst Argentino Oceanog IADO CONICET, Bahia Blanca, Buenos Aires, Argentina; [Schloss, Irene R.] Inst Antartico Argentino IAA, Buenos Aires, San Martin, Argentina; [Schloss, Irene R.] Ctr Austral Invest Cientificas CADIC CONICET, Ushuaia, Argentina; [Schloss, Irene R.] Univ Nacl Tierra Fuego, Antartida &amp; Islas Atlantico UNTdF, Ushuaia, Argentina; [Hoffmeyer, Monica S.] Univ Tecnol Nacl UTN, Fac Reg Bahia Blanca, Bahia Blanca, Buenos Aires, Argentina</t>
  </si>
  <si>
    <t>Consejo Nacional de Investigaciones Cientificas y Tecnicas (CONICET); National University of the South</t>
  </si>
  <si>
    <t>Garcia, MD (corresponding author), Univ Nacl Sur UNS, Inst Argentino Oceanog IADO CONICET, Bahia Blanca, Buenos Aires, Argentina.</t>
  </si>
  <si>
    <t>maxidg6@yahoo.com.ar</t>
  </si>
  <si>
    <t>Garcia, Maximiliano D./AAB-2490-2022</t>
  </si>
  <si>
    <t>Garcia, Maximiliano D./0000-0001-6089-7612</t>
  </si>
  <si>
    <t>Agencia Nacional de Promocion Cientifica y Tecnologica (ANPCyT); Direccion Nacional del Antartico/Instituto Antartico Argentino (DNA/IAA) [PICTO 355622005, PICT 2011-1320]</t>
  </si>
  <si>
    <t>Agencia Nacional de Promocion Cientifica y Tecnologica (ANPCyT)(ANPCyTSpanish Government); Direccion Nacional del Antartico/Instituto Antartico Argentino (DNA/IAA)</t>
  </si>
  <si>
    <t>Funding was provided by Agencia Nacional de Promocion Cientifica y Tecnologica (ANPCyT; http://www.agencia.mincyt.gob.ar/index.php) and Direccion Nacional del Antartico/Instituto Antartico Argentino (DNA/IAA; https://cancilleria.gob.ar/es/iniciativas/dna/) to IRS (PICTO 355622005 and PICT 2011-1320) during the development of this study. The funders had no role in study design, data collection and analysis, decision to publish, or preparation of the manuscript.</t>
  </si>
  <si>
    <t>MAY 14</t>
  </si>
  <si>
    <t>e0232614</t>
  </si>
  <si>
    <t>10.1371/journal.pone.0232614</t>
  </si>
  <si>
    <t>LU0YZ</t>
  </si>
  <si>
    <t>WOS:000537490700026</t>
  </si>
  <si>
    <t>Lacerda, ALDF; Proietti, MC; Secchi, ER; Taylor, JD</t>
  </si>
  <si>
    <t>Lacerda, Ana L. d. F.; Proietti, Maira C.; Secchi, Eduardo R.; Taylor, Joe D.</t>
  </si>
  <si>
    <t>Diverse groups of fungi are associated with plastics in the surface waters of the Western South Atlantic and the Antarctic Peninsula</t>
  </si>
  <si>
    <t>antarctica; DNA metabarcoding; fungi; marine; plastics; plastisphere</t>
  </si>
  <si>
    <t>SEQUENCING REVEALS; MARINE; MICROPLASTICS; COMMUNITIES; INGESTION; DEBRIS; BIODEGRADATION; IDENTIFICATION; MACROALGAE; DISPERSAL</t>
  </si>
  <si>
    <t>Marine plastic pollution has a range of negative impacts for biota and the colonization of plastics in the marine environment by microorganisms may have significant ecological impacts. However, data on epiplastic organisms, particularly fungi, is still lacking for many ocean regions. To evaluate plastic associated fungi and their geographic distribution, we characterised plastics sampled from surface waters of the western South Atlantic (WSA) and Antarctic Peninsula (AP), using DNA metabarcoding of three molecular markers (ITS2, 18S rRNA V4 and V9 regions). Numerous taxa from eight fungal phyla and a total of 64 orders were detected, including groups that had not yet been described associated with plastics. There was a varied phylogenetic assemblage of predominantly known saprotrophic taxa within the Ascomycota and Basidiomycota. We found a range of marine cosmopolitan genera present on plastics in both locations, i.e., Aspergillus, Cladosporium, Wallemia and a number of taxa unique to each region, as well as a high variation of taxa such as Chytridiomycota and Aphelidomycota between locations. Within these basal fungal groups we identified a number of phylogenetically novel taxa. This is the first description of fungi from the Plastisphere within the Southern Hemisphere, and highlights the need to further investigate the potential impacts of plastic associated fungi on other organisms and marine ecosystems.</t>
  </si>
  <si>
    <t>[Lacerda, Ana L. d. F.; Proietti, Maira C.; Secchi, Eduardo R.] Univ Fed Rio Grande FURG, Inst Oceanog, Rio Grande, Brazil; [Taylor, Joe D.] Univ Salford, Sch Sci Engn &amp; Environm, Manchester, Lancs, England</t>
  </si>
  <si>
    <t>Universidade Federal do Rio Grande; University of Salford</t>
  </si>
  <si>
    <t>Taylor, JD (corresponding author), Univ Salford, Sch Sci Engn &amp; Environm, Manchester, Lancs, England.;Lacerda, ALDF (corresponding author), Univ Fed Rio Grande, Inst Oceanog, Rio Grande, Brazil.</t>
  </si>
  <si>
    <t>analuzialacerda@gmail.com; drjoetay@gmail.com</t>
  </si>
  <si>
    <t>Taylor, Joe D/F-2196-2015; Secchi, Eduardo R./ABF-1191-2020</t>
  </si>
  <si>
    <t>Taylor, Joe D/0000-0003-0095-0869; Secchi, Eduardo R./0000-0001-9087-9909; Proietti, Maira/0000-0002-5504-5770; Lacerda, Ana Luzia/0000-0001-6654-5597</t>
  </si>
  <si>
    <t>Coordination for the Improvement of Higher Education Personnel (Coordenacao de Aperfeicoamento de Pessoal de Nivel Superior - CAPES); Programa de Excelenca Academica - PROEX; University of Salford Career Development Fellowship; Conselho Nacional de Desenvolvimento Cientifico e Tecnologico - CNPq [407889/2013-2]; project TALUDE - Chevron Brasil Upstrem Frade Ltda; Brazilian Interministerial Commission for the Resources of the Sea (CIRM); CNPq [SWE 206250/2017-7, PQ 310597/2018-8, PQ 312470/2018-5]</t>
  </si>
  <si>
    <t>Coordination for the Improvement of Higher Education Personnel (Coordenacao de Aperfeicoamento de Pessoal de Nivel Superior - CAPES)(Coordenacao de Aperfeicoamento de Pessoal de Nivel Superior (CAPES)); Programa de Excelenca Academica - PROEX; University of Salford Career Development Fellowship; Conselho Nacional de Desenvolvimento Cientifico e Tecnologico - CNPq(Conselho Nacional de Desenvolvimento Cientifico e Tecnologico (CNPQ)); project TALUDE - Chevron Brasil Upstrem Frade Ltda; Brazilian Interministerial Commission for the Resources of the Sea (CIRM); CNPq(Conselho Nacional de Desenvolvimento Cientifico e Tecnologico (CNPQ))</t>
  </si>
  <si>
    <t>A.L.d.F. Lacerda received a scholarship from the Coordination for the Improvement of Higher Education Personnel (Coordenacao de Aperfeicoamento de Pessoal de Nivel Superior - CAPES), which also provided access to the Portal de Periodicos and financial support through Programa de Excelenca Academica - PROEX. JDT was funded by a University of Salford Career Development Fellowship. We thank Dr Thorunn Helgason, and Dr Sally James and Dr Peter Aston from the University of York Genomics &amp; Bioinformatics Laboratory, for assistance, support and technical expertise with sequencing. This study was conducted within the activities of project INTERBIOTA, financed by the Conselho Nacional de Desenvolvimento Cientifico e Tecnologico - CNPq Grant number 407889/2013-2 and project TALUDE, funded by Chevron Brasil Upstrem Frade Ltda and The Brazilian Interministerial Commission for the Resources of the Sea (CIRM). CNPq also provided research fellowship to ALdFL (SWE 206250/2017-7), ERS (PQ 310597/2018-8) and MCP (PQ 312470/2018-5). This work is a contribution of the High Latitude Oceanography Group (GOAL) under the scope of the Brazilian Antarctic Program (PROANTAR).</t>
  </si>
  <si>
    <t>10.1111/mec.15444</t>
  </si>
  <si>
    <t>LX7OM</t>
  </si>
  <si>
    <t>WOS:000532532800001</t>
  </si>
  <si>
    <t>Perfumo, A; von Sass, GJF; Nordmann, EL; Budisa, N; Wagner, D</t>
  </si>
  <si>
    <t>Perfumo, Amedea; von Sass, Georg Johannes Freiherr; Nordmann, Eva-Lena; Budisa, Nediljko; Wagner, Dirk</t>
  </si>
  <si>
    <t>Discovery and Characterization of a New Cold-Active Protease From an Extremophilic Bacterium via Comparative Genome Analysis and in vitro Expression</t>
  </si>
  <si>
    <t>bioprospecting; extremophilic bacteria; cold-active enzymes; genome mining; heterologous protein expression; microdiversity</t>
  </si>
  <si>
    <t>LIPASE; BIOTECHNOLOGY; ENZYMOLOGY; ENZYMES; TOOLS</t>
  </si>
  <si>
    <t>Following a screening of Antarctic glacier forefield-bacteria for novel cold-active enzymes, a psychrophilic strain Psychrobacter sp. 94-6PB was selected for further characterization of enzymatic activities. The strain produced lipases and proteases in the temperature range of 4-18 degrees C. The coding sequence of an extracellular serine-protease was then identified via comparative analysis across Psychrobacter sp. genomes, PCR-amplified in our strain 94-6PB and expressed in the heterologous host E. coli. The purified enzyme (80 kDa) resulted to be a cold-active alkaline protease, performing best at temperatures of 20-30 degrees C and pH 7-9. It was stable in presence of common inhibitors [beta-mercaptoethanol (beta-ME), dithiothreitol (DTT), urea, phenylmethylsulfonyl fluoride (PMSF) and ethylenediaminetetraacetic acid (EDTA)] and compatible with detergents and surfactants (Tween 20, Tween 80, hydrogen peroxide and Triton X-100). Because of these properties, the P94-6PB protease may be suitable for use in a new generation of laundry products for cold washing. Furthermore, we assessed the microdiversity of this enzyme in Psychrobacter organisms from different cold habitats and found several gene clusters that correlated with specific ecological niches. We then discussed the role of habitat specialization in shaping the biodiversity of proteins and enzymes and anticipate far-reaching implications for the search of novel variants of biotechnological products.</t>
  </si>
  <si>
    <t>[Perfumo, Amedea; Nordmann, Eva-Lena; Wagner, Dirk] Helmholtz Ctr Potsdam, GFZ German Res Ctr Geosci, Sect Geomicrobiol, Potsdam, Germany; [Perfumo, Amedea] Helmholtz Ctr Polar &amp; Marine Res, Alfred Wegener Inst, Polar Terr Environm Syst Div, Potsdam, Germany; [von Sass, Georg Johannes Freiherr; Budisa, Nediljko] Tech Univ Berlin, Inst Chem, Berlin, Germany; [Nordmann, Eva-Lena] Carl von Ossietzky Univ Oldenburg, Inst Chem &amp; Biol Marine Environm, Oldenburg, Germany; [Budisa, Nediljko] Univ Manitoba, Inst Chem, Winnipeg, MB, Canada; [Wagner, Dirk] Univ Potsdam, Inst Geosci, Potsdam, Germany</t>
  </si>
  <si>
    <t>Helmholtz Association; Helmholtz-Center Potsdam GFZ German Research Center for Geosciences; Helmholtz Association; Alfred Wegener Institute, Helmholtz Centre for Polar &amp; Marine Research; Technical University of Berlin; Carl von Ossietzky Universitat Oldenburg; University of Manitoba; University of Potsdam</t>
  </si>
  <si>
    <t>Perfumo, A (corresponding author), Helmholtz Ctr Potsdam, GFZ German Res Ctr Geosci, Sect Geomicrobiol, Potsdam, Germany.;Perfumo, A (corresponding author), Helmholtz Ctr Polar &amp; Marine Res, Alfred Wegener Inst, Polar Terr Environm Syst Div, Potsdam, Germany.</t>
  </si>
  <si>
    <t>amedea.perfumo@awi.de</t>
  </si>
  <si>
    <t>Wagner, Dirk/C-3932-2012; Budisa, Nediljko/AAA-4634-2022</t>
  </si>
  <si>
    <t>Wagner, Dirk/0000-0001-5064-497X; Freiherr von Sass, Dr. Georg Johannes/0000-0002-9189-6177; Perfumo, Amedea/0000-0002-7503-4868; Nordmann, Eva-Lena/0000-0003-2693-906X</t>
  </si>
  <si>
    <t>European Union's Horizon 2020 Research and Innovation Program under the Marie Sklodowska-Curie Grant [657473]; Deutsche Forschungsgemeinschaft (DFG) [WA 1554/18]; Marie Curie Actions (MSCA) [657473] Funding Source: Marie Curie Actions (MSCA)</t>
  </si>
  <si>
    <t>European Union's Horizon 2020 Research and Innovation Program under the Marie Sklodowska-Curie Grant(European Union (EU)); Deutsche Forschungsgemeinschaft (DFG)(German Research Foundation (DFG)); Marie Curie Actions (MSCA)(Marie Curie Actions)</t>
  </si>
  <si>
    <t>This project was supported by European Union's Horizon 2020 Research and Innovation Program under the Marie Sklodowska-Curie Grant Agreement No. 657473 (BioFrost) to AP. The isolation of the new strains was done in a previous project with support of the Deutsche Forschungsgemeinschaft (DFG) in the framework of the priority program Antarctic Research with Comparative Investigations in Arctic Ice Areas by a grant to DW (WA 1554/18).</t>
  </si>
  <si>
    <t>MAY 13</t>
  </si>
  <si>
    <t>10.3389/fmicb.2020.00881</t>
  </si>
  <si>
    <t>LT8AV</t>
  </si>
  <si>
    <t>WOS:000537288100001</t>
  </si>
  <si>
    <t>Pinseel, E; Janssens, SB; Verleyen, E; Vanormelingen, P; Kohler, TJ; Biersma, EM; Sabbe, K; Van de Vijver, B; Vyverman, W</t>
  </si>
  <si>
    <t>Pinseel, Eveline; Janssens, Steven B.; Verleyen, Elie; Vanormelingen, Pieter; Kohler, Tyler J.; Biersma, Elisabeth M.; Sabbe, Koen; Van de Vijver, Bart; Vyverman, Wim</t>
  </si>
  <si>
    <t>Global radiation in a rare biosphere soil diatom</t>
  </si>
  <si>
    <t>R PACKAGE; FRESH-WATER; SPECIES DELIMITATION; OLIGOCENE TRANSITION; IQ-TREE; INFERENCE; MODELS; EOCENE; BACILLARIOPHYCEAE; SPECIATION</t>
  </si>
  <si>
    <t>Soil micro-organisms drive the global carbon and nutrient cycles that underlie essential ecosystem functions. Yet, we are only beginning to grasp the drivers of terrestrial microbial diversity and biogeography, which presents a substantial barrier to understanding community dynamics and ecosystem functioning. This is especially true for soil protists, which despite their functional significance have received comparatively less interest than their bacterial counterparts. Here, we investigate the diversification of Pinnularia borealis, a rare biosphere soil diatom species complex, using a global sampling of &gt;800 strains. We document unprecedented high levels of species-diversity, reflecting a global radiation since the Eocene/Oligocene global cooling. Our analyses suggest diversification was largely driven by colonization of novel geographic areas and subsequent evolution in isolation. These results illuminate our understanding of how protist diversity, biogeographical patterns, and members of the rare biosphere are generated, and suggest allopatric speciation to be a powerful mechanism for diversification of micro-organisms. It is generally thought many microbes, owing to their ubiquity and dispersal capability, lack biogeographic structuring and clear speciation patterns compared to macroorganisms. However, Pinseel et al. demonstrate multiple cycles of colonization and diversification in Pinnularia borealis, a rare biosphere soil diatom.</t>
  </si>
  <si>
    <t>[Pinseel, Eveline; Verleyen, Elie; Vanormelingen, Pieter; Sabbe, Koen; Vyverman, Wim] Univ Ghent, Lab Protistol &amp; Aquat Ecol, Krijgslaan 281-S8, B-9000 Ghent, Belgium; [Pinseel, Eveline; Janssens, Steven B.; Van de Vijver, Bart] Meise Bot Garden, Nieuwelaan 38, B-1860 Meise, Belgium; [Pinseel, Eveline; Van de Vijver, Bart] Univ Antwerp, Ecosyst Management Res Grp ECOBE, Univ Pl 1, B-2610 Antwerp, Belgium; [Vanormelingen, Pieter] Natuurpunt, Michiel Coxiestr 11, B-2800 Mechelen, Belgium; [Kohler, Tyler J.] Charles Univ Prague, Dept Ecol, Vinicna 7, Prague 12844 2, Czech Republic; [Kohler, Tyler J.] Ecole Polytech Fed Lausanne, Stream Biofilm &amp; Ecosyst Res Lab, GR BO 422, CH-1015 Lausanne, Switzerland; [Biersma, Elisabeth M.] British Antarctic Survey, High Cross,Madingley Rd, Cambridge CB3 0ET, England; [Biersma, Elisabeth M.] Nat Hist Museum Denmark, Oster Farimagsgade 5 Bldg 7, DK-1353 Copenhagen, Denmark; [Pinseel, Eveline] Univ Arkansas, Dept Biol Sci, 850 W Dickson St,SCEN 601, Fayetteville, AR 72701 USA</t>
  </si>
  <si>
    <t>Ghent University; University of Antwerp; Charles University Prague; Swiss Federal Institutes of Technology Domain; Ecole Polytechnique Federale de Lausanne; UK Research &amp; Innovation (UKRI); Natural Environment Research Council (NERC); NERC British Antarctic Survey; University of Arkansas System; University of Arkansas Fayetteville</t>
  </si>
  <si>
    <t>Pinseel, E; Vyverman, W (corresponding author), Univ Ghent, Lab Protistol &amp; Aquat Ecol, Krijgslaan 281-S8, B-9000 Ghent, Belgium.;Pinseel, E (corresponding author), Meise Bot Garden, Nieuwelaan 38, B-1860 Meise, Belgium.;Pinseel, E (corresponding author), Univ Antwerp, Ecosyst Management Res Grp ECOBE, Univ Pl 1, B-2610 Antwerp, Belgium.;Pinseel, E (corresponding author), Univ Arkansas, Dept Biol Sci, 850 W Dickson St,SCEN 601, Fayetteville, AR 72701 USA.</t>
  </si>
  <si>
    <t>eveline.pinseel@gmail.com; wim.vyverman@ugent.be</t>
  </si>
  <si>
    <t>Biersma, Elisabeth Machteld/AAL-9818-2020; Kohler, Tyler Joe/IUO-5352-2023; Pinseel, Eveline/ABF-5980-2020; Biersma, Elisabeth Machteld/JKI-1084-2023</t>
  </si>
  <si>
    <t>Biersma, Elisabeth Machteld/0000-0002-9877-2177; Kohler, Tyler Joe/0000-0001-5137-4844; Pinseel, Eveline/0000-0002-1801-2187; Sabbe, Koen/0000-0001-5163-5581; Vyverman, Wim/0000-0003-0850-2569; Van de Vijver, Bart/0000-0002-6244-1886</t>
  </si>
  <si>
    <t>Fund for Scientific Research-Flanders (FWO) [1104315N, 1104317N, K220116N, V443816N, V426111N]; Belgian Science Policy (BELSPO) [SD/BA/03]; Antarctic Circumnavigation Expedition (ACE); Spanish Polar Program; Polar Ecology Field Course (University of South Bohemia, Czech Republic) - Czech Ministry of Education (MSMT), government fund of the Czech Republic; European Social Fund [LM2010009, CZ.1.07/2.2.00/28.0190, RVO67985939]; NERC PhD studentship [NE/K50094X/1]; NERC-CONICYT grant [NE/P003079/1]; Carlsberg Foundation [CF18-0267]; Czech Science Foundation [GACR 15-17346Y]; Charles University Research Centre program [204069]; IPEV [136, 1167]; NERC [bas0100036] Funding Source: UKRI</t>
  </si>
  <si>
    <t>Fund for Scientific Research-Flanders (FWO)(FWO); Belgian Science Policy (BELSPO)(Belgian Federal Science Policy Office); Antarctic Circumnavigation Expedition (ACE); Spanish Polar Program; Polar Ecology Field Course (University of South Bohemia, Czech Republic) - Czech Ministry of Education (MSMT), government fund of the Czech Republic; European Social Fund(European Social Fund (ESF)); NERC PhD studentship(UK Research &amp; Innovation (UKRI)Natural Environment Research Council (NERC)); NERC-CONICYT grant; Carlsberg Foundation(Carlsberg Foundation); Czech Science Foundation(Grant Agency of the Czech Republic); Charles University Research Centre program; IPEV; NERC(UK Research &amp; Innovation (UKRI)Natural Environment Research Council (NERC))</t>
  </si>
  <si>
    <t>E.P. is a research fellow of the Belgian American Education Foundation and Fulbright Belgium. This research was supported by the Fund for Scientific Research-Flanders (FWO): funding of E.P. (aspirant grants 1104315N and 1104317N; travel grants K220116N and V443816N), P.V. (postdoctoral fellow), and E.V. (travel grant V426111N). Additional funding was provided by the: Belgian Science Policy (BELSPO) (projects MICROBIAN and CCAMBIO (SD/BA/03)); Antarctic Circumnavigation Expedition (ACE), organized by the Swiss Polar Institute founded by Ecole Polytechnique Federale de Lausanne; Spanish Polar Program (in collaboration with A. Quesada); IPEV (programs 136 and 1167, in collaboration with M. Lebouvier); Polar Ecology Field Course (University of South Bohemia, Czech Republic), supported by Czech Ministry of Education (MSMT), government fund of the Czech Republic, and European Social Fund (grants LM2010009, CZ.1.07/2.2.00/28.0190 and RVO67985939). E.M.B. was supported by NERC PhD studentship (NE/K50094X/1), NERC-CONICYT grant (NE/P003079/1), Carlsberg Foundation grant (CF18-0267), logistic support from Instituto Antartico Chileno (INACH), Scientific Expedition EdgeOya Spitsbergen (SEES), and Center for Permafrost (CENPERM). T.J.K. was supported by Czech Science Foundation Junior Grant GACR 15-17346Y and Charles University Research Centre program No. 204069. We are very grateful to C. Allewaert, H. Baird, L. Blommaert, B. Chattova, S. Chown, P. Convey, B. Cuypers, I. Daveloose, S. De Decker, A. Del Cortona, F. De Vleeschouwer, D. Ertz, L. Gandois, R. Hallas, P.B. Hamilton, J. Hansen, L.H. Hansen, M. Hedblom, E. Hejdukova, A. Hindakova, D.A. Hodgson, I. Hogg, C. Janion-Scheepers, I. Juttner, J. Kavan, C. Kilroy, K. Kopalova, R. Leihy, J.J. Lembrechts, Z. Levkov, M. Loonen, B. Marien, J. Marien, D. McKnight, L. Meire, K. Moon, A. Peeters, B. Perren, J. Pinseel, E. Pushkareva, E. Rott, A. Sakaeva, J. Smol, B. Sivarajah, C. Souffreau, S. Srna, C.G. Steiguber, M.I. Stevens, W. Stock, K.R. Stoof-Leichsenring, M. Sweetlove, H. Tanttu, J.C. Taylor, A. Torstensson, B. Van Dam, N. Van der Putten, G. van Ee, W. Van Landuyt, W. Van Nieuwenhuyze, J. Van Wichelen and A. Wullf for providing samples. P. Siver and A.P. Wolfe provided information and material on Pinnularia fossils, and M. Harper and W. Dickinson provided Miocene Antarctic diatom fossils. C. Souffreau provided metadata on Pinnularia strains. B. Tytgat and A. Hondekyn provided technical and logistical support, respectively. S. D'hondt and T. Verstraete assisted during the lab work. We thank L. Chatrou, F. Leliaert, A. Alverson, T. Nakov and Q. Bafort for helpful discussions and advice.</t>
  </si>
  <si>
    <t>10.1038/s41467-020-16181-0</t>
  </si>
  <si>
    <t>LS3QA</t>
  </si>
  <si>
    <t>WOS:000536301300005</t>
  </si>
  <si>
    <t>Park, J; Dall'Osto, M; Park, K; Gim, Y; Kang, HJ; Jang, E; Park, KT; Park, M; Yum, SS; Jung, J; Lee, BY; Yoon, YJ</t>
  </si>
  <si>
    <t>Park, Jiyeon; Dall'Osto, Manuel; Park, Kihong; Gim, Yeontae; Kang, Hyo Jin; Jang, Eunho; Park, Ki-Tae; Park, Minsu; Yum, Seong Soo; Jung, Jinyoung; Lee, Bang Yong; Yoon, Young Jun</t>
  </si>
  <si>
    <t>Shipborne observations reveal contrasting Arctic marine, Arctic terrestrial and Pacific marine aerosol properties</t>
  </si>
  <si>
    <t>CLOUD CONDENSATION NUCLEI; PARTICLE FORMATION EVENTS; CHEMICAL-COMPOSITION MEASUREMENTS; ORGANIC-COMPOUND EMISSIONS; NUCLEATION MODE PARTICLES; KING SEJONG STATION; SIZE-DISTRIBUTION; ATMOSPHERIC PARTICLES; ANTARCTIC PENINSULA; ZEPPELIN STATION</t>
  </si>
  <si>
    <t>There are few shipborne observations addressing the factors influencing the relationships of the formation and growth of aerosol particles with cloud condensation nuclei (CCN) in remote marine environments. In this study, the physical properties of aerosol particles throughout the Arctic Ocean and Pacific Ocean were measured aboard the Korean icebreaker R/V Araon during the summer of 2017 for 25 d. A number of new particle formation (NPF) events and growth were frequently observed in both Arctic terrestrial and Arctic marine air masses. By striking contrast, NPF events were not detected in Pacific marine air masses. Three major aerosol categories are therefore discussed: (1) Arctic marine (aerosol number concentration CN2.5: 413 +/- 442 cm(-3)), (2) Arctic terrestrial (CN2.5: 1622 +/- 1450 cm(-3)) and (3) Pacific marine (CN2.5: 397 +/- 185 cm(-3)), following air mass back-trajectory analysis. A major conclusion of this study is not only that the Arctic Ocean is a major source of secondary aerosol formation relative to the Pacific Ocean but also that open-ocean sympagic and terrestrially influenced coastal ecosystems both contribute to shaping aerosol size distributions. We suggest that terrestrial ecosystems - including river outflows and tundra - strongly affect aerosol emissions in the Arctic coastal areas, possibly more than anthropogenic Arctic emissions. The increased river discharge, tundra emissions and melting sea ice should be considered in future Arctic atmospheric composition and climate simulations. The average CCN concentrations at a supersaturation ratios of 0.4 % were 35 +/- 40 cm(-3), 71 +/- 47 cm(-3) and 204 +/- 87 cm(-3) for Arctic marine, Arctic terrestrial and Pacific marine aerosol categories, respectively. Our results aim to help evaluate how anthropogenic and natural atmospheric sources and processes affect the aerosol composition and cloud properties.</t>
  </si>
  <si>
    <t>[Park, Jiyeon; Gim, Yeontae; Kang, Hyo Jin; Jang, Eunho; Park, Ki-Tae; Jung, Jinyoung; Lee, Bang Yong; Yoon, Young Jun] Korea Polar Res Inst, 26 Songdomirae Ro, Incheon 21990, South Korea; [Dall'Osto, Manuel] CSIC, Inst Ciencies Mar, Pg Maritim Barceloneta 37-49, Barcelona 08003, Catalonia, Spain; [Park, Kihong] Gwangju Inst Sci &amp; Technol GIST, Sch Earth Sci &amp; Environm Engn, 123 Cheomdangwagi Ro, Gwangju 61005, South Korea; [Kang, Hyo Jin; Jang, Eunho] Univ Sci &amp; Technol UST, 217 Gajeong Ro, Daejeon 34113, South Korea; [Park, Minsu; Yum, Seong Soo] Yonsei Univ, Dept Atmospher Sci, 50 Yonsei Ro, Seoul 03722, South Korea</t>
  </si>
  <si>
    <t>Korea Polar Research Institute (KOPRI); Consejo Superior de Investigaciones Cientificas (CSIC); CSIC - Centro Mediterraneo de Investigaciones Marinas y Ambientales (CMIMA); CSIC - Instituto de Ciencias del Mar (ICM); Gwangju Institute of Science &amp; Technology (GIST); University of Science &amp; Technology (UST); Yonsei University</t>
  </si>
  <si>
    <t>Yoon, YJ (corresponding author), Korea Polar Res Inst, 26 Songdomirae Ro, Incheon 21990, South Korea.</t>
  </si>
  <si>
    <t>yjyoon@kopri.re.kr</t>
  </si>
  <si>
    <t>Park, Ki-Tae/CAF-2480-2022; dallosto, manuel/G-3584-2016</t>
  </si>
  <si>
    <t>dallosto, manuel/0000-0003-4203-894X</t>
  </si>
  <si>
    <t>National Research Foundation of Korea [NRF-2016M1A5A1901769, NRF-2019R1A2C3007202, NRF-20180R1A2B2006965]; KOPRI project [PE17390]; Ministry of Oceans and Fisheries [20160245]</t>
  </si>
  <si>
    <t>National Research Foundation of Korea(National Research Foundation of Korea); KOPRI project(Korea Polar Research Institute of Marine Research Placement (KOPRI)); Ministry of Oceans and Fisheries</t>
  </si>
  <si>
    <t>This research has been supported by the National Research Foundation of Korea (grant no. NRF-2016M1A5A1901769, NRF-2019R1A2C3007202 and NRF-20180R1A2B2006965), the KOPRI project (grant no. PE17390), and the Ministry of Oceans and Fisheries (grant no. 20160245).</t>
  </si>
  <si>
    <t>10.5194/acp-20-5573-2020</t>
  </si>
  <si>
    <t>LQ7OQ</t>
  </si>
  <si>
    <t>WOS:000535189200001</t>
  </si>
  <si>
    <t>da Silva, TH; Silva, DAS; de Oliveira, FS; Schaefer, CEGR; Rosa, CA; Rosa, LH</t>
  </si>
  <si>
    <t>da Silva, Thamar Holanda; Saraiva Silva, Debora Amorim; de Oliveira, Fabio Soares; Goncalves Reynaud Schaefer, Carlos Ernesto; Rosa, Carlos Augusto; Rosa, Luiz Henrique</t>
  </si>
  <si>
    <t>Diversity, distribution, and ecology of viable fungi in permafrost and active layer of Maritime Antarctica</t>
  </si>
  <si>
    <t>Antarctica; Fungi; Diversity; Permafrost</t>
  </si>
  <si>
    <t>PSEUDOGYMNOASCUS-DESTRUCTANS; BIOLOGICAL-ACTIVITIES; MICROBIAL ECOLOGY; SOILS; GEOMYCES; BIODIVERSITY; MACROALGAE; YEASTS; PHYLOGENY; SUBUNIT</t>
  </si>
  <si>
    <t>We evaluated the diversity and distribution of viable fungi present in permafrost and active layers obtained from three islands of Maritime Antarctica. A total of 213 fungal isolates were recovered from the permafrost, and 351 from the active layer, which were identified in 58 taxa; 27 from permafrost and 31 from the active layer. Oidiodendron, Penicillium, and Pseudogymnoascus taxa were the most abundant in permafrost. Bionectriaceae, Helotiales, Mortierellaceae, and Pseudeurotium were the most abundant in the active layer. Only five shared both substrates. The yeast Mrakia blollopis represented is the first reported on Antarctic permafrost. The fungal diversity detected was moderate to high, and composed of cosmopolitan, cold-adapted, and endemic taxa, reported as saprobic, mutualistic, and parasitic species. Our results demonstrate that permafrost shelters viable fungi across the Maritime Antarctica, and that they are contrasting to the overlying active layer. We detected important fungal taxa represented by potential new species, particularly, those genetically close to Pseudogymnoascus destructans, which can cause extinction of bats in North America and Eurasia. The detection of viable fungi trapped in permafrost deserves further studies on the extension of its fungal diversity and its capability to expand from permafrost to other habitats in Antarctica, and elsewhere.</t>
  </si>
  <si>
    <t>[da Silva, Thamar Holanda; Saraiva Silva, Debora Amorim; Rosa, Luiz Henrique] Univ Fed Minas Gerais, Dept Microbiol, Belo Horizonte, MG, Brazil; [de Oliveira, Fabio Soares] Univ Fed Minas Gerais, Dept Geog, Belo Horizonte, MG, Brazil; [Goncalves Reynaud Schaefer, Carlos Ernesto] Univ Fed Vicosa, Dept Solos, Vicosa, MG, Brazil</t>
  </si>
  <si>
    <t>Universidade Federal de Minas Gerais; Universidade Federal de Minas Gerais; Universidade Federal de Vicosa</t>
  </si>
  <si>
    <t>Schaefer, Carlos Ernesto/AAY-4977-2020; Oliveira, Fabio/AAJ-7764-2021</t>
  </si>
  <si>
    <t>Oliveira, Fabio/0000-0002-1450-7609</t>
  </si>
  <si>
    <t>CNPq PROANTAR [442258/2018-6]; INCT Criosfera II; CAPES [88887.136384/2017-00, 88887.314457/2019-00]; CNPq; FAPEMIG; FNDCT; Coordenacao de Aperfeicoamento de Pessoal de Nivel Superior-Brasil (CAPES) [001]</t>
  </si>
  <si>
    <t>CNPq PROANTAR(Conselho Nacional de Desenvolvimento Cientifico e Tecnologico (CNPQ)); INCT Criosfera II; CAPES(Coordenacao de Aperfeicoamento de Pessoal de Nivel Superior (CAPES)); CNPq(Conselho Nacional de Desenvolvimento Cientifico e Tecnologico (CNPQ)); FAPEMIG(Fundacao de Amparo a Pesquisa do Estado de Minas Gerais (FAPEMIG)); FNDCT; Coordenacao de Aperfeicoamento de Pessoal de Nivel Superior-Brasil (CAPES)(Coordenacao de Aperfeicoamento de Pessoal de Nivel Superior (CAPES))</t>
  </si>
  <si>
    <t>We acknowledge the financial support from CNPq PROANTAR 442258/2018-6, INCT Criosfera II, CAPES (88887.136384/2017-00 and 88887.314457/2019-00), CNPq, FAPEMIG, and FNDCT. This study was financed in part by the Coordenacao de Aperfeicoamento de Pessoal de Nivel Superior-Brasil (CAPES)-Finance Code 001.</t>
  </si>
  <si>
    <t>10.1007/s00792-020-01176-y</t>
  </si>
  <si>
    <t>WOS:000532636200001</t>
  </si>
  <si>
    <t>Kim, T; Lee, Y; Kil, HJ; Park, JK</t>
  </si>
  <si>
    <t>Kim, Taeho; Lee, Yucheol; Kil, Hyun-Jong; Park, Joong-Ki</t>
  </si>
  <si>
    <t>The mitochondrial genome of Acrobeloides varius (Cephalobomorpha) confirms non-monophyly of Tylenchina (Nematoda)</t>
  </si>
  <si>
    <t>Acrobeloides varius; Cephalobomorpha; Tylenchina; Mitochondrial genome; Phylogeny</t>
  </si>
  <si>
    <t>RIBOSOMAL-RNA STRUCTURES; PHYLOGENETIC-RELATIONSHIPS; ANTARCTIC SOIL; GENE ORDER; EVOLUTION; DNA; HYPOTHESES; ANNOTATION; RHABDITIDA; ALIGNMENT</t>
  </si>
  <si>
    <t>The infraorder Cephalobomorpha is a diverse and ecologically important nematode group found in almost all terrestrial environments. In a recent nematode classification system based on SSU rDNA, Cephalobomorpha was classified within the suborder Tylenchina with Panagrolaimomorpha, Tylenchomorpha and Drilonematomorpha. However, phylogenetic relationships among species within Tylenchina are not always consistent, and the phylogenetic position of Cephalobomorpha is still uncertain. In this study, in order to examine phylogenetic relationships of Cephalobomorpha with other nematode groups, we determined the complete mitochondrial genome sequence of Acrobeloides varius, the first sequenced representative of Cephalobomorpha, and used this sequence for phylogenetic analyses along with 101 other nematode species. Phylogenetic analyses using amino acid and nucleotide sequence data of 12 protein-coding genes strongly support a sister relationship between the two cephalobomorpha species A. varius and Acrobeles complexus (represented by a partial mt genome sequence). In this mitochondrial genome phylogeny, Cephalobomorpha was sister to all chromadorean species (excluding Plectus acuminatus of Plectida) and separated from Panagrolaimomorpha and Tylenchomorpha, rendering Tylenchina non-monophyletic. Mitochondrial gene order among Tylenchina species is not conserved, and gene clusters shared between A. varius and A. complexus are very limited. Results from phylogenetic analysis and gene order comparison confirms Tylenchina is not monophyletic. To better understand phylogenetic relationships among Tylenchina members, additional mitochondrial genome information is needed from underrepresented taxa representing Panagrolaimomorpha and Cephalobomorpha.</t>
  </si>
  <si>
    <t>[Kim, Taeho; Lee, Yucheol; Park, Joong-Ki] Ewha Womans Univ, Div EcoSci, Seoul, South Korea; [Kil, Hyun-Jong] Natl Inst Biol Resources, Anim Resources Div, Incheon, South Korea</t>
  </si>
  <si>
    <t>Ewha Womans University; National Institute of Biological Resources</t>
  </si>
  <si>
    <t>Park, JK (corresponding author), Ewha Womans Univ, Div EcoSci, Seoul, South Korea.</t>
  </si>
  <si>
    <t>jkpark@ewha.ac.kr</t>
  </si>
  <si>
    <t>Kim, Taeho/AAO-5858-2021; Lee, Yucheol/GWU-7179-2022</t>
  </si>
  <si>
    <t>Basic Science Research Program through the National Research Foundation of Korea (NRF) - Ministry of Education, Science and Technology [NRF-2013R1A1A2005898]; Basic Science Research Program through the National Research Foundation of Korea (NRF) - Ministry of Education [NRF-2019R1I1A1A01041191]; Marine Biotechnology Program of the Korea Institute of Marine Science and Technology Promotion (KIMST) - Ministry of Oceans and Fisheries (MOF) [20170431]; National Institute of Biological Resources (NIBR) - Ministry of Environment (MOE) of the Republic of Korea [NIBR202002109]</t>
  </si>
  <si>
    <t>Basic Science Research Program through the National Research Foundation of Korea (NRF) - Ministry of Education, Science and Technology; Basic Science Research Program through the National Research Foundation of Korea (NRF) - Ministry of Education; Marine Biotechnology Program of the Korea Institute of Marine Science and Technology Promotion (KIMST) - Ministry of Oceans and Fisheries (MOF); National Institute of Biological Resources (NIBR) - Ministry of Environment (MOE) of the Republic of Korea</t>
  </si>
  <si>
    <t>This research was supported by the Basic Science Research Program through the National Research Foundation of Korea (NRF), funded by the Ministry of Education, Science and Technology (NRF-2013R1A1A2005898), the Basic Science Research Program through the National Research Foundation of Korea (NRF) funded by the Ministry of Education (NRF-2019R1I1A1A01041191), the Marine Biotechnology Program of the Korea Institute of Marine Science and Technology Promotion (KIMST) funded by the Ministry of Oceans and Fisheries (MOF) (No. 20170431), and the National Institute of Biological Resources (NIBR) funded by the Ministry of Environment (MOE) of the Republic of Korea (NIBR202002109). The funders had no role in study design, data collection and analysis, decision to publish, or preparation of the manuscript.</t>
  </si>
  <si>
    <t>e9108</t>
  </si>
  <si>
    <t>10.7717/peerj.9108</t>
  </si>
  <si>
    <t>LM2DZ</t>
  </si>
  <si>
    <t>WOS:000532063300004</t>
  </si>
  <si>
    <t>Armbrecht, L; Herrando-Pérez, S; Eisenhofer, R; Hallegraeff, GM; Bolch, CJS; Cooper, A</t>
  </si>
  <si>
    <t>Armbrecht, Linda; Herrando-Perez, Salvador; Eisenhofer, Raphael; Hallegraeff, Gustaaf M.; Bolch, Christopher J. S.; Cooper, Alan</t>
  </si>
  <si>
    <t>An optimized method for the extraction of ancient eukaryote DNA from marine sediments</t>
  </si>
  <si>
    <t>ancient DNA; diatoms; dinoflagellates; haptophytes; Maria Island; metagenomics; plankton; seafloor; Tasmania</t>
  </si>
  <si>
    <t>ENVIRONMENTAL DNA; RNA; BIODIVERSITY; NEANDERTHAL; PATTERNS; GENE; SEA</t>
  </si>
  <si>
    <t>Marine sedimentary ancient DNA (sedaDNA) provides a powerful means to reconstruct marine palaeo-communities across the food web. However, currently there are few optimized sedaDNA extraction protocols available to maximize the yield of small DNA fragments typical of ancient DNA (aDNA) across a broad diversity of eukaryotes. We compared seven combinations of sedaDNA extraction treatments and sequencing library preparations using marine sediments collected at a water depth of 104 m off Maria Island, Tasmania, in 2018. These seven methods contrasted frozen versus refrigerated sediment, bead-beating induced cell lysis versus ethylenediaminetetraacetic acid (EDTA) incubation, DNA binding in silica spin columns versus in silica-solution, diluted versus undiluted DNA in shotgun library preparations to test potential inhibition issues during amplification steps, and size-selection of low molecular-weight (LMW) DNA to increase the extraction efficiency of sedaDNA. Maximum efficiency was obtained from frozen sediments subjected to a combination of EDTA incubation and bead-beating, DNA binding in silica-solution, and undiluted DNA in shotgun libraries, across 45 marine eukaryotic taxa. We present an optimized extraction protocol integrating these steps, with an optional post-library LMW size-selection step to retain DNA fragments of &lt;= 500 base pairs. We also describe a stringent bioinformatic filtering approach for metagenomic data and provide a comprehensive list of contaminants as a reference for future sedaDNA studies. The new extraction and data-processing protocol should improve quantitative paleo-monitoring of eukaryotes from marine sediments, as well as other studies relying on the detection of highly fragmented and degraded eukaryote DNA in sediments.</t>
  </si>
  <si>
    <t>[Armbrecht, Linda; Herrando-Perez, Salvador; Eisenhofer, Raphael] Univ Adelaide, Fac Sci, Australian Ctr Ancient DNA, Sch Biol Sci, Adelaide, SA, Australia; [Hallegraeff, Gustaaf M.] Univ Tasmania, Inst Marine &amp; Antarctic Studies, Hobart, Tas, Australia; [Bolch, Christopher J. S.] Univ Tasmania, Inst Marine &amp; Antarctic Studies, Launceston, Tas, Australia; [Cooper, Alan] South Australian Museum, Adelaide, SA, Australia</t>
  </si>
  <si>
    <t>University of Adelaide; University of Tasmania; University of Tasmania; South Australian Museum</t>
  </si>
  <si>
    <t>Armbrecht, L (corresponding author), Univ Adelaide, Fac Sci, Australian Ctr Ancient DNA, Sch Biol Sci, Adelaide, SA, Australia.</t>
  </si>
  <si>
    <t>linda.armbrecht@adelaide.edu.au</t>
  </si>
  <si>
    <t>Eisenhofer, Raphael/B-1854-2018; Armbrecht, Linda/GZB-0547-2022; Cooper, Alan/E-8171-2012; Hallegraeff, Gustaaf/C-8351-2013; Bolch, Christopher/J-7619-2014</t>
  </si>
  <si>
    <t>Eisenhofer, Raphael/0000-0002-3843-0749; Herrando-Perez, Salvador/0000-0001-6052-6854; Cooper, Alan/0000-0002-7738-7851; Hallegraeff, Gustaaf/0000-0001-8464-7343; Bolch, Christopher/0000-0001-9047-2391</t>
  </si>
  <si>
    <t>Australian Research Council [CE170100015, DP170102261, DP170104665, FL140100260]; Australian Research Council [FL140100260] Funding Source: Australian Research Council</t>
  </si>
  <si>
    <t>Australian Research Council, Grant/Award Number: CE170100015, DP170102261, DP170104665 and FL140100260</t>
  </si>
  <si>
    <t>10.1111/1755-0998.13162</t>
  </si>
  <si>
    <t>MO5WI</t>
  </si>
  <si>
    <t>WOS:000531903500001</t>
  </si>
  <si>
    <t>Paijmans, AJ; Stoffel, MA; Bester, MN; Cleary, AC; De Bruyn, PJN; Forcada, J; Goebel, ME; Goldsworthy, SD; Guinet, C; Lydersen, C; Kovacs, KM; Lowther, A; Hoffman, JI</t>
  </si>
  <si>
    <t>Paijmans, Anneke J.; Stoffel, Martin A.; Bester, Marthan N.; Cleary, Alison C.; De Bruyn, P. J. Nico; Forcada, Jaume; Goebel, Michael E.; Goldsworthy, Simon D.; Guinet, Christophe; Lydersen, Christian; Kovacs, Kit M.; Lowther, Andrew; Hoffman, Joseph I.</t>
  </si>
  <si>
    <t>The genetic legacy of extreme exploitation in a polar vertebrate (vol 10, 5089, 2020)</t>
  </si>
  <si>
    <t>An amendment to this paper has been published and can be accessed via a link at the top of the paper.</t>
  </si>
  <si>
    <t>Univ Agder, Dept Nat Sci, N-4630 Kristiansand, Norway; [Goebel, Michael E.] NOAA, Antarctic Ecosyst Res Div, Southwest Fisheries Sci Ctr, Natl Marine Fisheries, 8901 La Jolla Shores Dr, La Jolla, CA 92037 USA; [Goebel, Michael E.] Univ Calif Santa Cruz, Inst Marine Sci, 1156 High St, Santa Cruz, CA 95064 USA</t>
  </si>
  <si>
    <t>University of Agder; National Oceanic Atmospheric Admin (NOAA) - USA; University of California System; University of California Santa Cruz</t>
  </si>
  <si>
    <t>Goebel, ME (corresponding author), NOAA, Antarctic Ecosyst Res Div, Southwest Fisheries Sci Ctr, Natl Marine Fisheries, 8901 La Jolla Shores Dr, La Jolla, CA 92037 USA.;Goebel, ME (corresponding author), Univ Calif Santa Cruz, Inst Marine Sci, 1156 High St, Santa Cruz, CA 95064 USA.</t>
  </si>
  <si>
    <t>a.paijmans@uni-bielefeld.de</t>
  </si>
  <si>
    <t>de Bruyn, P. J. Nico/E-4176-2010; Forcada, Jaume/GYU-0677-2022; Hoffman, Joseph i/K-7725-2012</t>
  </si>
  <si>
    <t>de Bruyn, P. J. Nico/0000-0002-9114-9569; Lowther, Andrew/0000-0003-4294-3157; Paijmans, A.J./0000-0002-5481-7337; Goldsworthy, Simon/0000-0003-4988-9085</t>
  </si>
  <si>
    <t>MAY 12</t>
  </si>
  <si>
    <t>10.1038/s41598-020-64763-1</t>
  </si>
  <si>
    <t>NA4JG</t>
  </si>
  <si>
    <t>WOS:000559782700001</t>
  </si>
  <si>
    <t>Martins, Z; Chan, QHS; Bonal, L; King, A; Yabuta, H</t>
  </si>
  <si>
    <t>Martins, Zita; Chan, Queenie Hoi Shan; Bonal, Lydie; King, Ashley; Yabuta, Hikaru</t>
  </si>
  <si>
    <t>Organic Matter in the Solar System-Implications for Future on-Site and Sample Return Missions</t>
  </si>
  <si>
    <t>SPACE SCIENCE REVIEWS</t>
  </si>
  <si>
    <t>Organic matter; Solar system; Comets; Asteroids; Extraterrestrial samples; Sample return mission</t>
  </si>
  <si>
    <t>INTERPLANETARY DUST PARTICLES; SPECTRAL REFLECTANCE PROPERTIES; ANTARCTIC CARBONACEOUS CHONDRITES; POLYCYCLIC AROMATIC-HYDROCARBONS; EXTRATERRESTRIAL AMINO-ACIDS; OXYGEN ISOTOPIC COMPOSITIONS; MOLECULAR-CLOUD MATERIAL; COMPOUND-SPECIFIC CARBON; MURCHISON METEORITE; AQUEOUS ALTERATION</t>
  </si>
  <si>
    <t>Solar system bodies like comets, asteroids, meteorites and dust particles contain organic matter with different abundances, structures and chemical composition. This chapter compares the similarities and differences of the organic composition in these planetary bodies. Furthermore, these links are explored in the context of detecting the most pristine organic material, either by on-site analysis or sample return missions. Finally, we discuss the targets of potential future sample return missions, as well as the contamination controls that should be in place in order to successfully study pristine organic matter.</t>
  </si>
  <si>
    <t>[Martins, Zita] Univ Lisbon, Ctr Quim Estrutural, Dept Engn Quim, Inst Super Tecn, Ave Rovisco Pais 1, P-1049001 Lisbon, Portugal; [Chan, Queenie Hoi Shan; King, Ashley] Open Univ, Planetary &amp; Space Sci, Sch Phys Sci, Walton Hall, Milton Keynes MK7 6AA, Bucks, England; [Chan, Queenie Hoi Shan] Royal Holloway Univ London, Dept Earth Sci, Egham TW20 0EX, Surrey, England; [Bonal, Lydie] Univ Grenoble Alpes, Inst Planetol &amp; Astrophys Grenoble, CNRS, CNES, F-38000 Grenoble, France; [King, Ashley] Nat Hist Museum, Cromwell Rd, London SW7 5BD, England; [Yabuta, Hikaru] Hiroshima Univ, Dept Earth &amp; Planetary Syst Sci, 1-3-1 Kagamiyama, Hiroshima 7398526, Japan</t>
  </si>
  <si>
    <t>Universidade de Lisboa; Open University - UK; University of London; Royal Holloway University London; Centre National de la Recherche Scientifique (CNRS); Institut de Planetologie et d'Astrophysique de Grenoble (IPAG); Communaute Universite Grenoble Alpes; Universite Grenoble Alpes (UGA); Natural History Museum London; Hiroshima University</t>
  </si>
  <si>
    <t>Martins, Z (corresponding author), Univ Lisbon, Ctr Quim Estrutural, Dept Engn Quim, Inst Super Tecn, Ave Rovisco Pais 1, P-1049001 Lisbon, Portugal.</t>
  </si>
  <si>
    <t>zita.martins@tecnico.ulisboa.pt</t>
  </si>
  <si>
    <t>Martins, Zita/H-4860-2015</t>
  </si>
  <si>
    <t>Martins, Zita/0000-0002-5420-1081; Chan, Queenie Hoi Shan/0000-0001-7205-8699; BONAL, Lydie/0000-0002-0655-4034; King, Ashley/0000-0001-6113-5417</t>
  </si>
  <si>
    <t>FEDER-Fundo Europeu de Desenvolvimento Regional funds through the COMPETE 2020-Operational Programme for Competitiveness and Internationalisation (POCI); Portuguese funds through FCT-FundacAo para a Ciencia e a Tecnologia [POCI-01-0145-FEDER-029932 (PTDC/FIS-AST/29932/2017)]; FundacAo para a Ciencia e Tecnologia [UIDB/00100/2020]; Science and Technology Facilities Council (STFC) [ST/P000657/1, ST/R000727/1]; CNES through its Systeme Solaire program; JSPS KAKENHI [JP19H01954, JP18H04461]; Astrobiology Center Program of National Institutes of Natural Sciences (NINS) [AB312007]; European Union's Horizon 2020 research and innovation programme [654208]; STFC [ST/L000776/1, ST/R000727/1, ST/P000657/1] Funding Source: UKRI</t>
  </si>
  <si>
    <t>FEDER-Fundo Europeu de Desenvolvimento Regional funds through the COMPETE 2020-Operational Programme for Competitiveness and Internationalisation (POCI); Portuguese funds through FCT-FundacAo para a Ciencia e a Tecnologia(Fundacao para a Ciencia e a Tecnologia (FCT)); FundacAo para a Ciencia e Tecnologia(Fundacao para a Ciencia e a Tecnologia (FCT)); Science and Technology Facilities Council (STFC)(UK Research &amp; Innovation (UKRI)Science &amp; Technology Facilities Council (STFC)Science and Technology Development Fund (STDF)); CNES through its Systeme Solaire program; JSPS KAKENHI(Ministry of Education, Culture, Sports, Science and Technology, Japan (MEXT)Japan Society for the Promotion of ScienceGrants-in-Aid for Scientific Research (KAKENHI)); Astrobiology Center Program of National Institutes of Natural Sciences (NINS); European Union's Horizon 2020 research and innovation programme; STFC(UK Research &amp; Innovation (UKRI)Science &amp; Technology Facilities Council (STFC))</t>
  </si>
  <si>
    <t>Zita Martins was financed by FEDER-Fundo Europeu de Desenvolvimento Regional funds through the COMPETE 2020-Operational Programme for Competitiveness and Internationalisation (POCI), and by Portuguese funds through FCT-FundacAo para a Ciencia e a Tecnologia in the framework of the project POCI-01-0145-FEDER-029932 (PTDC/FIS-AST/29932/2017). Centro de Quimica Estrutural acknowledges the financial support of FundacAo para a Ciencia e Tecnologia (UIDB/00100/2020). This research is framed within the College on Polar and Extreme Environments (Polar2E) of the University of Lisbon. Queenie Chan and Ashley King were supported by Science and Technology Facilities Council (STFC) grants #ST/P000657/1 and #ST/R000727/1, respectively. Lydie Bonal was supported by CNES through its Systeme Solaire program. Hikaru Yabuta was supported by JSPS KAKENHI Grant Numbers JP19H01954, JP18H04461 and by the Astrobiology Center Program of National Institutes of Natural Sciences (NINS) (Grant Number AB312007). The NanoSIMS measurements at OU have received funding from the European Union's Horizon 2020 research and innovation programme under grant agreement No 654208. Dr I. Franchi (OU) and Dr. F. Gyngard (WU) are thanked for their help with NanoSIMS measurements. We acknowledge the constructive comments from the Guest Editor and the anonymous Reviewers that improved the quality of this manuscript.</t>
  </si>
  <si>
    <t>0038-6308</t>
  </si>
  <si>
    <t>1572-9672</t>
  </si>
  <si>
    <t>SPACE SCI REV</t>
  </si>
  <si>
    <t>Space Sci. Rev.</t>
  </si>
  <si>
    <t>10.1007/s11214-020-00679-6</t>
  </si>
  <si>
    <t>LR3UM</t>
  </si>
  <si>
    <t>WOS:000535618300001</t>
  </si>
  <si>
    <t>Marquetto, L; Kaspari, S; Simoes, JC</t>
  </si>
  <si>
    <t>Marquetto, Luciano; Kaspari, Susan; Simoes, Jefferson Cardia</t>
  </si>
  <si>
    <t>Refractory black carbon (rBC) variability in a 47-year West Antarctic snow and firn core</t>
  </si>
  <si>
    <t>ICE-CORE; SOUTH-POLE; CLIMATE; DEPOSITION; EMISSIONS; DUST; AEROSOLS; SURFACE; RECORD; SAMPLES</t>
  </si>
  <si>
    <t>Black carbon (BC) is an important climate-forcing agent that affects snow albedo. In this work, we present a record of refractory black carbon (rBC) variability, measured from a 20m deep snow and firn core drilled in West Antarctica (79 degrees 55'34.6'' S, 94 degrees 21'13.3'' W, 2122m above sea level) during the 2014-2015 austral summer. This is the highest elevation rBC record from West Antarctica. The core was analyzed using the Single Particle Soot Photometer (SP2) coupled to a CETAC Marin-5 nebulizer. Results show a well-defined seasonality with geometric mean concentrations of 0.015 mu g L-1 for the wet season (austral summer-fall) and 0.057 mu g L-1 for the dry season (austral winter-spring). The core was dated to 47 years (1968-2015) using rBC seasonality as the main parameter, along with sodium (Na), sulfur (S) and strontium (Sr) variations. The annual rBC concentration geometric mean was 0.03 mu g L-1, the lowest of all rBC cores in Antarctica referenced in this work, while the annual rBC flux was 6.25 mu g m(-2) a(-1), the lowest flux in West Antarctica rBC records. No long-term trend was observed. Snow albedo reductions at the site due to BC were simulated using SNICAR online and found to be insignificant (-0.48 %) compared to clean snow. Fire spot inventory and BC emission estimates from the Southern Hemisphere suggest Australia and Southern Hemisphere South America as the most probable emission sources of BC to the drilling site, whereas HYSPLIT model particle transport simulations from 1968 to 2015 support Australia and New Zealand as rBC sources, with limited contributions from South America. Spectral analysis (REDFIT method) of the BC record showed cycles related to the Antarctic Oscillation (AAO) and to El Nino-Southern Oscillation (ENSO), but cycles in common with the Amundsen Sea Low (ASL) were not detected. Correlation of rBC records in Antarctica with snow accumulation, elevation and distance to the sea suggests rBC transport to East Antarctica is different from transport to West Antarctica.</t>
  </si>
  <si>
    <t>[Marquetto, Luciano; Kaspari, Susan] Cent Washington Univ, Dept Geol Sci, Ellensburg, WA 98926 USA; [Marquetto, Luciano; Simoes, Jefferson Cardia] Univ Fed Rio Grande do Sul, Ctr Polar &amp; Climat, Av Bento Goncalves 9500, BR-91509900 Porto Alegre, RS, Brazil; [Simoes, Jefferson Cardia] Univ Maine, Climate Change Inst, Orono, ME 04469 USA</t>
  </si>
  <si>
    <t>Central Washington University; Universidade Federal do Rio Grande do Sul; University of Maine System; University of Maine Orono</t>
  </si>
  <si>
    <t>Marquetto, L (corresponding author), Cent Washington Univ, Dept Geol Sci, Ellensburg, WA 98926 USA.;Marquetto, L (corresponding author), Univ Fed Rio Grande do Sul, Ctr Polar &amp; Climat, Av Bento Goncalves 9500, BR-91509900 Porto Alegre, RS, Brazil.</t>
  </si>
  <si>
    <t>luciano.marquetto@gmail.com</t>
  </si>
  <si>
    <t>Simoes, Jefferson Cardia/D-7232-2013</t>
  </si>
  <si>
    <t>Simoes, Jefferson Cardia/0000-0001-5555-3401</t>
  </si>
  <si>
    <t>Brazilian National Council for Scientific and Technological Development (CNPq) Split Fellowship Program [200386/20182]; CNPq [465680/2014-3, 442761/2018-0]; CAPES [88887.136384/2017-00, 88887.314450/2019-00]</t>
  </si>
  <si>
    <t>Brazilian National Council for Scientific and Technological Development (CNPq) Split Fellowship Program(Conselho Nacional de Desenvolvimento Cientifico e Tecnologico (CNPQ)); CNPq(Conselho Nacional de Desenvolvimento Cientifico e Tecnologico (CNPQ)); CAPES(Coordenacao de Aperfeicoamento de Pessoal de Nivel Superior (CAPES))</t>
  </si>
  <si>
    <t>This research is part of the Brazilian Antarctic Program (PROANTAR) and was financed with funds from the Brazilian National Council for Scientific and Technological Development (CNPq) Split Fellowship Program (no. 200386/20182), from the CNPq projects 465680/2014-3 and 442761/2018-0, CAPES project INCT da Criosfera 88887.136384/2017-00 and PROANTAR project 88887.314450/2019-00.</t>
  </si>
  <si>
    <t>10.5194/tc-14-1537-2020</t>
  </si>
  <si>
    <t>LQ7KC</t>
  </si>
  <si>
    <t>WOS:000535177400001</t>
  </si>
  <si>
    <t>Zhao, ZJ; Holbrook, NJ; Oliver, ECJ; Ballestero, D; Vargas-Hernandez, JM</t>
  </si>
  <si>
    <t>Zhao, Zijie; Holbrook, Neil J.; Oliver, Eric C. J.; Ballestero, Daniel; Vargas-Hernandez, J. Mauro</t>
  </si>
  <si>
    <t>Characteristic atmospheric states during mid-summer droughts over Central America and Mexico</t>
  </si>
  <si>
    <t>LOW-LEVEL JET; INTERTROPICAL CONVERGENCE ZONE; CLIMATE VARIABILITY; CARIBBEAN RAINFALL; PACIFIC COAST; PRECIPITATION; ATLANTIC; ENSO; SEA; CIRCULATION</t>
  </si>
  <si>
    <t>Annual precipitation over Central America and large areas of Mexico is typically characterised by its bimodal distribution, with a precipitation minimum in July to August that occurs between two separate maxima from May to July and August to October. Several theories have been proposed to explain this phenomenon, which is often termed the mid-summer drought (MSD), but most fail to address the different characteristics associated with individual MSD events. Here, a regression-based approach is used to detect and quantify the annual and climatological MSD signature over Central America and Mexico. This approach has been evaluated and shown to be robust for various datasets with different spatial resolutions. It was found that in the southeast of the Mexico/Central America region, MSDs start earlier and end later than elsewhere, and are thus longer in duration. However, the coast of the Gulf of Mexico, Cuba, and large areas of Central America, exhibit climatologically stronger MSDs. Changes in precipitation, brought about by the interaction between reversals of the onshore/offshore winds and orographic forcing associated with the steep mountainous terrain, have also been shown to be significant factors in the timing of MSD occurrences, offering support for a combined theory of large-scale dynamics and regional forcing. Using self-organising maps (SOMs) as an analysis tool, it was found that MSD events over the domain display strong spatial variability. The MSDs over the domain also generate distinct signatures and may be forced by particular mechanisms. We found that El Nino-Southern Oscillation (ENSO) could be a potential classifier for the SOM identified atmospheric states, based on the correspondence of MSD occurrences with ENSO phases.</t>
  </si>
  <si>
    <t>[Zhao, Zijie] Univ Melbourne, Sch Earth Sci, Melbourne, Vic, Australia; [Zhao, Zijie] Univ Melbourne, Ctr Excellence Climate Extremes, Australian Res Council, Melbourne, Vic, Australia; [Holbrook, Neil J.] Univ Tasmania, Inst Marine &amp; Antarctic Studies, Hobart, Tas, Australia; [Holbrook, Neil J.; Oliver, Eric C. J.] Univ Tasmania, Ctr Excellence Climate Extremes, Australian Res Council, Hobart, Tas, Australia; [Oliver, Eric C. J.] Dalhousie Univ, Dept Oceanog, Halifax, NS, Canada; [Ballestero, Daniel; Vargas-Hernandez, J. Mauro] Univ Nacl, Dept Fis, Heredia, Costa Rica</t>
  </si>
  <si>
    <t>University of Melbourne; Melbourne Bioinformatics; Melbourne Genomics Health Alliance; University of Melbourne; University of Tasmania; University of Tasmania; Dalhousie University; Universidad Nacional Costa Rica</t>
  </si>
  <si>
    <t>Zhao, ZJ (corresponding author), Univ Melbourne, Sch Earth Sci, Melbourne, Vic, Australia.;Zhao, ZJ (corresponding author), Univ Melbourne, Ctr Excellence Climate Extremes, Australian Res Council, Melbourne, Vic, Australia.</t>
  </si>
  <si>
    <t>zijizhao@student.unimelb.edu.au</t>
  </si>
  <si>
    <t>Holbrook, Neil/M-7544-2013; Oliver, Eric/G-5118-2014</t>
  </si>
  <si>
    <t>Holbrook, Neil/0000-0002-3523-6254; Oliver, Eric/0000-0002-4006-2826; Zhao, Zijie/0000-0003-3403-878X; Vargas-Hernandez, Jose Mauro/0000-0002-7014-7054</t>
  </si>
  <si>
    <t>Australian Research Council Centre of Excellence for Climate System Science [CE110001028]; ARC Centre of Excellence for Climate Extremes [CE170100023]</t>
  </si>
  <si>
    <t>Australian Research Council Centre of Excellence for Climate System Science(Australian Research Council); ARC Centre of Excellence for Climate Extremes</t>
  </si>
  <si>
    <t>This research was supported by a vacation scholarship provided by the Australian Research Council Centre of Excellence for Climate System Science (CE110001028). We also thank Jiale Lou, Yueyang Lu and Yue Man for thoughtful discussions. NJH acknowledges funding support from the ARC Centre of Excellence for Climate Extremes (CE170100023). Authors declare no conflict of interest.</t>
  </si>
  <si>
    <t>10.1007/s00382-020-05283-6</t>
  </si>
  <si>
    <t>WOS:000531458300002</t>
  </si>
  <si>
    <t>Rossetto-Harris, G; Wilf, P; Escapa, IH; Andruchow-Colombo, A</t>
  </si>
  <si>
    <t>Rossetto-Harris, Gabriella; Wilf, Peter; Escapa, Ignacio H.; Andruchow-Colombo, Ana</t>
  </si>
  <si>
    <t>Eocene Araucaria Sect. Eutacta from Patagonia and floristic turnover during the initial isolation of South America</t>
  </si>
  <si>
    <t>AMERICAN JOURNAL OF BOTANY</t>
  </si>
  <si>
    <t>Araucariaceae; biogeography; conifers; early Eocene climatic optimum; Gondwana; Laguna del Hunco; Patagonia; rainforest; Rio Pichileufu; total evidence phylogeny</t>
  </si>
  <si>
    <t>PHYLOGENETIC-RELATIONSHIPS; AGATHIS ARAUCARIACEAE; FAMILY ARAUCARIACEAE; GONDWANAN PATAGONIA; PLANT DIVERSITY; RAIN-FOREST; NEW-ZEALAND; LEAVES; MACROFOSSILS; VEGETATION</t>
  </si>
  <si>
    <t>Premise Eocene floras of Patagonia document biotic response to the final separation of Gondwana. The conifer genus Araucaria, distributed worldwide during the Mesozoic, has a disjunct extant distribution between South America and Australasia. Fossils assigned to Australasian Araucaria Sect. Eutacta usually are represented by isolated organs, making diagnosis difficult. Araucaria pichileufensis E.W. Berry, from the middle Eocene Rio Pichileufu (RP) site in Argentine Patagonia, was originally placed in Sect. Eutacta and later reported from the early Eocene Laguna del Hunco (LH) locality. However, the relationship of A. pichileufensis to Sect. Eutacta and the conspecificity of the Araucaria material among these Patagonian floras have not been tested using modern methods. Methods We review the type material of A. pichileufensis alongside large (n = 192) new fossil collections of Araucaria from LH and RP, including multi-organ preservation of leafy branches, ovuliferous complexes, and pollen cones. We use a total evidence phylogenetic analysis to analyze relationships of the fossils to Sect. Eutacta. Results We describe Araucaria huncoensis sp. nov. from LH and improve the whole-plant concept for Araucaria pichileufensis from RP. The two species respectively resolve in the crown and stem of Sect. Eutacta. Conclusions Our results confirm the presence and indicate the survival of Sect. Eutacta in South America during early Antarctic separation. The exceptionally complete fossils significantly predate several molecular age estimates for crown Eutacta. The differentiation of two Araucaria species demonstrates conifer turnover during climate change and initial South American isolation from the early to middle Eocene.</t>
  </si>
  <si>
    <t>[Rossetto-Harris, Gabriella; Wilf, Peter] Penn State Univ, Dept Geosci, University Pk, PA 16802 USA; [Escapa, Ignacio H.; Andruchow-Colombo, Ana] Consejo Nacl Invest Cient &amp; Tecn, Museo Paleontol Egidio Feruglio, RA-9100 Trelew, Chubut, Argentina</t>
  </si>
  <si>
    <t>Pennsylvania Commonwealth System of Higher Education (PCSHE); Pennsylvania State University; Pennsylvania State University - University Park; Consejo Nacional de Investigaciones Cientificas y Tecnicas (CONICET)</t>
  </si>
  <si>
    <t>Rossetto-Harris, G (corresponding author), Penn State Univ, Dept Geosci, University Pk, PA 16802 USA.</t>
  </si>
  <si>
    <t>grharris@psu.edu</t>
  </si>
  <si>
    <t>Rossetto-Harris, Gabriella/0000-0002-4968-6491</t>
  </si>
  <si>
    <t>Botanical Society of America Graduate Student Research Grant; Geological Society of America Graduate Student Research Grant; Penn State Geosciences Charles E. Knopf, Sr., Memorial Scholarship; Penn State Geosciences Paul D. Krynine Scholarship; NSF [DEB-1556666, EAR-1925755, DEB-0919071, DEB-0345750]; National Geographic Society grant [7337-02]</t>
  </si>
  <si>
    <t>Botanical Society of America Graduate Student Research Grant; Geological Society of America Graduate Student Research Grant; Penn State Geosciences Charles E. Knopf, Sr., Memorial Scholarship; Penn State Geosciences Paul D. Krynine Scholarship; NSF(National Science Foundation (NSF)); National Geographic Society grant(National Geographic Society)</t>
  </si>
  <si>
    <t>We thank M. Caffa, L. Canessa, R. Cuneo, M. Gandolfo, A. Iglesias, K. Johnson, L. Reiner, E. Ruigomez, P. Puerta, S. Wing, J. Wingerath, and the many others involved in the collection and curation of the Patagonian fossils. We thank A. Iglesias for leading the 2017 Rio Pichileufu field trip that produced a large increase in A. pichileufensis material from the type locality. We also thank S. Chamberlain, P. Griffith, J. Tucker Lima, and the staff of the Montgomery Botanical Center, Harvard University Herbaria, and Huntington Library and Gardens for assistance with and curation of the living material. We thank the editors and reviewers for their comments, which have improved the manuscript. This research was supported by a Botanical Society of America Graduate Student Research Grant; a Geological Society of America Graduate Student Research Grant; a Penn State Geosciences Charles E. Knopf, Sr., Memorial Scholarship; and a Penn State Geosciences Paul D. Krynine Scholarship (to G. R.-H.); NSF grants DEB-1556666, EAR-1925755, DEB-0919071, and DEB-0345750 (to P.W. and others); and National Geographic Society grant 7337-02 (to P.W. and others). This research partially fulfilled requirements for a 2019 M.S. in Geosciences at Pennsylvania State University for G.R.-H.</t>
  </si>
  <si>
    <t>0002-9122</t>
  </si>
  <si>
    <t>1537-2197</t>
  </si>
  <si>
    <t>AM J BOT</t>
  </si>
  <si>
    <t>Am. J. Bot.</t>
  </si>
  <si>
    <t>10.1002/ajb2.1467</t>
  </si>
  <si>
    <t>LQ8EW</t>
  </si>
  <si>
    <t>WOS:000531156500001</t>
  </si>
  <si>
    <t>Liu, XX; Zhang, XM; Wang, YH</t>
  </si>
  <si>
    <t>Liu, Xuxu; Zhang, Xiumei; Wang, Yihang</t>
  </si>
  <si>
    <t>Effects of temperature on the respiratory metabolism, feeding and expression of three heat shock protein genes in Anadara broughtonii</t>
  </si>
  <si>
    <t>Anadara broughtonii; temperature; oxygen consumption rate; clearance rate; heat shock protein gene</t>
  </si>
  <si>
    <t>SCALLOP ARGOPECTEN-PURPURATUS; OSTREA-EDULIS L; PHYSIOLOGICAL-RESPONSES; MOLECULAR CHAPERONES; ARK SHELL; OXYGEN-CONSUMPTION; FOOD CONCENTRATION; ANTARCTIC BIVALVE; FILTRATION-RATES; STRESS RESPONSES</t>
  </si>
  <si>
    <t>Anadara broughtonii is one of the main commercially important species of shellfish in northern China. A. broughtonii lives in relatively stable subtidal zone where the clam could respond to environmental changes with minimum energy. Therefore, slight fluctuations in water environment may have a great impact on physiological processes such as feeding and metabolism. Large-scale mortality often occurs during the intermediate rearing processes, and high temperatures in summer are considered the leading cause of mortality. To understand the physiological and molecular response patterns of A. broughtonii at high temperatures and to estimate the appropriate metabolism temperature for A. broughtonii, the effects of temperature on the respiratory metabolism and food intake at different growth stages were studied. The response patterns of heat shock protein genes to heat stress and post-stress recovery were also explored. Results show that the temperature and growth stage of A. broughtonii were two important factors affecting metabolism and feeding. The optimum temperature for feeding and physiological activities in each shell-length group was 24 degrees C. The temperature at which the peak metabolic rate occurred in each shell-length group increased with the increase in shell length. With the increase in heat stress, the expression of three heat shock protein genes (Abhsp60, Abhsp70, and Abhsp90) in the tissues of two size groups of A. broughtonii increased significantly when temperature was above 24 degrees C and reached a peak at 30 degrees C. After heat shock at 30 degrees C for 2 h, the expression of the three heat shock protein genes rapidly increased, peaked at 2 h after the heat shock, and then gradually decreased to the level of the control group at 48 h after the heat shock. The three heat shock protein genes respond rapidly to heat stress and can be used as indicators to the cellular stress response in A. broughtonii under an environmental stress.</t>
  </si>
  <si>
    <t>[Liu, Xuxu; Wang, Yihang] Ocean Univ China, Key Lab Mariculture, Minist Educ, Qingdao 266003, Peoples R China; [Zhang, Xiumei] Zhejiang Ocean Univ, Fisheries Coll, Zhoushan 316022, Peoples R China; [Zhang, Xiumei] Qingdao Natl Lab Marine Sci &amp; Technol, Lab Marine Fisheries Sci &amp; Food Prod Proc, Qingdao 266237, Peoples R China</t>
  </si>
  <si>
    <t>Ocean University of China; Zhejiang Ocean University; Laoshan Laboratory</t>
  </si>
  <si>
    <t>Zhang, XM (corresponding author), Zhejiang Ocean Univ, Fisheries Coll, Zhoushan 316022, Peoples R China.;Zhang, XM (corresponding author), Qingdao Natl Lab Marine Sci &amp; Technol, Lab Marine Fisheries Sci &amp; Food Prod Proc, Qingdao 266237, Peoples R China.</t>
  </si>
  <si>
    <t>xiumei1227@163.com</t>
  </si>
  <si>
    <t>Marine S&amp;T Fund of Shandong Province for Pilot National Laboratory for Marine Science and Technology (Qingdao) [2018SDKJ0501-4]; National Key Research and Development Program [2019YFD0901303]</t>
  </si>
  <si>
    <t>Marine S&amp;T Fund of Shandong Province for Pilot National Laboratory for Marine Science and Technology (Qingdao); National Key Research and Development Program</t>
  </si>
  <si>
    <t>Supported by the Marine S&amp;T Fund of Shandong Province for Pilot National Laboratory for Marine Science and Technology (Qingdao) (No. 2018SDKJ0501-4) and the National Key Research and Development Program (No. 2019YFD0901303)</t>
  </si>
  <si>
    <t>16 DONGHUANGCHENGGEN NORTH ST, Building 5, Room 411, BEIJING, 100009, PEOPLES R CHINA</t>
  </si>
  <si>
    <t>10.1007/s00343-020-9309-0</t>
  </si>
  <si>
    <t>RN2UN</t>
  </si>
  <si>
    <t>WOS:000531220300003</t>
  </si>
  <si>
    <t>Couston, LA; Lecoanet, D; Favier, B; Le Bars, M</t>
  </si>
  <si>
    <t>Couston, Louis-Alexandre; Lecoanet, Daniel; Favier, Benjamin; Le Bars, Michael</t>
  </si>
  <si>
    <t>Shape and size of large-scale vortices: A generic fluid pattern in geophysical fluid dynamics</t>
  </si>
  <si>
    <t>PHYSICAL REVIEW RESEARCH</t>
  </si>
  <si>
    <t>PART I; STRATIFICATION; EDDIES; MESOSCALE; CORE; CONVECTION; WAVES; PENETRATION; TURBULENCE; VORTEX</t>
  </si>
  <si>
    <t>Planetary rotation organizes fluid motions into coherent, long-lived swirls, known as large-scale vortices (LSVs), which play an important role in the dynamics and long-term evolution of geophysical and astrophysical fluids. Here, using direct numerical simulations, we show that LSVs in rapidly rotating mixed convective and stably stratified fluids, which approximates the two-layer, turbulent-stratified dynamics of many geophysical and astrophysical fluids, have a generic shape and that their size can be predicted. We show that LSVs emerge in the convection zone from upscale energy transfers and can penetrate into the stratified layer. At the convective-stratified interface, the LSV cores have a positive buoyancy anomaly. Due to the thermal wind constraint, this buoyancy anomaly leads to winds in the stratified layer that decay over a characteristic vertical length scale. Thus LSVs take the shape of a depth-invariant cylinder with a finite-size radius in the turbulent layer and of a penetrating half dome in the stratified layer. Importantly, we demonstrate that when LSVs penetrate all the way through the stratified layer and reach a boundary that is no-slip, they saturate by boundary friction. We provide a prediction for the penetration depth and maximum radius of LSVs as a function of the LSV vorticity, the stratified layer depth, and the stratification. Our results, which apply for cyclonic LSVs, suggest that LSVs in slowly rotating stars and Earth's liquid core are confined to the convective layer, while in Earth's atmosphere and oceans they can penetrate far into the stratified layer.</t>
  </si>
  <si>
    <t>[Couston, Louis-Alexandre; Favier, Benjamin; Le Bars, Michael] Aix Marseille Univ, IRPHE, Cent Marseille, CNRS, Marseille, France; [Couston, Louis-Alexandre] British Antarctic Survey, Cambridge CB3 0ET, England; [Lecoanet, Daniel] Princeton Ctr Theoret Sci, Princeton, NJ 08544 USA</t>
  </si>
  <si>
    <t>Aix-Marseille Universite; Centre National de la Recherche Scientifique (CNRS); UK Research &amp; Innovation (UKRI); Natural Environment Research Council (NERC); NERC British Antarctic Survey; Princeton University</t>
  </si>
  <si>
    <t>Couston, LA (corresponding author), Aix Marseille Univ, IRPHE, Cent Marseille, CNRS, Marseille, France.;Couston, LA (corresponding author), British Antarctic Survey, Cambridge CB3 0ET, England.</t>
  </si>
  <si>
    <t>lacouston@gmail.com</t>
  </si>
  <si>
    <t>Favier, Benjamin/Q-5146-2019; Couston, Louis-Alexandre/ABC-7665-2020; Lecoanet, Daniel/AAA-8461-2022; Le Bars, Michael/M-7019-2018</t>
  </si>
  <si>
    <t>Favier, Benjamin/0000-0002-1184-2989; Couston, Louis-Alexandre/0000-0002-2184-2472; Lecoanet, Daniel/0000-0002-7635-9728; Le Bars, Michael/0000-0002-4884-6190</t>
  </si>
  <si>
    <t>European Research Council under the European Union's Horizon 2020 research and innovation program [681835-FLUDYCO-ERC-2015-CoG]; European Union's Horizon 2020 research and innovation programme under the Marie-Sklodowska Curie [793450]; PCTS fellowship; Lyman Spitzer Jr. fellowship; GENCI-IDRIS [A0040407543, A0060407543]; NASA High End Computing (HEC) Program through the NASA Advanced Supercomputing (NAS) Division at Ames Research Center on Pleiades [s1647, s1439]; Marie Curie Actions (MSCA) [793450] Funding Source: Marie Curie Actions (MSCA)</t>
  </si>
  <si>
    <t>European Research Council under the European Union's Horizon 2020 research and innovation program; European Union's Horizon 2020 research and innovation programme under the Marie-Sklodowska Curie; PCTS fellowship; Lyman Spitzer Jr. fellowship; GENCI-IDRIS; NASA High End Computing (HEC) Program through the NASA Advanced Supercomputing (NAS) Division at Ames Research Center on Pleiades; Marie Curie Actions (MSCA)(Marie Curie Actions)</t>
  </si>
  <si>
    <t>The authors acknowledge funding by the European Research Council under the European Union's Horizon 2020 research and innovation program through Grant No. 681835-FLUDYCO-ERC-2015-CoG. L.-A.C. acknowledges funding from the European Union's Horizon 2020 research and innovation programme under the Marie-Sklodowska Curie grant agreement No. 793450. D.L. is supported by a PCTS fellowship and a Lyman Spitzer Jr. fellowship. Computations were conducted with support by the HPC resources of GENCI-IDRIS (Grants No. A0040407543 and No. A0060407543) and by the NASA High End Computing (HEC) Program through the NASA Advanced Supercomputing (NAS) Division at Ames Research Center on Pleiades with allocations GID s1647 and s1439.</t>
  </si>
  <si>
    <t>2643-1564</t>
  </si>
  <si>
    <t>PHYS REV RES</t>
  </si>
  <si>
    <t>Phys. Rev. Res.</t>
  </si>
  <si>
    <t>MAY 8</t>
  </si>
  <si>
    <t>10.1103/PhysRevResearch.2.023143</t>
  </si>
  <si>
    <t>PM1OK</t>
  </si>
  <si>
    <t>WOS:000603577500007</t>
  </si>
  <si>
    <t>Reid, C; Begg, J; Mouslopoulou, V; Oncken, O; Nicol, A; Kufner, SK</t>
  </si>
  <si>
    <t>Reid, Catherine; Begg, John; Mouslopoulou, Vasiliki; Oncken, Onno; Nicol, Andrew; Kufner, Sofia-Katerina</t>
  </si>
  <si>
    <t>Using a calibrated upper living position of marine biota to calculate coseismic uplift: a case study of the 2016 Kaikoura earthquake, New Zealand</t>
  </si>
  <si>
    <t>EARTH SURFACE DYNAMICS</t>
  </si>
  <si>
    <t>W 7.8 KAIKOURA; COASTAL UPLIFT; LEVEL CHANGES; DEFORMATION; RUPTURE; PLATE; MORTALITY; CHILE; CRETE</t>
  </si>
  <si>
    <t>The 2016 Mw = 7.8 Kaikoura earthquake (South Island, New Zealand) caused widespread complex ground deformation, including significant coastal uplift of rocky shorelines. This coastal deformation is used here to develop a new methodology, in which the upper living limits of intertidal marine biota have been calibrated against tide-gauge records to quantitatively constrain pre-deformation biota living position relative to sea level. This living position is then applied to measure coseismic uplift at three other locations along the Kaikoura coast. We then assess how coseismic uplift derived using this calibrated biological method compares to that measured using other methods, such as light detection and ranging (lidar) and strong-motion data, as well as non-calibrated biological methods at the same localities. The results show that where biological data are collected by a realtime kinematic (RTK) global navigation satellite system (GNSS) in sheltered locations, this new tide-gauge calibration method estimates tectonic uplift with an accuracy of +/- &lt;= 0.07m in the vicinity of the tide gauge and an overall mean accuracy of +/- 0.10m or 10% compared to differential lidar methods for all locations. Sites exposed to high wave wash, or data collected by tape measure, are more likely to show higher uplift results. Tectonic uplift estimates derived using predictive tidal charts produce overall higher uplift estimates in comparison to tide-gauge-calibrated and instrumental methods, with mean uplift results 0.21m or 20% higher than lidar results. This low-tech methodology can, however, produce uplift results that are broadly consistent with instrumental methodologies and may be applied with confidence in remote locations where lidar or local tide-gauge measurements are not available.</t>
  </si>
  <si>
    <t>[Reid, Catherine; Nicol, Andrew] Univ Canterbury, Sch Earth &amp; Environm, Private Bag 4800, Christchurch 8140, New Zealand; [Begg, John] GNS Sci, POB 30-368, Lower Hutt, New Zealand; [Mouslopoulou, Vasiliki] Natl Observ Athens, Inst Geodynam, Athens 11810, Greece; [Mouslopoulou, Vasiliki; Oncken, Onno; Kufner, Sofia-Katerina] GFZ Helmholtz Ctr Potsdam, German Res Ctr Geosci, D-14473 Potsdam, Germany; [Kufner, Sofia-Katerina] British Antarctic Survey, Madingley Rd, Cambridge CB3 0ET, England</t>
  </si>
  <si>
    <t>University of Canterbury; GNS Science - New Zealand; National Observatory of Athens; Helmholtz Association; Helmholtz-Center Potsdam GFZ German Research Center for Geosciences; UK Research &amp; Innovation (UKRI); Natural Environment Research Council (NERC); NERC British Antarctic Survey</t>
  </si>
  <si>
    <t>Mouslopoulou, V (corresponding author), Natl Observ Athens, Inst Geodynam, Athens 11810, Greece.;Mouslopoulou, V (corresponding author), GFZ Helmholtz Ctr Potsdam, German Res Ctr Geosci, D-14473 Potsdam, Germany.</t>
  </si>
  <si>
    <t>vasiliki.mouslopoulou@noa.gr</t>
  </si>
  <si>
    <t>Oncken, Onno/AAU-2907-2020; Mouslopoulou, Vasiliki/AAN-1573-2020; Mouslopoulou, Vasiliki/A-2842-2015</t>
  </si>
  <si>
    <t>Oncken, Onno/0000-0002-2894-480X; Mouslopoulou, Vasiliki/0000-0002-5049-5027; Mouslopoulou, Vasiliki/0000-0002-5049-5027; Begg, John/0000-0001-6935-6855; Kufner, Sofia-Katerina/0000-0002-9687-5455</t>
  </si>
  <si>
    <t>HART-GFZ grant; NERC [bas0100034] Funding Source: UKRI</t>
  </si>
  <si>
    <t>HART-GFZ grant; NERC(UK Research &amp; Innovation (UKRI)Natural Environment Research Council (NERC))</t>
  </si>
  <si>
    <t>This research has been supported by a HART-GFZ grant.</t>
  </si>
  <si>
    <t>2196-6311</t>
  </si>
  <si>
    <t>2196-632X</t>
  </si>
  <si>
    <t>EARTH SURF DYNAM</t>
  </si>
  <si>
    <t>Earth Surf. Dyn.</t>
  </si>
  <si>
    <t>10.5194/esurf-8-351-2020</t>
  </si>
  <si>
    <t>LL9JI</t>
  </si>
  <si>
    <t>WOS:000531869100002</t>
  </si>
  <si>
    <t>Horton, BP; Khan, NS; Cahill, N; Lee, JSH; Shaw, TA; Garner, AJ; Kemp, AC; Engelhart, SE; Rahmstorf, S</t>
  </si>
  <si>
    <t>Horton, Benjamin P.; Khan, Nicole S.; Cahill, Niamh; Lee, Janice S. H.; Shaw, Timothy A.; Garner, Andra J.; Kemp, Andrew C.; Engelhart, Simon E.; Rahmstorf, Stefan</t>
  </si>
  <si>
    <t>Estimating global mean sea-level rise and its uncertainties by 2100 and 2300 from an expert survey</t>
  </si>
  <si>
    <t>NPJ CLIMATE AND ATMOSPHERIC SCIENCE</t>
  </si>
  <si>
    <t>PROJECTIONS; GREENLAND; CONSEQUENCES; CLIMATE</t>
  </si>
  <si>
    <t>Sea-level rise projections and knowledge of their uncertainties are vital to make informed mitigation and adaptation decisions. To elicit projections from members of the scientific community regarding future global mean sea-level (GMSL) rise, we repeated a survey originally conducted five years ago. Under Representative Concentration Pathway (RCP) 2.6, 106 experts projected a likely (central 66% probability) GMSL rise of 0.30-0.65 m by 2100, and 0.54-2.15 m by 2300, relative to 1986-2005. Under RCP 8.5, the same experts projected a likely GMSL rise of 0.63-1.32 m by 2100, and 1.67-5.61 m by 2300. Expert projections for 2100 are similar to those from the original survey, although the projection for 2300 has extended tails and is higher than the original survey. Experts give a likelihood of 42% (original survey) and 45% (current survey) that under the high-emissions scenario GMSL rise will exceed the upper bound (0.98 m) of the likely range estimated by the Fifth Assessment Report of the Intergovernmental Panel on Climate Change, which is considered to have an exceedance likelihood of 17%. Responses to open-ended questions suggest that the increases in upper-end estimates and uncertainties arose from recent influential studies about the impact of marine ice cliff instability on the meltwater contribution to GMSL rise from the Antarctic Ice Sheet.</t>
  </si>
  <si>
    <t>[Horton, Benjamin P.; Lee, Janice S. H.; Shaw, Timothy A.] Nanyang Technol Univ, Asian Sch Environm, Singapore 639798, Singapore; [Horton, Benjamin P.] Nanyang Technol Univ, Earth Observ Singapore, Singapore 639798, Singapore; [Khan, Nicole S.] Univ Hong Kong, Dept Earth Sci, Hong Kong, Peoples R China; [Khan, Nicole S.] Univ Hong Kong, Swire Marine Inst, Hong Kong, Peoples R China; [Cahill, Niamh] Maynooth Univ, Dept Math &amp; Stat, Maynooth, Kildare, Ireland; [Garner, Andra J.] Rowan Univ, Dept Environm Sci, Glassboro, NJ 08028 USA; [Kemp, Andrew C.] Tufts Univ, Dept Earth &amp; Ocean Sci, Medford, MA 02155 USA; [Engelhart, Simon E.] Univ Durham, Dept Geog, Durham DH1 3LE, England; [Rahmstorf, Stefan] Potsdam Inst Climate Impact Res, Telegrafenberg A62, D-144473 Potsdam, Germany; [Rahmstorf, Stefan] Univ Potsdam, Inst Phys &amp; Astron, Telegrafenberg A62, D-144473 Potsdam, Germany</t>
  </si>
  <si>
    <t>Nanyang Technological University; Nanyang Technological University; University of Hong Kong; University of Hong Kong; Maynooth University; Rowan University; Tufts University; Durham University; Potsdam Institut fur Klimafolgenforschung; University of Potsdam</t>
  </si>
  <si>
    <t>Horton, BP (corresponding author), Nanyang Technol Univ, Asian Sch Environm, Singapore 639798, Singapore.;Horton, BP (corresponding author), Nanyang Technol Univ, Earth Observ Singapore, Singapore 639798, Singapore.</t>
  </si>
  <si>
    <t>bphorton@ntu.edu.sg</t>
  </si>
  <si>
    <t>Lee, Janice Ser Huay/HTM-2431-2023; Engelhart, Simon E./H-4968-2019; Rahmstorf, Stefan/A-8465-2010; Khan, Nicole Sophia/M-6875-2018; IPO, PAGES/JXY-7546-2024; Cahill, Niamh/JNE-2422-2023; Cahill, Niamh/ABF-5291-2021</t>
  </si>
  <si>
    <t>Engelhart, Simon E./0000-0002-4431-4664; Rahmstorf, Stefan/0000-0001-6786-7723; Khan, Nicole Sophia/0000-0002-9845-1103; Lee, Janice Ser Huay/0000-0001-6368-6212; Shaw, Timothy/0000-0002-9007-637X; Garner, Andra/0000-0002-4994-9271; Cahill, Niamh/0000-0003-3086-550X</t>
  </si>
  <si>
    <t>Singapore Ministry of Education Academic Research Fund [MOE2019-T3-1-004]; National Research Foundation Singapore; Singapore Ministry of Education, under the Research Centers of Excellence initiative</t>
  </si>
  <si>
    <t>Singapore Ministry of Education Academic Research Fund(Ministry of Education, Singapore); National Research Foundation Singapore(National Research Foundation, Singapore); Singapore Ministry of Education, under the Research Centers of Excellence initiative(Ministry of Education, Singapore)</t>
  </si>
  <si>
    <t>B.P.H., N.S.K., and T.A.S. are supported by the Singapore Ministry of Education Academic Research Fund MOE2019-T3-1-004, the National Research Foundation Singapore, and the Singapore Ministry of Education, under the Research Centers of Excellence initiative. This article is a contribution to PALSEA (Palaeo-Constraints on Sea-Level Rise), HOLSEA, and International Geoscience Program (IGCP) Project 639, Sea-Level Changes from Minutes to Millennia. This work is Earth Observatory of Singapore contribution 299.</t>
  </si>
  <si>
    <t>2397-3722</t>
  </si>
  <si>
    <t>NPJ CLIM ATMOS SCI</t>
  </si>
  <si>
    <t>npj Clim. Atmos. Sci.</t>
  </si>
  <si>
    <t>10.1038/s41612-020-0121-5</t>
  </si>
  <si>
    <t>LK8ZH</t>
  </si>
  <si>
    <t>WOS:000531147200001</t>
  </si>
  <si>
    <t>Mullins, J; Nowak, B; Leef, M; Ron, O; Eriksen, TB; McGurk, C</t>
  </si>
  <si>
    <t>Mullins, Julia; Nowak, Barbara; Leef, Melanie; Ron, Oyvind; Eriksen, Tommy Berger; McGurk, Charles</t>
  </si>
  <si>
    <t>Functional diets improve survival and physiological response of Atlantic salmon (Salmo salar) to amoebic gill disease</t>
  </si>
  <si>
    <t>amoebic gill disease; Atlantic salmon; challenge trial; mucus; Paramoeba perurans</t>
  </si>
  <si>
    <t>NEOPARAMOEBA-PERURANS; RAINBOW-TROUT; FISH; AGD; GROWTH; MUCUS; RESISTANCE; PATHOLOGY; LYSOZYME; STRESS</t>
  </si>
  <si>
    <t>Amoebic gill disease (AGD) is a major challenge for the marine salmonid farming industry. This disease is caused by Paramoeba perurans, which is a parasitic amoeba that affects fish growth and survival. The present work aimed at improving Atlantic salmon (Salmo salar) diet formulation as a preventive treatment for AGD. Four diets with different quantitative composition of functional ingredients, such as arginine, premixes, plant extracts, nucleotides, beta glucans, and vitamins C and E were tested. In the first trial, fish fed the different diets were exposed to a 74-day challenge trial with P. perurans, and their survival, feed intake, and growth performance were analyzed together with plasma properties and gill histopathology. Additionally, a second trial was performed where mucus constituents of Atlantic salmon fed the same diets were analyzed from fish that were not exposed to AGD. Results suggest a positive effect of the functional ingredients on Atlantic salmon survival and immune response. Particularly, the inclusion of arginine, microadditives, and vitamins C and E improved survival, with arginine being an important driver of pathogen protection. The protective role of mucus also improved with these functional ingredients in nonchallenged fish, as suggested by its greater viscosity and by the increased levels of lysozymes and polysaccharides. Overall, the present work supports improving diet formulation as a promising approach for the preventive treatment of AGD.</t>
  </si>
  <si>
    <t>[Mullins, Julia; Ron, Oyvind; Eriksen, Tommy Berger; McGurk, Charles] Skretting Aquaculture Res Ctr, Dept Hlth, POB 48, Stavanger, Norway; [Nowak, Barbara] Univ Tasmania, Fisheries &amp; Aquaculture, Launceston, Tas, Australia; [Leef, Melanie] Univ Tasmania, Inst Marine &amp; Antarctic Studies, Launceston, Tas, Australia</t>
  </si>
  <si>
    <t>Mullins, J (corresponding author), Skretting Aquaculture Res Ctr, Dept Hlth, POB 48, Stavanger, Norway.</t>
  </si>
  <si>
    <t>julia.mullins@skretting.com</t>
  </si>
  <si>
    <t>Leef, Melanie J/C-6655-2013; Nowak, Barbara/J-7261-2014</t>
  </si>
  <si>
    <t>Nowak, Barbara/0000-0002-0347-643X</t>
  </si>
  <si>
    <t>10.1111/jwas.12692</t>
  </si>
  <si>
    <t>MB3CI</t>
  </si>
  <si>
    <t>WOS:000531399000001</t>
  </si>
  <si>
    <t>Xu, P; Modavi, C; Demaree, B; Twigg, F; Liang, B; Sun, C; Zhang, WJ; Abate, AR</t>
  </si>
  <si>
    <t>Xu, Peng; Modavi, Cyrus; Demaree, Benjamin; Twigg, Frederick; Liang, Benjamin; Sun, Chen; Zhang, Wenjun; Abate, Adam R.</t>
  </si>
  <si>
    <t>Microfluidic automated plasmid library enrichment for biosynthetic gene cluster discovery</t>
  </si>
  <si>
    <t>NUCLEIC ACIDS RESEARCH</t>
  </si>
  <si>
    <t>HUMAN DNA; METAGENOMICS; SEQUENCE; AMPLIFICATION; ALIGNMENT; DROPLETS; DEVICES; REGIONS; CLONING</t>
  </si>
  <si>
    <t>Microbial biosynthetic gene clusters are a valuable source of bioactive molecules. However, because they typically represent a small fraction of genomic material in most metagenomic samples, it remains challenging to deeply sequence them. We present an approach to isolate and sequence gene clusters in metagenomic samples using microfluidic automated plasmid library enrichment. Our approach provides deep coverage of the target gene cluster, facilitating reassembly. We demonstrate the approach by isolating and sequencing type I polyketide synthase gene clusters from an Antarctic soil metagenome. Our method promotes the discovery of functional-related genes and biosynthetic pathways.</t>
  </si>
  <si>
    <t>[Xu, Peng; Modavi, Cyrus; Demaree, Benjamin; Liang, Benjamin; Sun, Chen; Abate, Adam R.] Univ Calif San Francisco, Dept Bioengn &amp; Therapeut Sci, San Francisco, CA 94143 USA; [Demaree, Benjamin] Univ Calif San Francisco, UC Berkeley UCSF Grad Program Bioengn, San Francisco, CA 94143 USA; [Twigg, Frederick; Zhang, Wenjun] Univ Calif Berkeley, Dept Chem &amp; Biomol Engn, Berkeley, CA 94720 USA; [Zhang, Wenjun; Abate, Adam R.] Chan Zuckerberg Biohub, San Francisco, CA 94102 USA</t>
  </si>
  <si>
    <t>University of California System; University of California San Francisco; University of California System; University of California San Francisco; University of California System; University of California Berkeley</t>
  </si>
  <si>
    <t>Abate, AR (corresponding author), Univ Calif San Francisco, Dept Bioengn &amp; Therapeut Sci, San Francisco, CA 94143 USA.;Abate, AR (corresponding author), Chan Zuckerberg Biohub, San Francisco, CA 94102 USA.</t>
  </si>
  <si>
    <t>arabate@gmail.com</t>
  </si>
  <si>
    <t>; Xu, Peng/W-6454-2018</t>
  </si>
  <si>
    <t>Modavi, Cyrus/0000-0003-4586-012X; Xu, Peng/0000-0002-3503-6017</t>
  </si>
  <si>
    <t>US National Institutes of Health (NIH) [1R01HG008978-01]</t>
  </si>
  <si>
    <t>US National Institutes of Health (NIH)(United States Department of Health &amp; Human ServicesNational Institutes of Health (NIH) - USA)</t>
  </si>
  <si>
    <t>US National Institutes of Health (NIH) [1R01HG008978-01].</t>
  </si>
  <si>
    <t>0305-1048</t>
  </si>
  <si>
    <t>1362-4962</t>
  </si>
  <si>
    <t>NUCLEIC ACIDS RES</t>
  </si>
  <si>
    <t>Nucleic Acids Res.</t>
  </si>
  <si>
    <t>MAY 7</t>
  </si>
  <si>
    <t>e48</t>
  </si>
  <si>
    <t>10.1093/nar/gkaa131</t>
  </si>
  <si>
    <t>NN9GQ</t>
  </si>
  <si>
    <t>WOS:000569096800006</t>
  </si>
  <si>
    <t>Mackay, AI; Bailleul, F; Carroll, EL; Andrews-Goff, V; Baker, CS; Bannisters, J; Boren, L; Carlyon, K; Donnelly, DM; Double, M; Goldsworthy, SD; Harcourt, R; Holman, D; Lowther, A; Parra, GJ; Childerhouse, SJ</t>
  </si>
  <si>
    <t>Mackay, Alice, I; Bailleul, Frederic; Carroll, Emma L.; Andrews-Goff, Virginia; Baker, C. Scott; Bannisters, John; Boren, Laura; Carlyon, Krisa; Donnelly, David M.; Double, Michael; Goldsworthy, Simon D.; Harcourt, Robert; Holman, Dirk; Lowther, Andrew; Parra, Guido J.; Childerhouse, Simon J.</t>
  </si>
  <si>
    <t>Satellite derived offshore migratory movements of southern right whales (Eubalaena australis) from Australian and New Zealand wintering grounds</t>
  </si>
  <si>
    <t>ATLANTIC RIGHT WHALE; FORAGING BEHAVIOR; GENETIC-STRUCTURE; INDIAN-OCEAN; POPULATION; VARIABILITY; FIDELITY; ECOLOGY; NOISE</t>
  </si>
  <si>
    <t>Southern right whales (Eubalaena australis) migrate between Austral-winter calving and socialising grounds to offshore mid- to high latitude Austral-summer feeding grounds. In Australasia, winter calving grounds used by southern right whales extend from Western Australia across southern Australia to the New Zealand sub-Antarctic Islands. During the Austral-summer these whales are thought to migrate away from coastal waters to feed, but the location of these feeding grounds is only inferred from historical whaling data. We present new information on the satellite derived offshore migratory movements of six southern right whales from Australasian wintering grounds. Two whales were tagged at the Auckland Islands, New Zealand, and the remaining four at Australian wintering grounds, one at Pirates Bay, Tasmania, and three at Head of Bight, South Australia. The six whales were tracked for an average of 78.5 days (range: 29 to 150) with average individual distance of 38 km per day (range: 20 to 61 km). The length of individually derived tracks ranged from 645-6,381 km. Three likely foraging grounds were identified: south-west Western Australia, the Subtropical Front, and Antarctic waters, with the Subtropical Front appearing to be a feeding ground for both New Zealand and Australian southern right whales. In contrast, the individual tagged in Tasmania, from a sub-population that is not showing evidence of post-whaling recovery, displayed a distinct movement pattern to much higher latitude waters, potentially reflecting a different foraging strategy. Variable population growth rates between wintering grounds in Australasia could reflect fidelity to different quality feeding grounds. Unlike some species of baleen whale populations that show movement along migratory corridors, the new satellite tracking data presented here indicate variability in the migratory pathways taken by southern right whales from Australia and New Zealand, as well as differences in potential Austral summer foraging grounds.</t>
  </si>
  <si>
    <t>[Mackay, Alice, I; Bailleul, Frederic; Goldsworthy, Simon D.] Primary Ind &amp; Reg South Australia, South Australian Res &amp; Dev Inst, Adelaide, SA, Australia; [Bailleul, Frederic; Goldsworthy, Simon D.] Univ Adelaide, Sch Biol Sci, Adelaide, SA, Australia; [Carroll, Emma L.] Univ Auckland, Sch Biol Sci, Auckland, New Zealand; [Carroll, Emma L.] Univ St Andrews, Scottish Oceans Inst, Sea Mammal Res Unit, St Andrews, Fife, Scotland; [Andrews-Goff, Virginia; Double, Michael] Australian Marine Mammal Ctr, Australian Antarctic Div, Kingston, Tas, Australia; [Baker, C. Scott] Hatfield Marine Sci Ctr, Newport, OR USA; [Bannisters, John] Western Australian Museum, Welshpool Dc, WA, Australia; [Boren, Laura] New Zealand Dept Conservat, Wellington, New Zealand; [Carlyon, Krisa] Marine Conservat Program, Tasmanian Dept Primary Ind Pk Water &amp; Environm, Hobart, Tas, Australia; [Donnelly, David M.] Killer Whales Australia, Box Hill, Vic, Australia; [Harcourt, Robert] Macquarie Univ, Dept Biol Sci, Sydney, NSW, Australia; [Holman, Dirk] Dept Environm &amp; Water, Port Lincoln, SA, Australia; [Lowther, Andrew] Norwegian Polar Res Inst, Tromso, Norway; [Parra, Guido J.] Flinders Univ S Australia, Cetacean Ecol Behav &amp; Evolut Lab, Adelaide, SA, Australia; [Childerhouse, Simon J.] Blue Planet Marine, Nelson, New Zealand</t>
  </si>
  <si>
    <t>South Australian Research &amp; Development Institute (SARDI); University of Adelaide; University of Auckland; University of St Andrews; Australian Antarctic Division; Western Australian Museum; Macquarie University; Norwegian Polar Institute; Flinders University South Australia</t>
  </si>
  <si>
    <t>Mackay, AI (corresponding author), Primary Ind &amp; Reg South Australia, South Australian Res &amp; Dev Inst, Adelaide, SA, Australia.</t>
  </si>
  <si>
    <t>Alice.I.Mackay@gmail.com</t>
  </si>
  <si>
    <t>Carroll, Emma/U-9133-2019</t>
  </si>
  <si>
    <t>Carroll, Emma/0000-0003-3193-7288; Harcourt, Robert/0000-0003-4666-2934; Andrews-Goff, Virginia/0000-0002-4609-7317; Goldsworthy, Simon/0000-0003-4988-9085; Lowther, Andrew/0000-0003-4294-3157</t>
  </si>
  <si>
    <t>Australian Marine Mammal Center [13/48]</t>
  </si>
  <si>
    <t>Australian Marine Mammal Center</t>
  </si>
  <si>
    <t>Australian Marine Mammal Center Grant 13/48 AIM, SDG, DH, AL http://www.marinemammals.gov.au/The Australian Marine Mammal Center was involved in study design and anlaysis through the involvement in the project by AMMC staff, Dr Mike Double and Dr Virgina Andrews-Goff Princess Melikoff Trust Marine Mammal Conservation Program KC New Zealand Department of Conservation SC</t>
  </si>
  <si>
    <t>e0231577</t>
  </si>
  <si>
    <t>10.1371/journal.pone.0231577</t>
  </si>
  <si>
    <t>LT7ZX</t>
  </si>
  <si>
    <t>WOS:000537285700013</t>
  </si>
  <si>
    <t>Benthic fauna declined on a whitening Antarctic continental shelf</t>
  </si>
  <si>
    <t>WEDDELL SEA SHELF; SOUTHERN-OCEAN; COMMUNITIES; ICE; IMPACT; INVERTEBRATES; ENVIRONMENTS; BIODIVERSITY; SEASONALITY; ECTOTHERMS</t>
  </si>
  <si>
    <t>Ice retreat in West Antarctica and Antarctic Peninsula has led to important changes in seafloor communities and gains in benthic blue carbon. In most of the Antarctic, however, sea ice increased between the 1970s and 2014, but its effects on the benthos remain largely unexplored. Here, we provide a 1988-2014 record of macro- and megafauna from the north-eastern Weddell Sea shelf, where benthic biomass decreased by two thirds and composition shifted from suspension feeders to deposit feeders. Concomitant increases in sea-ice cover suggest a reduced flux of primary production to the benthos. As benthic communities are major repositories for Antarctic biodiversity and play an important role in biogeochemical cycling, the observed changes have far-reaching consequences for the Antarctic ecosystem and its feedback to the climate system. The findings underscore the importance of long-term ecological monitoring in a region vulnerable to warming and ice-shelf collapse. Sea-ice cover in Antarctica has increased over the last decades and reached a maximum in 2014. Here, the authors report strong declines in zoobenthic biomass and abundance and changes in community composition on the NE Weddell Sea shelf over 26 years, with implications for blue carbon and biochemistry in a globally important marine region.</t>
  </si>
  <si>
    <t>[Pineda-Metz, Santiago E. A.; Gerdes, Dieter; Richter, Claudio] Helmholtz Zentrum Polar &amp; Meeresforsch, Alfred Wegener Inst, D-27568 Bremerhaven, Germany; [Pineda-Metz, Santiago E. A.; Richter, Claudio] Univ Bremen, Fachbereich Biol Chem 2, D-28334 Bremen, Germany</t>
  </si>
  <si>
    <t>Pineda-Metz, SEA; Richter, C (corresponding author), Helmholtz Zentrum Polar &amp; Meeresforsch, Alfred Wegener Inst, D-27568 Bremerhaven, Germany.;Pineda-Metz, SEA; Richter, C (corresponding author), Univ Bremen, Fachbereich Biol Chem 2, D-28334 Bremen, Germany.</t>
  </si>
  <si>
    <t>santiago.pineda.metz@gmail.de; Claudio.Richter@awi.de</t>
  </si>
  <si>
    <t>Richter, Claudio/AAT-1212-2020; Pineda Metz, Santiago Esteban Agustin/AAB-4814-2022</t>
  </si>
  <si>
    <t>Richter, Claudio/0000-0002-8182-6896; Pineda Metz, Santiago Esteban Agustin/0000-0001-7780-6449</t>
  </si>
  <si>
    <t>Alfred Wegener Institute [PACES II-T1WP6]; AlfredWegener-Institut Helmholtz-Zentrum fur Polar-und Meeresforchung</t>
  </si>
  <si>
    <t>Alfred Wegener Institute; AlfredWegener-Institut Helmholtz-Zentrum fur Polar-und Meeresforchung</t>
  </si>
  <si>
    <t>We would like to thank the captain, crew and colleagues on board of R/V Polarstern for their help during the eight cruises from 1988 to 2014. We thank Chester Sands and Heike Link for helpful comments in the first draft of the manuscript. Research was supported by the Alfred Wegener Institute (PACES II-T1WP6) and a fellowship to SEAPM given by H. Costa. We acknowledge support by the Open Access Publication Funds of the AlfredWegener-Institut Helmholtz-Zentrum fur Polar-und Meeresforchung.</t>
  </si>
  <si>
    <t>MAY 6</t>
  </si>
  <si>
    <t>10.1038/s41467-020-16093-z</t>
  </si>
  <si>
    <t>MZ0KB</t>
  </si>
  <si>
    <t>WOS:000558811400001</t>
  </si>
  <si>
    <t>Ito, K; Watanabe, YY; Kokubun, N; Takahashi, A</t>
  </si>
  <si>
    <t>Ito, Kentaro; Watanabe, Yuuki Y.; Kokubun, Nobuo; Takahashi, Akinori</t>
  </si>
  <si>
    <t>Inter-colony foraging area segregation quantified in small colonies of Adelie Penguins</t>
  </si>
  <si>
    <t>IBIS</t>
  </si>
  <si>
    <t>feeding site; partitioning; seabirds; separation; spatial distribution</t>
  </si>
  <si>
    <t>KING-GEORGE-ISLAND; COMPETITION; OVERLAP; SIZE; FOOD; ATTACHMENT; TRACKING; BEHAVIOR; RANGE; SPACE</t>
  </si>
  <si>
    <t>Theoretical models on the movement of colonial animals predict that neighbouring colonies may segregate their foraging areas, and many seabird studies have reported the presence of such segregations. However, these studies have often lacked the appropriate null model to test the effect of neighbouring colonies on foraging areas, especially in small colonies or in short-ranging species. Here, we examined the foraging areas of Adelie Penguins Pygoscelis adeliae from two neighbouring (2 km apart) colonies by using bird-borne GPS loggers. The field study was conducted at Hukuro Cove colony (104 pairs) and Mizukuguri Cove colony (338 pairs) in Lutzow-Holm Bay, East Antarctica. We obtained GPS tracks for 504 foraging trips from 48 chick-rearing Adelie Penguins and quantified the degree of overlap in the foraging areas between two colonies. We also produced simulated movement tracks by using correlated random-walks assuming no inter-colony competition and quantified the degree of overlap in the simulated foraging areas. Finally, we compared the results from real GPS tracks with those from simulated tracks to examine the effect of neighbouring colonies on Adelie Penguin movement. The results indicate that the degree of overlap was significantly smaller in real tracks than in simulated tracks. In real tracks, the foraging area of the smaller Hukuro Cove colony extended to the other side of the larger Mizukuguri Cove colony, unlike in simulated tracks. Consequently, we suggest that Adelie Penguins from two neighbouring colonies segregated their foraging areas and that the larger colony appeared to affect the foraging area of the smaller colony.</t>
  </si>
  <si>
    <t>[Ito, Kentaro; Watanabe, Yuuki Y.; Kokubun, Nobuo; Takahashi, Akinori] Grad Univ Adv Studies SOKENDAI, Dept Polar Sci, 10-3 Midori Cho, Tachikawa, Tokyo 1908518, Japan; [Watanabe, Yuuki Y.; Kokubun, Nobuo; Takahashi, Akinori] Natl Inst Polar Res, 10-3 Midori Cho, Tachikawa, Tokyo 1908518, Japan</t>
  </si>
  <si>
    <t>Graduate University for Advanced Studies - Japan; Research Organization of Information &amp; Systems (ROIS); National Institute of Polar Research (NIPR) - Japan</t>
  </si>
  <si>
    <t>Ito, K (corresponding author), Grad Univ Adv Studies SOKENDAI, Dept Polar Sci, 10-3 Midori Cho, Tachikawa, Tokyo 1908518, Japan.</t>
  </si>
  <si>
    <t>itoknt@gmail.com</t>
  </si>
  <si>
    <t>Japanese Antarctic Research Expedition and Japan Society for the Promotion of Science (JSPS) Kakenhi [17H05983]; Grants-in-Aid for Scientific Research [17H05983] Funding Source: KAKEN</t>
  </si>
  <si>
    <t>Japanese Antarctic Research Expedition and Japan Society for the Promotion of Science (JSPS) Kakenhi; Grants-in-Aid for Scientific Research(Ministry of Education, Culture, Sports, Science and Technology, Japan (MEXT)Japan Society for the Promotion of ScienceGrants-in-Aid for Scientific Research (KAKENHI))</t>
  </si>
  <si>
    <t>We thank the members of the 58th Japanese Antarctic Research Expedition and the crew of the Icebreaker `Shirase' for their support with field logistics. We would also like to thank Jayson Semmens and two anonymous reviewers for helpful comments on the manuscript. This work was funded by the Japanese Antarctic Research Expedition and Japan Society for the Promotion of Science (JSPS) Kakenhi grant 17H05983.</t>
  </si>
  <si>
    <t>0019-1019</t>
  </si>
  <si>
    <t>1474-919X</t>
  </si>
  <si>
    <t>Ibis</t>
  </si>
  <si>
    <t>10.1111/ibi.12837</t>
  </si>
  <si>
    <t>PF6FH</t>
  </si>
  <si>
    <t>WOS:000530401200001</t>
  </si>
  <si>
    <t>Wang, WY; Qu, CF; Wang, XX; Gao, XX; Zhang, HH; Miao, JL</t>
  </si>
  <si>
    <t>Wang, Wenyu; Qu, Changfeng; Wang, Xixi; Gao, Xuxu; Zhang, Honghai; Miao, Jinlai</t>
  </si>
  <si>
    <t>Identification of a functional dddD-Rh for dimethyl sulfide production in the Antarctic Rhodococcus sp. NJ-530</t>
  </si>
  <si>
    <t>JOURNAL OF BASIC MICROBIOLOGY</t>
  </si>
  <si>
    <t>Antarctic Rhodococcus sp; NJ-530; dimethylsulfoniopropionate; dimethyl sulfide; dddD-Rh gene</t>
  </si>
  <si>
    <t>DIMETHYLSULFONIOPROPIONATE LYASE; OXIDATIVE STRESS; DMSP LYASES; GENE DMDA; MARINE; BACTERIA; SULFUR; CATABOLISM; DIVERSITY; MOLECULE</t>
  </si>
  <si>
    <t>Dimethylsulfoniopropionate (DMSP) is widespread in the oceans, and its biological metabolite, dimethyl sulfide (DMS), plays an important role in the atmosphere. The Antarctic region has become a hotspot in DMS studies due to the high spatial and temporal variability in DMS(P) concentration, but the level of bacterial DMS production remains unclear. In this study, a bacterium isolated from Antarctic floating ice, Rhodococcus sp. NJ-530, was found to metabolize DMSP into DMS, and the rate of DMS production was measured as 3.96 pmol center dot mg protein(-1)center dot h(-1). Rhodococcus sp. NJ-530 had a DddD-Rh enzyme containing two CaiB domains, which belonged to the CoA-transferase III superfamily. However, the DddD-Rh had a molecular weight of 73.21 kDa, which was very different from previously characterized DddD enzymes in sequence and evolution. In vitro assays showed that DddD-Rh was functional in the presence of acetyl-CoA. This was the first functional DddD from Gram-positive Actinobacteria. Moreover, a quantitative real-time polymerase chain reaction revealed that high temperature facilitated the expression of dddD-Rh, and changes of salinity had little effect on it. This study adds new evidence to the bacterial DMS production in the Southern Ocean and provides a basis for investigating the metabolic mechanism of DMSP in extreme environments.</t>
  </si>
  <si>
    <t>[Wang, Wenyu; Qu, Changfeng; Miao, Jinlai] Minist Nat Resources, Inst Oceanog 1, Key Lab Marine Ecoenvironm Sci &amp; Technol, 6 Xianxialing Rd, Qingdao 266061, Peoples R China; [Qu, Changfeng; Miao, Jinlai] Natl Lab Marine Sci &amp; Technol, Lab Marine Drugs &amp; Bioprod, Qingdao, Peoples R China; [Wang, Xixi] Qingdao Univ Sci &amp; Technol, Coll Chem &amp; Mol Engn, Qingdao, Peoples R China; [Gao, Xuxu; Zhang, Honghai] Ocean Univ China, Minist Educ, Key Lab Marine Chem Theory &amp; Technol, Qingdao, Peoples R China</t>
  </si>
  <si>
    <t>First Institute of Oceanography, Ministry of Natural Resources; Ministry of Natural Resources of the People's Republic of China; Laoshan Laboratory; Qingdao University of Science &amp; Technology; Ocean University of China</t>
  </si>
  <si>
    <t>Miao, JL (corresponding author), Minist Nat Resources, Inst Oceanog 1, Key Lab Marine Ecoenvironm Sci &amp; Technol, 6 Xianxialing Rd, Qingdao 266061, Peoples R China.</t>
  </si>
  <si>
    <t>miaojinlai@fio.org.cn</t>
  </si>
  <si>
    <t>Zhang, Hong-Hai/0000-0001-9576-4035</t>
  </si>
  <si>
    <t>Natural Science Foundation of Shandong [ZR2019BD023]; China Ocean Mineral Resources RD Association [DY135-B2-14]; Ningbo Public Service Platform for High-Value Utilization of Marine Biological Resources [NBHY-2017-P2]; Key Research and Development Program of Shandong Province [2018GHY115034]; Basic Scientific Fund for National Public Research Institutes of China [2020Q02]; National Key Research and Development Program of China [2018YFD0900705]</t>
  </si>
  <si>
    <t>Natural Science Foundation of Shandong(Natural Science Foundation of Shandong Province); China Ocean Mineral Resources RD Association; Ningbo Public Service Platform for High-Value Utilization of Marine Biological Resources; Key Research and Development Program of Shandong Province; Basic Scientific Fund for National Public Research Institutes of China; National Key Research and Development Program of China</t>
  </si>
  <si>
    <t>Natural Science Foundation of Shandong, Grant/Award Number: ZR2019BD023; China Ocean Mineral Resources R&amp;D Association, Grant/Award Number: DY135-B2-14; Ningbo Public Service Platform for High-Value Utilization of Marine Biological Resources, Grant/Award Number: NBHY-2017-P2; Key Research and Development Program of Shandong Province, Grant/Award Number: 2018GHY115034; Basic Scientific Fund for National Public Research Institutes of China, Grant/Award Number: 2020Q02; National Key Research and Development Program of China, Grant/Award Number: 2018YFD0900705</t>
  </si>
  <si>
    <t>0233-111X</t>
  </si>
  <si>
    <t>1521-4028</t>
  </si>
  <si>
    <t>J BASIC MICROB</t>
  </si>
  <si>
    <t>J. Basic Microbiol.</t>
  </si>
  <si>
    <t>10.1002/jobm.202000032</t>
  </si>
  <si>
    <t>MG2CO</t>
  </si>
  <si>
    <t>WOS:000530622000001</t>
  </si>
  <si>
    <t>Barrera, A; Hereme, R; Ruiz-Lara, S; Larrondo, LF; Gundel, PE; Pollmann, S; Molina-Montenegro, MA; Ramos, P</t>
  </si>
  <si>
    <t>Barrera, Andrea; Hereme, Rasme; Ruiz-Lara, Simon; Larrondo, Luis F.; Gundel, Pedro E.; Pollmann, Stephan; Molina-Montenegro, Marco A.; Ramos, Patricio</t>
  </si>
  <si>
    <t>Fungal Endophytes Enhance the Photoprotective Mechanisms and Photochemical Efficiency in the Antarctic Colobanthus quitensis (Kunth) Bartl. Exposed to UV-B Radiation</t>
  </si>
  <si>
    <t>UV-B stress; Antarctica; Colobanthus quitensis; molecular response; flavonols; fungal endophytes</t>
  </si>
  <si>
    <t>ULTRAVIOLET-RADIATION; PIRIFORMOSPORA INDICA; ANTIOXIDANT ENZYMES; DROUGHT TOLERANCE; GENE-EXPRESSION; BIOSYNTHESIS; PLANTS; L.; ACCUMULATION; PERFORMANCE</t>
  </si>
  <si>
    <t>Antarctic plants have developed mechanisms to deal with one or more adverse factors which allow them to successfully survive such extreme environment. Certain effective mechanisms to face adverse stress factors can arise from the establishment of functional symbiosis with endophytic fungi. In this work, we explored the role of fungal endophytes on host plant performance under high level of UV-B radiation, a harmful factor known to damage structure and function of cell components. In order to unveil the underlying mechanisms, we characterized the expression of genes associated to UV-B photoreception, accumulation of key flavonoids, and physiological responses of Colobanthus quitensis plants with (E+) and without (E-) fungal endophytes, under contrasting levels of UV-B radiation. The deduced proteins of CqUVR8, CqHY5, and CqFLS share the characteristic domains and display high degrees of similarity with other corresponding proteins in plants. Endophyte symbiotic plants showed lower lipid peroxidation and higher photosynthesis efficiency under high UV-B radiation. In comparison with E-, E+ plants showed lower CqUVR8, CqHY5, and CqFLS transcript levels. The content of quercetin, a ROS-scavenger flavonoid, in leaves of E- plants exposed to high UV-B was almost 8-fold higher than that in E+ plants 48 h after treatment. Our results suggest that endophyte fungi minimize cell damage and boost physiological performance in the Antarctic plants increasing the tolerance to UV-B radiation. Fungal endophytes appear as fundamental biological partners for plants to cope with the highly damaging UV-B radiation of Antarctica.</t>
  </si>
  <si>
    <t>[Barrera, Andrea; Hereme, Rasme; Ruiz-Lara, Simon; Molina-Montenegro, Marco A.; Ramos, Patricio] Univ Talca, Inst Ciencias Biol, Talca, Chile; [Larrondo, Luis F.] Pontificia Univ Catolica Chile, Fac Ciencias Biol, Dept Genet Mol &amp; Microbiol, Santiago, Chile; [Gundel, Pedro E.] Univ Buenos Aires, Fac Agron, CONICET, IFEVA,Ecol, Buenos Aires, DF, Argentina; [Pollmann, Stephan] Univ Politecn Madrid UPM, Ctr Biotecnol &amp; Genom Plantes, Inst Nacl Invest &amp; Tecnol Agr &amp; Alimentaria INIA, Pozuelo De Alarcon, Spain; [Molina-Montenegro, Marco A.] Univ Catolica Norte, Ctr Estudios Avanzados Zonas Aridas CEAZA, Coquimbo, Chile; [Molina-Montenegro, Marco A.] Univ Catolica Maule, Ctr Invest Estudios Avanzados Maule, Talca, Chile; [Ramos, Patricio] Univ Talca, Nucleo Cient Multidisciplinario DI, Talca, Chile</t>
  </si>
  <si>
    <t>Pontificia Universidad Catolica de Chile; University of Buenos Aires; Consejo Nacional de Investigaciones Cientificas y Tecnicas (CONICET); Universidad Politecnica de Madrid; Universidad Catolica del Norte; Universidad Catolica del Maule; Universidad de Talca</t>
  </si>
  <si>
    <t>Ramos, P (corresponding author), Univ Talca, Inst Ciencias Biol, Talca, Chile.;Ramos, P (corresponding author), Univ Talca, Nucleo Cient Multidisciplinario DI, Talca, Chile.</t>
  </si>
  <si>
    <t>pramos@utalca.cl</t>
  </si>
  <si>
    <t>Pollmann, Stephan/C-2776-2009; Gundel, Pedro Emilio/A-5314-2013; Pollmann, Stephan/ABC-8203-2020; Ramos, Patricio/ABE-5961-2021; Ramos, Patricio/B-6665-2017</t>
  </si>
  <si>
    <t>Pollmann, Stephan/0000-0002-5111-4425; Gundel, Pedro Emilio/0000-0003-3246-0282; Ramos, Patricio/0000-0001-8341-314X</t>
  </si>
  <si>
    <t>Chilean Antarctic Institute (INACH); FONDECYT [1181034, PII 20150126]; REDES from Conicyt [190078]</t>
  </si>
  <si>
    <t>Chilean Antarctic Institute (INACH); FONDECYT(Comision Nacional de Investigacion Cientifica y Tecnologica (CONICYT)CONICYT FONDECYT); REDES from Conicyt</t>
  </si>
  <si>
    <t>We acknowledge the financial, authorization and logistic support of the Chilean Antarctic Institute (INACH). MMM was supported by project FONDECYT 1181034 and PII 20150126. REDES #190078 from Conicyt. PR acknowledges Nucleo Cientifico Multidisciplinario from Universidad de Talca. This article contributes to the SCAR biological research programs Antarctic Thresholds -Ecosystem Resilience and Adaptation (AnT-ERA) and State of the Antarctic Ecosystem (AntEco).</t>
  </si>
  <si>
    <t>10.3389/fevo.2020.00122</t>
  </si>
  <si>
    <t>LS8RS</t>
  </si>
  <si>
    <t>WOS:000536648600001</t>
  </si>
  <si>
    <t>Foo, D; Hindell, M; McMahon, C; Goldsworthy, S; Bailleul, F</t>
  </si>
  <si>
    <t>Foo, Dahlia; Hindell, Mark; McMahon, Clive; Goldsworthy, Simon; Bailleul, Fred</t>
  </si>
  <si>
    <t>Environmental drivers of oceanic foraging site fidelity in central place foragers</t>
  </si>
  <si>
    <t>ANTARCTIC FUR SEALS; SOUTHERN ELEPHANT SEALS; INTERANNUAL VARIABILITY; ARCTOCEPHALUS-GAZELLA; SUBTROPICAL FRONT; MARINE PREDATOR; BEHAVIOR; HABITAT; STRATEGIES; MOVEMENTS</t>
  </si>
  <si>
    <t>Finding food is crucial to the survival and reproductive success of individuals. Fidelity to previous profitable foraging sites may bring benefits to individuals as they can allocate more time to foraging rather than searching for prey. We studied how environmental conditions influence when lactating long-nosed fur seals (Arctocephalus forsteri) adopt a risky (low fidelity) or conservative (high fidelity) foraging strategy at two intra-annual temporal scales when foraging in a highly variable oceanic environment. Core foraging areas (CFAs; n = 534; 30 x 30 km cells) of consecutive foraging trips were obtained from geolocation tracks of 12 females from summer to winter in 2016 (n = 5) and 2017 (n = 7). We used the spatial variability (standard deviation) of CFAs between or among oceanic foraging trips as a proxy for individual foraging site fidelity (IFSF). Over the entire oceanic foraging period (n = 12), IFSF in the latitudinal axis increased with stronger sea-surface temperature gradient (SSTgrad), but decreased with greater SSTgrad and sea-surface height gradient variability. Over a period of two consecutive oceanic foraging trips (n = 66), IFSF decreased with greater SSTgrad variability in the earlier foraging trip. LNFS show evidence that they use IFSF as a strategy to potentially optimise food acquisition, and that this behaviour is influenced by mesoscale oceanographic parameters.</t>
  </si>
  <si>
    <t>[Foo, Dahlia; Hindell, Mark] Univ Tasmania, Inst Marine &amp; Antarctic Studies, Hobart, Tas 7004, Australia; [McMahon, Clive] Sydney Inst Marine Sci, Mosman, NSW 2088, Australia; [Goldsworthy, Simon; Bailleul, Fred] South Australian Res &amp; Dev Inst, Aquat Sci Ctr, West Beach, SA 5024, Australia</t>
  </si>
  <si>
    <t>University of Tasmania; Sydney Institute of Marine Science; South Australian Research &amp; Development Institute (SARDI)</t>
  </si>
  <si>
    <t>Foo, D (corresponding author), Univ Tasmania, Inst Marine &amp; Antarctic Studies, Hobart, Tas 7004, Australia.</t>
  </si>
  <si>
    <t>dahlia.foo@utas.edu.au</t>
  </si>
  <si>
    <t>McMahon, Clive R/D-5713-2013; Hindell, Mark A/K-1131-2013</t>
  </si>
  <si>
    <t>McMahon, Clive R/0000-0001-5241-8917; Foo, Dahlia/0000-0002-4983-9208; Goldsworthy, Simon/0000-0003-4988-9085</t>
  </si>
  <si>
    <t>Sea World Research and Rescue Foundation; Holsworth Wildlife and Research Endowment; Lirabenda Endowment Fund</t>
  </si>
  <si>
    <t>This study was supported through grants from the Sea World Research and Rescue Foundation, the Holsworth Wildlife and Research Endowment, and the Lirabenda Endowment Fund (issued by the Field Naturalists Society of South Australia). We thank the Department of Environment, Water and Natural Resources for their logistical support. We are also deeply grateful for the volunteers who assisted us in the fieldwork. All animal handling and experimentation were undertaken with the approval from the Primary Industries and Regions South Australia animal ethics committee (application 32-12), Department of Environment, Water and Natural Resources (permit A24684) and the University of Tasmania animal ethics committee (permit A0015176). We thank the reviewers for their valuable feedback that helped to improve this manuscript.</t>
  </si>
  <si>
    <t>MAY 5</t>
  </si>
  <si>
    <t>10.1007/s00227-020-03685-y</t>
  </si>
  <si>
    <t>LM5PV</t>
  </si>
  <si>
    <t>WOS:000532301800005</t>
  </si>
  <si>
    <t>Wernecke, A; Edwards, TL; Nias, I; Holden, PB; Edwards, NR</t>
  </si>
  <si>
    <t>Wernecke, Andreas; Edwards, Tamsin L.; Nias, Isabel; Holden, Philip B.; Edwards, Neil Robert</t>
  </si>
  <si>
    <t>Spatial probabilistic calibration of a high-resolution Amundsen Sea Embayment ice sheet model with satellite altimeter data</t>
  </si>
  <si>
    <t>PINE ISLAND GLACIER; WEST ANTARCTICA; UNCERTAINTY QUANTIFICATION; BASAL FRICTION; LEVEL RISE; CLIMATE; RETREAT; FLOW; THWAITES; SENSITIVITY</t>
  </si>
  <si>
    <t>Probabilistic predictions of the sea level contribution from Antarctica often have large uncertainty intervals. Calibration of model simulations with observations can reduce uncertainties and improve confidence in projections, particularly if this exploits as much of the available information as possible (such as spatial characteristics), but the necessary statistical treatment is often challenging and can be computationally prohibitive. Ice sheet models with sufficient spatial resolution to resolve grounding line evolution are also computationally expensive. Here we address these challenges by adopting and comparing dimension-reduced calibration approaches based on a principal component decomposition of the adaptive mesh model BISICLES. The effects model parameters have on these principal components are then gathered in statistical emulators to allow for smooth probability density estimates. With the help of a published perturbed parameter ice sheet model ensemble of the Amundsen Sea Embayment (ASE), we show how the use of principal components in combination with spatially resolved observations can improve probabilistic calibrations. In synthetic model experiments (calibrating the model with altered model results) we can identify the correct basal traction and ice viscosity scaling parameters as well as the bedrock map with spatial calibrations. In comparison a simpler calibration against an aggregated observation, the net sea level contribution, imposes only weaker constraints by allowing a wide range of basal traction and viscosity scaling factors. Uncertainties in sea level rise contribution of 50-year simulations from the current state of the ASE can be reduced with satellite observations of recent ice thickness change by nearly 90 %; median and 90 % confidence intervals are 18.9 [13.9, 24.8] mm SLE (sea level equivalent) for the proposed spatial calibration approach, 16.8 [7.7, 25.6] mm SLE for the net sea level calibration and 23.1 [- 8.4, 94.5] mm SLE for the uncalibrated ensemble. The spatial model behaviour is much more consistent with observations if, instead of Bedmap2, a modified bedrock topography is used that most notably removes a topographic rise near the initial grounding line of Pine Island Glacier. The ASE dominates the current Antarctic sea level contribution, but other regions have the potential to become more important on centennial scales. These larger spatial and temporal scales would benefit even more from methods of fast but exhaustive model calibration. Applied to projections of the whole Antarctic ice sheet, our approach has therefore the potential to efficiently improve our understanding of model behaviour, as well as substantiating and reducing projection uncertainties.</t>
  </si>
  <si>
    <t>[Wernecke, Andreas; Holden, Philip B.; Edwards, Neil Robert] Open Univ, Sch Environm Earth &amp; Ecosyst Sci, Milton Keynes, Bucks, England; [Edwards, Tamsin L.] Kings Coll London, Dept Geog, London, England; [Nias, Isabel] Univ Maryland, Earth Syst Sci Interdisciplinary Ctr, College Pk, MD 20742 USA; [Nias, Isabel] NASA, Cryospher Sci Lab, Goddard Space Flight Ctr, Greenbelt, MD USA</t>
  </si>
  <si>
    <t>Open University - UK; University of London; King's College London; University System of Maryland; University of Maryland College Park; National Aeronautics &amp; Space Administration (NASA); NASA Goddard Space Flight Center</t>
  </si>
  <si>
    <t>Wernecke, A (corresponding author), Open Univ, Sch Environm Earth &amp; Ecosyst Sci, Milton Keynes, Bucks, England.</t>
  </si>
  <si>
    <t>andreas.wernecke@open.ac.uk</t>
  </si>
  <si>
    <t>Holden, Philip/K-6152-2013</t>
  </si>
  <si>
    <t>Holden, Philip/0000-0002-2369-0062; Wernecke, Andreas/0000-0001-9057-3272; Nias, Isabel/0000-0002-5657-8691; Edwards, Tamsin/0000-0002-4760-4704</t>
  </si>
  <si>
    <t>EPSRC Research of Variability and Environmental Risk under the Quantifying Uncertainty in Antarctic Ice Sheet Instability (QUAntIS) project [ReCoVER: EP/M008495/1, RFFLP 006]; LC3M, a Leverhulme Trust Research Centre Award [RC-2015-029]; Open University Faculty of Science, Technology, Engineering and Mathematics; University of Bristol Advanced Computing Research Centre; EPSRC [EP/M008495/1] Funding Source: UKRI</t>
  </si>
  <si>
    <t>EPSRC Research of Variability and Environmental Risk under the Quantifying Uncertainty in Antarctic Ice Sheet Instability (QUAntIS) project(UK Research &amp; Innovation (UKRI)Engineering &amp; Physical Sciences Research Council (EPSRC)); LC3M, a Leverhulme Trust Research Centre Award; Open University Faculty of Science, Technology, Engineering and Mathematics; University of Bristol Advanced Computing Research Centre; EPSRC(UK Research &amp; Innovation (UKRI)Engineering &amp; Physical Sciences Research Council (EPSRC))</t>
  </si>
  <si>
    <t>This research has been supported by the EPSRC Research of Variability and Environmental Risk (ReCoVER: EP/M008495/1) under the Quantifying Uncertainty in Antarctic Ice Sheet Instability (QUAntIS) project (RFFLP 006) (via the work of Tamsin L. Edwards, Neil R. Edwards and Philip B. Holden). It has further been supported by LC3M, a Leverhulme Trust Research Centre Award (RC-2015-029) (via the work of Neil R. Edwards and Philip B. Holden); The Open University Faculty of Science, Technology, Engineering and Mathematics; and the University of Bristol Advanced Computing Research Centre (via the work of Andreas Wernecke).</t>
  </si>
  <si>
    <t>10.5194/tc-14-1459-2020</t>
  </si>
  <si>
    <t>LL8RU</t>
  </si>
  <si>
    <t>WOS:000531822500002</t>
  </si>
  <si>
    <t>Schossler, V; Aquino, FE; Reis, PA; Simoes, JC</t>
  </si>
  <si>
    <t>Schossler, Venisse; Aquino, Francisco E.; Reis, Pedro A.; Simoes, Jefferson C.</t>
  </si>
  <si>
    <t>Antarctic atmospheric circulation anomalies and explosive cyclogenesis in the spring of 2016</t>
  </si>
  <si>
    <t>SOUTHERN-HEMISPHERE; AUSTRALIAN RAINFALL; SEA-ICE; CYCLONE CHARACTERISTICS; VARIABILITY; CLIMATOLOGY; BEHAVIOR</t>
  </si>
  <si>
    <t>This work examines teleconnections between extratropical explosive cyclogenesis and the Antarctic region and its relationship with the Southern Annular Mode (SAM) and with the zonal wave three (ZW3) pattern at the end of October 2016. From 26 to 28 October, an explosive extratropical cyclone developed on the Brazilian southern coast. Then, from the 29th to the 31st, southern Australia, including Tasmania, was hit by an explosive extratropical cyclone originating in the Indian Ocean. Both events caused damages. The year 2016 also stands out as the warmest in the recorded record, both globally and in the Southern Hemisphere; further, in 2016, the smallest Antarctic sea ice extent (SIE) was recorded since 1979. This SIE reduction has been attributed to positive sea surface temperature anomalies, the ZW3 and a SAM negative phase. We reconstructed the geopotential height fields, wind vectors, zonal wind, and temperature using the ERA-Interim reanalysis data. These fields, associated to wave and tidal and wind records, denote that negative SAM and ZW3 influenced both events. This association favored intense cyclogenesis, which included a baroclinic increase in both cases, with well-organized vertical structure; thus, this combination formed meteorological bombs as a response to the tropic-pole temperature contrast, and an exceptional atmospheric circulation was observed between subtropical and polar latitudes in 2016.</t>
  </si>
  <si>
    <t>[Schossler, Venisse; Aquino, Francisco E.; Reis, Pedro A.; Simoes, Jefferson C.] Rio Grande de Sul Fed Univ, Climate &amp; Polar Ctr, Geosci Inst, BR-90650001 Porto Alegre, RS, Brazil</t>
  </si>
  <si>
    <t>Schossler, V (corresponding author), Rio Grande de Sul Fed Univ, Climate &amp; Polar Ctr, Geosci Inst, BR-90650001 Porto Alegre, RS, Brazil.</t>
  </si>
  <si>
    <t>venisse.schossler@ufrgs.br</t>
  </si>
  <si>
    <t>Brazilian National Council for Scientific and Technological Development (CNPq); Foundation for Research of the State of Rio Grande do Sul (FAPERGS) through the Brazilian National Institute for Cryopsheric Sciences (INCT da Criosfera)</t>
  </si>
  <si>
    <t>Brazilian National Council for Scientific and Technological Development (CNPq)(Conselho Nacional de Desenvolvimento Cientifico e Tecnologico (CNPQ)); Foundation for Research of the State of Rio Grande do Sul (FAPERGS) through the Brazilian National Institute for Cryopsheric Sciences (INCT da Criosfera)</t>
  </si>
  <si>
    <t>The authors received financial support from the Brazilian National Council for Scientific and Technological Development (CNPq) and the Foundation for Research of the State of Rio Grande do Sul (FAPERGS) through the Brazilian National Institute for Cryopsheric Sciences (INCT da Criosfera).</t>
  </si>
  <si>
    <t>1-2</t>
  </si>
  <si>
    <t>10.1007/s00704-020-03200-9</t>
  </si>
  <si>
    <t>MG0XE</t>
  </si>
  <si>
    <t>WOS:000531521900001</t>
  </si>
  <si>
    <t>Ryan-Keogh, TJ; Thomalla, SJ</t>
  </si>
  <si>
    <t>Ryan-Keogh, Thomas J.; Thomalla, Sandy J.</t>
  </si>
  <si>
    <t>Deriving a Proxy for Iron Limitation From Chlorophyll Fluorescence on Buoyancy Gliders</t>
  </si>
  <si>
    <t>iron; fluorescence; gliders; chlorophyll; non-photochemical chlorophyll fluorescence quenching</t>
  </si>
  <si>
    <t>PHOTOSYNTHETIC ELECTRON-TRANSPORT; SUB-ANTARCTIC ZONE; SOUTHERN-OCEAN; XANTHOPHYLL CYCLE; CARBON FIXATION; PHYTOPLANKTON FLUORESCENCE; SEASONAL RESTRATIFICATION; PHAEOCYSTIS-ANTARCTICA; NORTH-ATLANTIC; VARIABILITY</t>
  </si>
  <si>
    <t>Chlorophyll fluorescence, primarily used to derive phytoplankton biomass, has long been an underutilized source of information on phytoplankton physiology. Diel fluctuations in chlorophyll fluorescence are affected by both photosynthetic efficiency and non-photochemical quenching (NPQ), where NPQ is a decrease in fluorescence through the dissipation of excess energy as heat. NPQ variability is linked to iron and light availability, and has the potential to provide important diagnostic information on phytoplankton physiology. Here we establish a relationship between NPQ(sv), (Stern-Volmer NPQ) and indices of iron limitation from nutrient addition experiments in the sub-Antarctic zone (SAZ) of the Atlantic Southern Ocean, through the derivation of NPQ(max) (the maximum NPQ(sv) value) and alpha(NPQ) (the light limited slope of NRDsv). Significant differences were found for both F-v/F-m and alpha(NPQ) for iron versus control treatments, with no significant differences for NPQ(max). Similar results from CTDs indicated that changes in NPQ were driven by increasing light availability from late July to December, but by both iron and light from January to February. We propose here that variability in alpha(NPQ), which has removed the effect of light availability, can potentially be used as a proxy for iron limitation (as shown here for the Atlantic SAZ), with higher values being associated with greater iron stress. This approach was transferred to data from a buoyancy glider deployment at the same location by utilizing the degree of fluorescence quenching as a proxy for NPOGlder, which was plotted against in situ light to determine alpha(NPQ). Seasonal increases in alpha(NPQ) are consistent with increased light availability, shoaling of the mixed layer depth (MLD) and anticipated seasonal iron limitation. The transition from winter to summer, when positive net heat flux dominates stratification, was coincident with a 24% increase in alpha(NPQ) variability and a switch in the dominant driver from incident PAR to MLD. The dominant scales of alpha(NPQ) variability are consistent with fine scale variability in MLD and a significant positive relationship was observed between these two at a similar to 10 day window. The results emphasize the important role of fine scale dynamics in driving iron supply, particularly in summer when this micronutrient is limiting.</t>
  </si>
  <si>
    <t>[Ryan-Keogh, Thomas J.; Thomalla, Sandy J.] Council Sci and Ind Res, Smart Pl, Southern Ocean Carbon &amp; Climate Observ, Cape Town, South Africa; [Thomalla, Sandy J.] Univ Cape Town, Dept Oceanog, Marine Res Inst, Cape Town, South Africa</t>
  </si>
  <si>
    <t>University of Cape Town</t>
  </si>
  <si>
    <t>Ryan-Keogh, TJ (corresponding author), Council Sci and Ind Res, Smart Pl, Southern Ocean Carbon &amp; Climate Observ, Cape Town, South Africa.</t>
  </si>
  <si>
    <t>tryankeogh@csir.co.za</t>
  </si>
  <si>
    <t>Ryan-Keogh, Thomas/AAS-3716-2021; Thomalla, Sandy/AAS-4133-2021</t>
  </si>
  <si>
    <t>Ryan-Keogh, Thomas/0000-0001-5144-171X;</t>
  </si>
  <si>
    <t>CSIR's Parliamentary Grant [SNA2011112600001]; NRF SANAP [SNA2011120800004, SNA14071475720]</t>
  </si>
  <si>
    <t>CSIR's Parliamentary Grant; NRF SANAP</t>
  </si>
  <si>
    <t>This work was undertaken through the CSIR's Southern Ocean Carbon and Climate Observatory (SOCCO) Programme (http://socco.org.za) and supported by CSIR's Parliamentary Grant funding (SNA2011112600001) and NRF SANAP grants (SNA2011120800004 and SNA14071475720).</t>
  </si>
  <si>
    <t>10.3389/fmars.2020.00275</t>
  </si>
  <si>
    <t>LJ6SH</t>
  </si>
  <si>
    <t>WOS:000530292200001</t>
  </si>
  <si>
    <t>Zhang, MM; Bonato, E; King, AJ; Russell, SS; Tang, GQ; Lin, YT</t>
  </si>
  <si>
    <t>Zhang, Mingming; Bonato, Enrica; King, Ashley J.; Russell, Sara S.; Tang, Guoqiang; Lin, Yangting</t>
  </si>
  <si>
    <t>Petrology and oxygen isotopic compositions of calcium-aluminum-rich inclusions in primitive CO3.0-3.1 chondrites</t>
  </si>
  <si>
    <t>BEARING REFRACTORY INCLUSIONS; SOLAR-SYSTEM EVIDENCE; CARBONACEOUS CHONDRITE; CM CHONDRITE; HETEROGENEOUS DISTRIBUTION; ENSTATITE CHONDRITES; AQUEOUS ALTERATION; TITANIUM ISOTOPES; MINERAL CHEMISTRY; SPINEL-RICH</t>
  </si>
  <si>
    <t>The petrologic and oxygen isotopic characteristics of calcium-aluminum-rich inclusions (CAIs) in CO chondrites were further constrained by studying CAIs from six primitive CO3.0-3.1 chondrites, including two Antarctic meteorites (DOM 08006 and MIL 090010), three hot desert meteorites (NWA 10493, NWA 10498, and NWA 7892), and the Colony meteorite. The CAIs can be divided into hibonite-bearing inclusions (spinel-hibonite spherules, monomineralic grains, hibonite-pyroxene microspherules, and irregular/nodular objects), grossite-bearing inclusions (monomineralic grains, grossite-melilite microspherules, and irregular/nodular objects), melilite-rich inclusions (fluffy Type A, compact type A, monomineralic grains, and igneous fragments), spinel-pyroxene inclusions (fluffy objects resembling fine-grained spinel-rich inclusions in CV chondrites and nodular/banded objects resembling those in CM chondrites), and pyroxene-anorthite inclusions. They are typically small (98.4 +/- 54.4 mu m, 1SD) and comprise 1.54 +/- 0.43 (1SD) area% of the host chondrites. Melilite in the hot desert and Colony meteorites was extensively replaced by a hydrated Ca-Al-silicate during terrestrial weathering and converted melilite-rich inclusions into spinel-pyroxene inclusions. The CAI populations of the weathered COs are very similar to those in CM chondrites, suggesting that complete replacement of melilite by terrestrial weathering, and possibly parent body aqueous alteration, would make the CO CAIs CM-like, supporting the hypothesis that CO and CM chondrites derive from similar nebular materials. Within the CO3.0-3.1 chondrites, asteroidal alteration significantly resets oxygen isotopic compositions of CAIs in CO3.1 chondrites ( increment O-17: -25 to -2 parts per thousand) but left those in CO3.0-3.05 chondrites mostly unchanged ( increment O-17: -25 to -20 parts per thousand), further supporting the model whereby thermal metamorphism became evident in CO chondrites of petrologic type &gt;= 3.1. The resistance of CAI minerals to oxygen isotope exchange during thermal metamorphism follows in the order: melilite + grossite &lt; hibonite + anorthite &lt; spinel + diopside + forsterite. Meanwhile, terrestrial weathering destroys melilite without changing the chemical and isotopic compositions of melilite and other CAI minerals.</t>
  </si>
  <si>
    <t>[Zhang, Mingming; Bonato, Enrica; King, Ashley J.; Russell, Sara S.] Nat Hist Museum, Dept Earth Sci, Cromwell Rd, London SW7 5BD, England; [Zhang, Mingming; Lin, Yangting] Chinese Acad Sci, Inst Geol &amp; Geophys, Key Lab Earth &amp; Planetary Phys, Beijing 100029, Peoples R China; [Zhang, Mingming; Lin, Yangting] Univ Chinese Acad Sci, Beijing 100049, Peoples R China; [Bonato, Enrica] Univ Glasgow, Sch Geog &amp; Earth Sci, Glasgow G12 8QQ, Lanark, Scotland; [Tang, Guoqiang] Chinese Acad Sci, Inst Geol &amp; Geophys, State Key Lab Lithospher Evolut, Beijing 100029, Peoples R China</t>
  </si>
  <si>
    <t>Natural History Museum London; Chinese Academy of Sciences; Institute of Geology &amp; Geophysics, CAS; Chinese Academy of Sciences; University of Chinese Academy of Sciences, CAS; University of Glasgow; Chinese Academy of Sciences; Institute of Geology &amp; Geophysics, CAS</t>
  </si>
  <si>
    <t>Russell, SS (corresponding author), Nat Hist Museum, Dept Earth Sci, Cromwell Rd, London SW7 5BD, England.</t>
  </si>
  <si>
    <t>sara.russell@nhm.ac.uk</t>
  </si>
  <si>
    <t>lin, yt/IQT-6771-2023</t>
  </si>
  <si>
    <t>Bonato, Enrica/0000-0002-1580-3434; Russell, Sara/0000-0001-5531-7847; Zhang, Mingming/0000-0001-5069-6868</t>
  </si>
  <si>
    <t>NSF; NASA; Key Research Program of Frontier Sciences, CAS [QYZDJ-SSW-DQC001]; Strategic Priority Research Program on Space Science, CAS [XDA15020300]; Science and Technology Facilities Council (STFC), UK [ST/R000727/1]; STFC [ST/R000727/1] Funding Source: UKRI</t>
  </si>
  <si>
    <t>NSF(National Science Foundation (NSF)); NASA(National Aeronautics &amp; Space Administration (NASA)); Key Research Program of Frontier Sciences, CAS; Strategic Priority Research Program on Space Science, CAS; Science and Technology Facilities Council (STFC), UK(UK Research &amp; Innovation (UKRI)Science &amp; Technology Facilities Council (STFC)); STFC(UK Research &amp; Innovation (UKRI)Science &amp; Technology Facilities Council (STFC))</t>
  </si>
  <si>
    <t>We thank Natasha Almeida at the Natural History Museum, UK, and Kevin Righter at NASA Johnson Space Center, USA, for provision of meteorite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Tobias Salge and John Spratt at the Imaging and Analysis Centre, the Natural History Museum, are thanked for assistance with the EDS and EPMA analyses. We appreciate Kevin Righter (A.E.), Takayushi Ushikubo, and another anonymous reviewer for very helpful comments and suggestions that significantly improved the science and clarity of the manuscript. This work was funded by Key Research Program of Frontier Sciences, CAS (QYZDJ-SSW-DQC001), Strategic Priority Research Program on Space Science, CAS (XDA15020300), and the Science and Technology Facilities Council (STFC), UK (ST/R000727/1).</t>
  </si>
  <si>
    <t>10.1111/maps.13473</t>
  </si>
  <si>
    <t>LQ3DG</t>
  </si>
  <si>
    <t>WOS:000530157700001</t>
  </si>
  <si>
    <t>Buesseler, KO; Boyd, PW; Black, EE; Siegel, DA</t>
  </si>
  <si>
    <t>Buesseler, Ken O.; Boyd, Philip W.; Black, Erin E.; Siegel, David A.</t>
  </si>
  <si>
    <t>Metrics that matter for assessing the ocean biological carbon pump</t>
  </si>
  <si>
    <t>biological carbon pump; twilight zone; particle flux</t>
  </si>
  <si>
    <t>PARTICULATE ORGANIC-CARBON; VERTICAL FLUX; BIOGENIC MATTER; PARTICLE-FLUX; EXPORT; TH-234; PHYTOPLANKTON; VARIABILITY; IMPACT; TRACER</t>
  </si>
  <si>
    <t>The biological carbon pump (BCP) comprises wide-ranging processes that set carbon supply, consumption, and storage in the oceans' interior. It is becoming increasingly evident that small changes in the efficiency of the BCP can significantly alter ocean carbon sequestration and, thus, atmospheric CO2 and climate, as well as the functioning of midwater ecosystems. Earth system models, including those used by the United Nation's Intergovernmental Panel on Climate Change, most often assess POC (particulate organic carbon) flux into the ocean interior at a fixed reference depth. The extrapolation of these fluxes to other depths, which defines the BCP efficiencies, is often executed using an idealized and empirically based flux-vs.-depth relationship, often referred to as the Martin curve. We use a new compilation of POC fluxes in the upper ocean to reveal very different patterns in BCP efficiencies depending upon whether the fluxes are assessed at a fixed reference depth or relative to the depth of the sunlit euphotic zone (Ez). We find that the fixed-depth approach underestimates BCP efficiencies when the Ez is shallow, and vice versa. This adjustment alters regional assessments of BCP efficiencies as well as global carbon budgets and the interpretation of prior BCP studies. With several international studies recently underway to study the ocean BCP, there are new and unique opportunities to improve our understanding of the mechanistic controls on BCP efficiencies. However, we will only be able to compare results between studies if we use a common set of Ez-based metrics.</t>
  </si>
  <si>
    <t>[Buesseler, Ken O.] Woods Hole Oceanog Inst, Dept Marine Chem &amp; Geochem, Woods Hole, MA 02543 USA; [Boyd, Philip W.] Univ Tasmania, Inst Marine &amp; Antarctic Studies, Hobart, Tas 7005, Australia; [Black, Erin E.] Dalhousie Univ, Dept Oceanog, Halifax, NS B3H 4R2, Canada; [Black, Erin E.] Lamont Doherty Earth Observ, Div Geochem, Palisades, NY 10964 USA; [Siegel, David A.] Univ Calif Santa Barbara, Earth Res Inst, Santa Barbara, CA 93106 USA; [Siegel, David A.] Univ Calif Santa Barbara, Dept Geog, Santa Barbara, CA 93106 USA</t>
  </si>
  <si>
    <t>Woods Hole Oceanographic Institution; University of Tasmania; Dalhousie University; Columbia University; University of California System; University of California Santa Barbara; University of California System; University of California Santa Barbara</t>
  </si>
  <si>
    <t>Buesseler, KO (corresponding author), Woods Hole Oceanog Inst, Dept Marine Chem &amp; Geochem, Woods Hole, MA 02543 USA.</t>
  </si>
  <si>
    <t>kbuesseler@whoi.edu</t>
  </si>
  <si>
    <t>Boyd, Philip W/J-7624-2014</t>
  </si>
  <si>
    <t>Siegel, David/0000-0003-1674-3055</t>
  </si>
  <si>
    <t>Woods Hole Oceanographic Institution's Ocean Twilight Zone project; NASA as part of the EXport Processes in the global Ocean from RemoTe Sensing (EXPORTS) program; Ocean Frontier Institute at Dalhousie University; Australian Research Council through a Laureate [FL160100131]</t>
  </si>
  <si>
    <t>Woods Hole Oceanographic Institution's Ocean Twilight Zone project; NASA as part of the EXport Processes in the global Ocean from RemoTe Sensing (EXPORTS) program; Ocean Frontier Institute at Dalhousie University; Australian Research Council through a Laureate(Australian Research Council)</t>
  </si>
  <si>
    <t>We thank the many scientists whose ideas and contributions over the years are the foundation of this paper. This includes A. Martin, who led the organization of the BIARRITZ group (now JETZON) workshop in July 2019, discussions at which helped to motivate this article. We thank D. Karl for pointing us in the right direction for this paper format at PNAS and two thoughtful reviewers who through their comments helped to improve this manuscript. Support for writing this piece is acknowledged from several sources, including the Woods Hole Oceanographic Institution's Ocean Twilight Zone project (K.O.B.); NASA as part of the EXport Processes in the global Ocean from RemoTe Sensing (EXPORTS) program (K.O.B. and D.A.S.). E.E.B. was supported by a postdoctoral fellowship through the Ocean Frontier Institute at Dalhousie University. P.W.B. was supported by the Australian Research Council through a Laureate (FL160100131).</t>
  </si>
  <si>
    <t>10.1073/pnas.1918114117</t>
  </si>
  <si>
    <t>LK7UR</t>
  </si>
  <si>
    <t>WOS:000531067600010</t>
  </si>
  <si>
    <t>Teschke, K; Pehlke, H; Siegel, V; Bornemann, H; Knust, R; Brey, T</t>
  </si>
  <si>
    <t>Teschke, Katharina; Pehlke, Hendrik; Siegel, Volker; Bornemann, Horst; Knust, Rainer; Brey, Thomas</t>
  </si>
  <si>
    <t>An integrated compilation of data sources for the development of a marine protected area in the Weddell Sea</t>
  </si>
  <si>
    <t>KRILL EUPHAUSIA-SUPERBA; PACK-ICE SEALS; RESEARCH VESSEL POLARSTERN; ANTARCTIC KRILL; SOUTHERN-OCEAN; HARPAGIFER-BISPINIS; COMMUNITIES; ABUNDANCE; BIODIVERSITY; EXPEDITION</t>
  </si>
  <si>
    <t>The Southern Ocean may contribute a considerable amount to the proposed global network of marine protected areas (MPAs) that should cover about 10% of the world's oceans in 2020. In the Antarctic, the Commission for the Conservation of Antarctic Marine Living Resources (CCAMLR) is responsible for this task, and currently Germany leads a corresponding scientific evaluation of the wider Weddell Sea region. Compared to other marine regions within the Southern Ocean, the Weddell Sea is exceptionally well investigated. A tremendous amount of data and information has been produced over the last 4 decades. Here, we give a systematic overview of all data sources collected in the context of the Weddell Sea MPA planning process. The compilation of data sources is comprised of data produced by scientists and institutions from more than 20 countries that were either available within our institutes, downloaded via data portals or transcribed from the literature. It is the first compilation for this area that includes abiotic data, such as bathymetry and sea ice, and ecological data from zooplankton, zoobenthos, fish, birds and marine mammals. All data layer products based on this huge compilation of environmental and ecological data are available from the data publisher PANGAEA via the six persistent identifiers at https://doi.org/10.1594/PANGAEA.899595 (Pehlke and Teschke, 2019), https://doi.org/10.1594/PANGAEA.899667 (Teschke et al., 2019a), https://doi.org/10.1594/PANGAEA.899645 (Teschke et al., 2019b), https://doi.org/10.1594/PANGAEA.899591 (Teschke et al., 2019c), https://doi.org/10.1594/PANGAEA.899520 (Pehlke et al., 2019a) and https://doi.org/10.1594/PANGAEA.899619 (Pehlke et al., 2019b). This compilation of data sources including the final data layer products will serve future research and monitoring well beyond the current MPA development process.</t>
  </si>
  <si>
    <t>[Teschke, Katharina; Pehlke, Hendrik; Bornemann, Horst; Knust, Rainer; Brey, Thomas] Helmholtz Zentrum Polar &amp; Meeresforsch, Alfred Wegener Inst, Handelshafen 12, D-27570 Bremerhaven, Germany; [Teschke, Katharina; Pehlke, Hendrik; Brey, Thomas] Univ Oldenburg HIFMB, Helmholtz Inst Funct Marine Biodivers, Ammerlander Heerstr 231, D-26129 Oldenburg, Germany; [Siegel, Volker] Thunen Inst Sea Fisheries, Herwigstr 31, D-27572 Bremerhaven, Germany; [Brey, Thomas] Univ Bremen, Bibliothekstr 1, D-28359 Bremen, Germany</t>
  </si>
  <si>
    <t>Helmholtz Association; Alfred Wegener Institute, Helmholtz Centre for Polar &amp; Marine Research; Johann Heinrich von Thunen Institute; University of Bremen</t>
  </si>
  <si>
    <t>Teschke, K (corresponding author), Helmholtz Zentrum Polar &amp; Meeresforsch, Alfred Wegener Inst, Handelshafen 12, D-27570 Bremerhaven, Germany.;Teschke, K (corresponding author), Univ Oldenburg HIFMB, Helmholtz Inst Funct Marine Biodivers, Ammerlander Heerstr 231, D-26129 Oldenburg, Germany.</t>
  </si>
  <si>
    <t>katharina.teschke@awi.de</t>
  </si>
  <si>
    <t>Teschke, Katharina/0000-0001-9595-7443; Brey, Thomas/0000-0002-6345-2851; Pehlke, Hendrik/0000-0003-1916-7831</t>
  </si>
  <si>
    <t>German Federal Ministry of Food and Agriculture (BMEL) through the Federal Office for Agriculture and Food (BLE) [2813HS009]</t>
  </si>
  <si>
    <t>German Federal Ministry of Food and Agriculture (BMEL) through the Federal Office for Agriculture and Food (BLE)</t>
  </si>
  <si>
    <t>This research has been supported by the German Federal Ministry of Food and Agriculture (BMEL) through the Federal Office for Agriculture and Food (BLE) (grant no. 2813HS009).</t>
  </si>
  <si>
    <t>MAY 4</t>
  </si>
  <si>
    <t>10.5194/essd-12-1003-2020</t>
  </si>
  <si>
    <t>LL8EM</t>
  </si>
  <si>
    <t>WOS:000531787700001</t>
  </si>
  <si>
    <t>van den Hoff, J; Bell, E; Whittock, L</t>
  </si>
  <si>
    <t>van den Hoff, John; Bell, Elanor; Whittock, Lucy</t>
  </si>
  <si>
    <t>Dimorphism in the Antarctic cryptophyte Geminigera cryophila (Cryptophyceae)</t>
  </si>
  <si>
    <t>campylomorph; Cr-phycoerythrin 545; cryptomorph; meromictic; morphology; phylogeny; rDNA; Teleaulax</t>
  </si>
  <si>
    <t>SP-NOV CRYPTOPHYCEAE; VESTFOLD HILLS; ACE LAKE; CRYPTOMONAS CRYPTOPHYCEAE; RDNA PHYLOGENY; ANNUAL CYCLE; SEA-ICE; DIVERSITY; NUCLEAR; PHYTOPLANKTON</t>
  </si>
  <si>
    <t>A pink to red-pigmented cryptophyte of undetermined taxonomic affinity was isolated and cloned from two seasonally ice-covered. meromictic, saline Antarctic aquatic environments: Bayly Bay (BB) and Ace Lake (AL). The clones shared a number of morphological and ultrastructural similarities with other cryptomonad genera, which confounded identification by light and electron microscopy. Cellular pigments extracted from the AL clone showed an absorption maximum corresponding to the biliprotein Cr-phycoerythrin 545, thus narrowing its potential taxonomic affinities. Partial 18S SSU ribosomal gene sequences were isolated from both the AL and the BB cryptomonads' nuclear rDNA, whereas PCR-amplified and their molecular phylogenies inferred from the subject sequences. Our results, and the results of another study that used our prepublished sequence data, invariably resolved both clones as very close matches with the Antarctic cryptophyte, Geminigera cryophila. When combined, the morphological, chemical, and molecular evidence suggested that both of our cryptophyte clones were a cryptomorph of the G. cryophila campylomorph. Slight differences between the AL and BB nuclear tree reconstructions suggested divergent microevolution following long-term isolation of the AL population from the surrounding marine ecosystem. This study provides further compelling evidence that certain Cryptophyceae engage in a life-history strategy, which includes alternating morphologically distinct cell-types (dimorphism); cell-types which without molecular analyses could be mistaken as novel taxa.</t>
  </si>
  <si>
    <t>[van den Hoff, John; Bell, Elanor] Australian Antarctic Div, 203 Channel Highway, Kingston, Tas 7050, Australia; [Whittock, Lucy] Univ Tasmania, Inst Marine &amp; Antarctic Studies, Hobart, Tas 7001, Australia</t>
  </si>
  <si>
    <t>Australian Antarctic Division; University of Tasmania</t>
  </si>
  <si>
    <t>van den Hoff, J; Bell, E (corresponding author), Australian Antarctic Div, 203 Channel Highway, Kingston, Tas 7050, Australia.</t>
  </si>
  <si>
    <t>john_van@awe.gov.au; elanor.bell@awe.gov.au</t>
  </si>
  <si>
    <t>Australian Scientific Advisory Committee (ASAC) [40]; Scientific Committee for Antarctic Research (SCAR) Prince of Asturias Fellowship (2003); Deutsche Forschungsgemeinschaft (DFG) [BE 2579/3-1]</t>
  </si>
  <si>
    <t>Australian Scientific Advisory Committee (ASAC); Scientific Committee for Antarctic Research (SCAR) Prince of Asturias Fellowship (2003); Deutsche Forschungsgemeinschaft (DFG)(German Research Foundation (DFG))</t>
  </si>
  <si>
    <t>Dr S. Wright assayed for photosynthetic pigments. I.A.E. (Waders) Bayly, I. Pearce, C. Goodfield, S. Madden, R. Kirkwood and D. Eslake, contributed field and logistical support at Davis Station. Dr. J. Ferris is especially acknowledged for his contributions, this paper is dedicated to his memory. While at Davis Station E.M.B. was supported by an Australian Scientific Advisory Committee (ASAC) grant (#40) with additional support provided by a Scientific Committee for Antarctic Research (SCAR) Prince of Asturias Fellowship (2003) and a Deutsche Forschungsgemeinschaft (DFG) overseas stipendium (#BE 2579/3-1). The Antarctic Divisions' David Smith and Jessica Fitzpatrick produced the figures. Dr. Andrew Davidson aided the procurement of funds for the analyses by L.W. Dr. David Hill contributed to early drafts of the manuscript. Miguel de Salas measured wild caught fixed cells. There are no conflicts of interest.</t>
  </si>
  <si>
    <t>10.1111/jpy.13004</t>
  </si>
  <si>
    <t>MV5CR</t>
  </si>
  <si>
    <t>WOS:000530452400001</t>
  </si>
  <si>
    <t>Drollette, D; Davis, P</t>
  </si>
  <si>
    <t>Drollette, Dan, Jr.; Davis, Peter</t>
  </si>
  <si>
    <t>Peter Davis of the British Antarctic survey on changes in the Thwaites Glacier</t>
  </si>
  <si>
    <t>BULLETIN OF THE ATOMIC SCIENTISTS</t>
  </si>
  <si>
    <t>Antarctica; global warming; Thwaites Glacier; sea level rise; climate crisis; ice melt</t>
  </si>
  <si>
    <t>ddrollette@thebulletin.org</t>
  </si>
  <si>
    <t>0096-3402</t>
  </si>
  <si>
    <t>1938-3282</t>
  </si>
  <si>
    <t>B ATOM SCI</t>
  </si>
  <si>
    <t>Bull. Atom. Scient.</t>
  </si>
  <si>
    <t>MAY 3</t>
  </si>
  <si>
    <t>10.1080/00963402.2020.1751951</t>
  </si>
  <si>
    <t>International Relations; Social Issues</t>
  </si>
  <si>
    <t>LK7FL</t>
  </si>
  <si>
    <t>WOS:000531027900002</t>
  </si>
  <si>
    <t>Haenecour, P; Floss, C; Brearley, AJ; Zega, TJ</t>
  </si>
  <si>
    <t>Haenecour, Pierre; Floss, Christine; Brearley, Adrian J.; Zega, Thomas J.</t>
  </si>
  <si>
    <t>The effects of secondary processing in the unique carbonaceous chondrite Miller Range 07687</t>
  </si>
  <si>
    <t>ASYMPTOTIC GIANT BRANCH; INSOLUBLE ORGANIC-MATTER; PRESOLAR SILICATE GRAINS; MOLECULAR-CLOUD MATERIAL; ISOTOPIC COMPOSITIONS; PRIMITIVE METEORITES; AQUEOUS ALTERATION; DEEP CIRCULATION; HIGH ABUNDANCES; CO3 CHONDRITE</t>
  </si>
  <si>
    <t>Our detailed mineralogical, elemental, and isotopic study of the Miller Range (MIL) 07687 meteorite showed that, although this meteorite has affinities to CO chondrites, it also exhibits sufficient differences to warrant classification as an ungrouped carbonaceous chondrite. The most notable feature of MIL 07687 is the presence of two distinct matrix lithologies that result from highly localized aqueous alteration. One of these lithologies is Fe-rich and exhibits evidence for interaction with water, including the presence of fibrous (dendritic) ferrihydrite. The other lithology, which is Fe-poor, appears to represent relatively unaltered protolith material. MIL 07687 has presolar grain abundances consistent with those observed in other modestly altered carbonaceous chondrites: the overall abundance of O-rich presolar grains is 137 +/- 3 ppm and the overall abundance of SiC grains is 71 +/- 11 ppm. However, there is a large difference in the observed O-rich and SiC grain number densities between altered and unaltered areas, reflecting partial destruction of presolar grains (both O- and C-rich grains) due to the aqueous alteration experienced by MIL 07687 under highly oxidizing conditions. Detailed coordinated NanoSIMS-TEM analysis of a large hotspot composed of an isotopically normal core surrounded by a rim composed of O-17-rich grains is consistent with either original condensation of the core and surrounding grains in the same parent AGB star, or with grain accretion in the ISM or solar nebula.</t>
  </si>
  <si>
    <t>[Haenecour, Pierre; Zega, Thomas J.] Univ Arizona, Lunar &amp; Planetary Lab, Tucson, AZ 85721 USA; [Floss, Christine] Washington Univ, Space Sci Lab, St Louis, MO 63130 USA; [Floss, Christine] Washington Univ, McDonnell Ctr Space Sci, St Louis, MO 63130 USA; [Brearley, Adrian J.] Univ New Mexico, Dept Earth &amp; Planetary Sci, Albuquerque, NM 87131 USA; [Zega, Thomas J.] Univ Arizona, Dept Mat Sci &amp; Engn, Tucson, AZ 85721 USA</t>
  </si>
  <si>
    <t>University of Arizona; Washington University (WUSTL); Washington University (WUSTL); University of New Mexico; University of Arizona</t>
  </si>
  <si>
    <t>Haenecour, P (corresponding author), Univ Arizona, Lunar &amp; Planetary Lab, Tucson, AZ 85721 USA.</t>
  </si>
  <si>
    <t>pierre@lpl.arizona.edu</t>
  </si>
  <si>
    <t>Zega, Thomas/0000-0002-9549-022X; Haenecour, Pierre/0000-0001-5671-5388; Brearley, Adrian/0000-0002-7364-8815</t>
  </si>
  <si>
    <t>NASA [NNX14AG25G, 80NSSV17K0592, NNX11AK51G, NNX15AD28G, NNX15AD94G, NNX15AJ22G, NNX12AL47G]; NSF [1531243]; NASA [143207, NNX15AJ22G, 807545, NNX11AK51G, 69600, NNX12AL47G, 683540, NNX14AG25G] Funding Source: Federal RePORTER</t>
  </si>
  <si>
    <t>NASA(National Aeronautics &amp; Space Administration (NASA)); NSF(National Science Foundation (NSF)); NASA(National Aeronautics &amp; Space Administration (NASA))</t>
  </si>
  <si>
    <t>A draft of this manuscript was originally written by Christine Floss. This work was support by NASA grants NNX14AG25G and 80NSSV17K0592 (CF), NNX11AK51G and NNX15AD28G (AJB), and NNX15AD94G (TJZ). We also thank Jane Howe and Hitachi High Technologies Co. for help and support with the SU9000 measurements. This manuscript was significantly improved by helpful suggestions from M. Bose, A. King, an anonymous reviewer, and guest associate editor L. R. Nittler. TEM and FIB analyses for grain 5d1-6o1 were carried out at the University of Arizona Kuiper Materials Imaging and Characterization Facility (NSF Grant 1531243 and NASA Grants NNX15AJ22G and NNX12AL47G).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</si>
  <si>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10.1111/maps.13477</t>
  </si>
  <si>
    <t>NA4ZX</t>
  </si>
  <si>
    <t>WOS:000529846100001</t>
  </si>
  <si>
    <t>Rufino, LA; Pinheiro, SS; Burri, L; Nunes, AJP</t>
  </si>
  <si>
    <t>Rufino, Lucas Alves; Pinheiro, Simone Sales; Burri, Lena; Nunes, Alberto J. P.</t>
  </si>
  <si>
    <t>Dietary supplementation of astaxanthin krill oil enhances the growth performance of juvenile Litopenaeus vannamei raised intensively in enclosed and exposed tank systems under salinity stress</t>
  </si>
  <si>
    <t>JOURNAL OF APPLIED AQUACULTURE</t>
  </si>
  <si>
    <t>Hypersalinity; shrimp; astaxanthin; krill oil</t>
  </si>
  <si>
    <t>PACIFIC WHITE SHRIMP; FATTY-ACID-COMPOSITION; SPOT SYNDROME VIRUS; FED LOW-HUFA; HYPERSALINE SYSTEM; VIRAL LOAD; SURVIVAL; HYPERTHERMIA; METHIONINE; HEMOLYMPH</t>
  </si>
  <si>
    <t>This work evaluated if dietary supplementation of astaxanthin krill oil with or without soybean oil to a grower shrimp feed enhances the growth performance of L. vannamei farmed under salinity stress. Shrimp of 1.08 +/- 0.11 g body weight (BW) were reared for 74 days under 135 animals/m(2) in 50 1-m(3)outdoor tanks. Half of the tanks were operated enclosed by a milky-colored sheet and the remaining ones were fully exposed to sunlight and rain. Shrimp were fed a 38% crude protein feed top-coated with astaxanthin krill oil (K) and/or soybean oil (S) at ratios of 0K-3S, 1K-2S, 2K-1S, and 3K-0S% of the diet, as fed basis, respectively. In air-exposed tanks, mean salinity reached 31 +/- 6 g/L compared to 36 +/- 4 g/L in enclosed tanks. Shrimp survival was similarly high in both rearing systems (90.6 +/- 3.8 and 89.2 +/- 5.3% in air-exposed and enclosed tanks, respectively) and was unaffected by oil supplementation (P &gt; .05). Shrimp raised in the air-exposed tanks achieved a significantly higher final BW, weekly growth, gained yield, apparent feed intake (AFI) and a lower FCR (feed conversion ratio) compared to animals in the enclosed tanks. As a result of top-coating feed for the air-exposed tanks with the 1K-2S oil mix, the highest shrimp final BW (14.03 +/- 0.52 g) and yield (1,515 +/- 40 g/m(2)) could be achieved when compared to the enclosed rearing system and all the other diets. Under longer exposure periods to hypersalinity in enclosed tanks, a minimum of 2K-1S was required to maximize BW (10.80 +/- 0.63 g) when compared to the other enclosed diet groups.</t>
  </si>
  <si>
    <t>[Rufino, Lucas Alves; Pinheiro, Simone Sales; Nunes, Alberto J. P.] Univ Fed Ceara, LABOMAR Inst Ciencias Mar, Ave Abolicao 3207, BR-60165081 Fortaleza, Ceara, Brazil; [Burri, Lena] Aker BioMarine Antarctic AS, Lysaker, Norway</t>
  </si>
  <si>
    <t>Universidade Federal do Ceara</t>
  </si>
  <si>
    <t>Nunes, AJP (corresponding author), Univ Fed Ceara, LABOMAR Inst Ciencias Mar, Ave Abolicao 3207, BR-60165081 Fortaleza, Ceara, Brazil.</t>
  </si>
  <si>
    <t>alberto.nunes@ufc.br</t>
  </si>
  <si>
    <t>CNPq/MCT [303678/2017-8]</t>
  </si>
  <si>
    <t>CNPq/MCT(Conselho Nacional de Desenvolvimento Cientifico e Tecnologico (CNPQ))</t>
  </si>
  <si>
    <t>The last author acknowledges the support from a research productivity fellowship (CNPq/MCT, PQ# 303678/2017-8).</t>
  </si>
  <si>
    <t>1045-4438</t>
  </si>
  <si>
    <t>1545-0805</t>
  </si>
  <si>
    <t>J APPL AQUACULT</t>
  </si>
  <si>
    <t>J. Appl. Aquac.</t>
  </si>
  <si>
    <t>OCT 2</t>
  </si>
  <si>
    <t>10.1080/10454438.2020.1760165</t>
  </si>
  <si>
    <t>WF8UL</t>
  </si>
  <si>
    <t>WOS:000532202000001</t>
  </si>
  <si>
    <t>Liu, JP; Bromwich, D; Chen, DK; Cordero, R; Jung, T; Raphael, M; Turner, J; Yang, QH</t>
  </si>
  <si>
    <t>Liu, Jiping; Bromwich, David; Chen, Dake; Cordero, Raul; Jung, Thomas; Raphael, Marilyn; Turner, John; Yang, Qinghua</t>
  </si>
  <si>
    <t>Preface to the Special Issue on Antarctic Meteorology and Climate: Past, Present and Future</t>
  </si>
  <si>
    <t>ADVANCES IN ATMOSPHERIC SCIENCES</t>
  </si>
  <si>
    <t>[Liu, Jiping] SUNY Albany, Dept Atmospher &amp; Environm Sci, Albany, NY 12222 USA; [Bromwich, David] Ohio State Univ, Polar Meteorol Grp, Byrd Polar &amp; Climate Res Ctr, Columbus, OH 43210 USA; [Chen, Dake] Second Inst Oceanog, State Key Lab Satellite Ocean Environm Dynam, Hangzhou 310012, Peoples R China; [Chen, Dake; Yang, Qinghua] Southern Marine Sci &amp; Engn Guangdong Lab Zhuhai, Zhuhai 519082, Peoples R China; [Cordero, Raul] Univ Santiago, Dept Fis, Santiago 3493, Chile; [Jung, Thomas] Helmholtz Ctr Polar &amp; Marine Res, Alfred Wegener Inst, D-27570 Bremerhaven, Germany; [Jung, Thomas] Univ Bremen, Inst Environm Phys, D-28359 Bremen, Germany; [Raphael, Marilyn] Univ Calif Los Angeles, Dept Geog, Los Angeles, CA 90095 USA; [Turner, John] British Antarctic Survey, Nat Environm Res Council, Cambridge CB3 0ET, England; [Yang, Qinghua] Sun Yat Sen Univ, Sch Atmospher Sci, Zhuhai 519082, Peoples R China</t>
  </si>
  <si>
    <t>State University of New York (SUNY) System; State University of New York (SUNY) Albany; University System of Ohio; Ohio State University; Ministry of Natural Resources of the People's Republic of China; Second Institute of Oceanography, Ministry of Natural Resources; Southern Marine Science &amp; Engineering Guangdong Laboratory; Southern Marine Science &amp; Engineering Guangdong Laboratory (Zhuhai); Universidad de Santiago de Chile; Helmholtz Association; Alfred Wegener Institute, Helmholtz Centre for Polar &amp; Marine Research; University of Bremen; University of California System; University of California Los Angeles; UK Research &amp; Innovation (UKRI); Natural Environment Research Council (NERC); NERC British Antarctic Survey; Sun Yat Sen University</t>
  </si>
  <si>
    <t>Liu, JP (corresponding author), SUNY Albany, Dept Atmospher &amp; Environm Sci, Albany, NY 12222 USA.</t>
  </si>
  <si>
    <t>Jung, Thomas/J-5239-2012</t>
  </si>
  <si>
    <t>Jung, Thomas/0000-0002-2651-1293; Cordero, Raul R./0000-0001-7607-7993</t>
  </si>
  <si>
    <t>National Key R&amp;D Program of China [2018YFA0605901]; NERC [bas0100032] Funding Source: UKRI</t>
  </si>
  <si>
    <t>National Key R&amp;D Program of China; NERC(UK Research &amp; Innovation (UKRI)Natural Environment Research Council (NERC))</t>
  </si>
  <si>
    <t>It would have been impossible to produce this special issue without the contributions of the guest editors and the AAS editorial team. This special issue is in part supported by the National Key R&amp;D Program of China (Grant No. 2018YFA0605901).</t>
  </si>
  <si>
    <t>16 DONGHUANGCHENGGEN NORTH ST, BEIJING 100717, PEOPLES R CHINA</t>
  </si>
  <si>
    <t>0256-1530</t>
  </si>
  <si>
    <t>1861-9533</t>
  </si>
  <si>
    <t>ADV ATMOS SCI</t>
  </si>
  <si>
    <t>Adv. Atmos. Sci.</t>
  </si>
  <si>
    <t>10.1007/s00376-020-2001-7</t>
  </si>
  <si>
    <t>LE2HU</t>
  </si>
  <si>
    <t>WOS:000526544900001</t>
  </si>
  <si>
    <t>Kaczmarek, L</t>
  </si>
  <si>
    <t>Kaczmarek, Lukasz</t>
  </si>
  <si>
    <t>Final Note of Special Issue Tardigrades Taxonomy, Biology and Ecology</t>
  </si>
  <si>
    <t>diversity; encystment; interpopulation variability; metabarcoding; new species; Tardigrada; taxonomy</t>
  </si>
  <si>
    <t>ANNOTATED ZOOGEOGRAPHY; ANHYDROBIOSIS</t>
  </si>
  <si>
    <t>Tardigrada (water bears) are microscopic invertebrates inhabiting aquatic (freshwater and marine) and terrestrial habitats. They are thriving in almost all Earth ecosystems from deepest oceans to highest mountains, from tropics to polar regions. Water bears are probably most famous for their cryptobiotic abilities, which allow them to survive a broad spectrum of extreme environmental conditions. The Special Issue on tardigrades was launched to popularize research on these fascinating microinvertebrates. The published papers were focused on (a) marine and terrestrial tardigrades diversity, (b) interpopulation variability of Antarctic eutardigrade Paramacrobiotus fairbanksi, (c) encystment in freshwater eutardigrade Thulinius ruffoi and (d) use of a metabarcoding approach to community structures studies in microenvironments.</t>
  </si>
  <si>
    <t>[Kaczmarek, Lukasz] Adam Mickiewicz Univ, Dept Anim Taxon &amp; Ecol, Uniwersytetu Poznanskiego 6, PL-61614 Poznan, Poland</t>
  </si>
  <si>
    <t>Adam Mickiewicz University</t>
  </si>
  <si>
    <t>Kaczmarek, L (corresponding author), Adam Mickiewicz Univ, Dept Anim Taxon &amp; Ecol, Uniwersytetu Poznanskiego 6, PL-61614 Poznan, Poland.</t>
  </si>
  <si>
    <t>kaczmar@amu.edu.pl</t>
  </si>
  <si>
    <t>Kaczmarek, Lukasz/A-2000-2008</t>
  </si>
  <si>
    <t>Kaczmarek, Lukasz/0000-0002-5260-6253</t>
  </si>
  <si>
    <t>10.3390/d12050169</t>
  </si>
  <si>
    <t>LZ2UJ</t>
  </si>
  <si>
    <t>WOS:000541083200008</t>
  </si>
  <si>
    <t>Cottrell, RS; Blanchard, JL; Halpern, BS; Metian, M; Froehlich, HE</t>
  </si>
  <si>
    <t>Cottrell, Richard S.; Blanchard, Julia L.; Halpern, Benjamin S.; Metian, Marc; Froehlich, Halley E.</t>
  </si>
  <si>
    <t>Global adoption of novel aquaculture feeds could substantially reduce forage fish demand by 2030</t>
  </si>
  <si>
    <t>NATURE FOOD</t>
  </si>
  <si>
    <t>OMEGA-3 INDEX; ENVIRONMENTAL SUSTAINABILITY; FUTURE; MEAL; OIL; INGREDIENTS; MICROALGAE; RESOURCES; AQUAFEEDS; INSECTS</t>
  </si>
  <si>
    <t>With the global supply of forage fish at a plateau, fed aquaculture must continue to reduce dependence on fishmeal and oil in feeds to ensure sustainable sector growth. The use of novel aquaculture feed ingredients is growing, but their contributions to scalable and sustainable aquafeed solutions are unclear. Here, we show that global adoption of novel aquafeeds could substantially reduce aquaculture's forage fish demand by 2030, maintaining feed efficiencies and omega-3 fatty acid profiles. We combine production data, scenario modelling and a decade of experimental data on forage fish replacement using microalgae, macroalgae, bacteria, yeast and insects to illustrate how reducing future fish oil demand, particularly in high-value species such as salmonids, will be key for the sustainability of fed aquaculture. However, considerable uncertainties remain surrounding novel feed efficacy across different life-cycle stages and taxa, and various social, environmental, economic and regulatory challenges will dictate their widespread use. Yet, we demonstrate how even limited adoption of novel feeds could aid sustainable aquaculture growth, which will become increasingly important for food security. Novel aquaculture feeds are rapidly developing, but their contributions to sustainable industry growth are unknown. Cottrell et al. model feed efficiency and fatty acid profiles, showing that replacing forage fish with novel feed ingredients could strengthen aquaculture's role in global food security.</t>
  </si>
  <si>
    <t>[Cottrell, Richard S.; Blanchard, Julia L.] Univ Tasmania, Ctr Marine Socioecol, Hobart, Tas, Australia; [Cottrell, Richard S.; Blanchard, Julia L.] Univ Tasmania, Inst Marine &amp; Antarctic Studies, Hobart, Tas, Australia; [Cottrell, Richard S.; Halpern, Benjamin S.; Froehlich, Halley E.] Univ Calif Santa Barbara, Natl Ctr Ecol Anal &amp; Synth, Santa Barbara, CA 93106 USA; [Halpern, Benjamin S.] Univ Calif Santa Barbara, Bren Sch Environm Sci &amp; Management, Santa Barbara, CA 93106 USA; [Metian, Marc] Int Atom Energy Agcy Environm Labs, Monaco, Monaco; [Froehlich, Halley E.] Univ Calif Santa Barbara, Ecol Evolut &amp; Marine Biol, Santa Barbara, CA 93106 USA; [Froehlich, Halley E.] Univ Calif Santa Barbara, Environm Studies, Santa Barbara, CA 93106 USA</t>
  </si>
  <si>
    <t>University of Tasmania; University of Tasmania; National Center for Ecological Analysis &amp; Synthesis; University of California System; University of California Santa Barbara; University of California System; University of California Santa Barbara; University of California System; University of California Santa Barbara; University of California System; University of California Santa Barbara</t>
  </si>
  <si>
    <t>Cottrell, RS (corresponding author), Univ Tasmania, Ctr Marine Socioecol, Hobart, Tas, Australia.;Cottrell, RS (corresponding author), Univ Tasmania, Inst Marine &amp; Antarctic Studies, Hobart, Tas, Australia.;Cottrell, RS (corresponding author), Univ Calif Santa Barbara, Natl Ctr Ecol Anal &amp; Synth, Santa Barbara, CA 93106 USA.</t>
  </si>
  <si>
    <t>cottrell@nceas.ucsb.edu</t>
  </si>
  <si>
    <t>Cottrell, Richard S./AAT-8401-2020; Blanchard, Julia L/E-4919-2010; Metian, Marc/F-8010-2018</t>
  </si>
  <si>
    <t>Cottrell, Richard S./0000-0002-6499-7503; Metian, Marc/0000-0003-1485-5029; Froehlich, Halley/0000-0001-7322-1523; Blanchard, Julia/0000-0003-0532-4824</t>
  </si>
  <si>
    <t>Centre for Marine Socioecology, University of Tasmania; Food System Impacts and Sustainability Working Group at the National Center for Ecological Analysis and Synthesis (NCEAS) at the University of California, Santa Barbara; CSIRO-UTAS Quantitative Marine Science Program; CSIRO-UTAS Australian Training Program; Zegar Family Foundation</t>
  </si>
  <si>
    <t>Centre for Marine Socioecology, University of Tasmania; Food System Impacts and Sustainability Working Group at the National Center for Ecological Analysis and Synthesis (NCEAS) at the University of California, Santa Barbara; CSIRO-UTAS Quantitative Marine Science Program(Commonwealth Scientific &amp; Industrial Research Organisation (CSIRO)); CSIRO-UTAS Australian Training Program; Zegar Family Foundation</t>
  </si>
  <si>
    <t>The authors acknowledge funding and intellectual support from the Centre for Marine Socioecology, University of Tasmania and the Food System Impacts and Sustainability Working Group at the National Center for Ecological Analysis and Synthesis (NCEAS) at the University of California, Santa Barbara. R.S.C. acknowledges funding from the CSIRO-UTAS Quantitative Marine Science Program and Australian Training Program. H.E.F. and B.S.H. acknowledge funding from the Zegar Family Foundation and, on behalf of M.M., the IAEA is grateful to the Government of the Principality of Monaco for the support provided to its Environment Laboratories.</t>
  </si>
  <si>
    <t>2662-1355</t>
  </si>
  <si>
    <t>NAT FOOD</t>
  </si>
  <si>
    <t>Nat. Food</t>
  </si>
  <si>
    <t>10.1038/s43016-020-0078-x</t>
  </si>
  <si>
    <t>PF2FW</t>
  </si>
  <si>
    <t>WOS:000598877400018</t>
  </si>
  <si>
    <t>Bakunov, NA; Bol'shiyanov, DY; Pravkin, SA; Makarov, AS</t>
  </si>
  <si>
    <t>Bakunov, N. A.; Bol'shiyanov, D. Yu; Pravkin, S. A.; Makarov, A. S.</t>
  </si>
  <si>
    <t>Sorption-Diffusion Model of 137Cs Absorption by Bottom Deposits of Lakes in the Reconstruction of 137Cs Fallout to Water Basins</t>
  </si>
  <si>
    <t>RADIOCHEMISTRY</t>
  </si>
  <si>
    <t>cesium-137; lake; bottom soil; migration; sorption; diffusion</t>
  </si>
  <si>
    <t>CONTAMINATION; CESIUM-137; OBLAST</t>
  </si>
  <si>
    <t>For 6 drainless lakes with average depths of &lt;= 12 m, the fallout of Cs-137 to water basins is reconstructed by using in calculation the sorption-diffusion model off radionuclide absorption by the bottom and the data of later (in years) monitoring of Cs-137. The model was used to calculate the concentration of Cs-137 in water by the date of lake contamination, with the subsequent determination of the amount of Cs-137 in the bulk of lake water. The manifold difference in the Cs-137 fallout density to water basins (18-700 kBq/m(2)), time of Cs-137 exposure, and dissimilar natural properties of lakes had no effect on the correction of estimating the Cs-137 fallout: the calculated results agreed with the data on the content of Cs-137 in coastal soils of water basins. By the dates of Cs-137 monitoring in lake water (7, 16, 35 years after the contamination of a water basin) its amount in the water bulk did not exceed 0.18-6.6% of the amount fallen on the lake surface. The parameters of the Cs-137 migration in the water-bottom system, the distribution (K-d) and diffusion (D) coefficient were 2000-4000 L/kg and 1.0-0.2 x 10(-7) cm(2)/s, respectively. Silts as the main examples of the sorption properties of the water basin bottom determined for many years the contamination odd rainless lakes with Cs-137.</t>
  </si>
  <si>
    <t>[Bakunov, N. A.; Bol'shiyanov, D. Yu; Pravkin, S. A.; Makarov, A. S.] Arctic &amp; Antarctic Res Inst, St Petersburg 199397, Russia</t>
  </si>
  <si>
    <t>Arctic &amp; Antarctic Research Institute</t>
  </si>
  <si>
    <t>Pravkin, SA (corresponding author), Arctic &amp; Antarctic Res Inst, St Petersburg 199397, Russia.</t>
  </si>
  <si>
    <t>s.pravkin@aari.ru</t>
  </si>
  <si>
    <t>1066-3622</t>
  </si>
  <si>
    <t>1608-3288</t>
  </si>
  <si>
    <t>RADIOCHEMISTRY+</t>
  </si>
  <si>
    <t>Radiochemistry</t>
  </si>
  <si>
    <t>10.1134/S1066362220050148</t>
  </si>
  <si>
    <t>Chemistry, Analytical; Chemistry, Inorganic &amp; Nuclear</t>
  </si>
  <si>
    <t>OK1FC</t>
  </si>
  <si>
    <t>WOS:000584396200014</t>
  </si>
  <si>
    <t>Lyu, KW; Zhang, XB; Church, JA; Wu, QR</t>
  </si>
  <si>
    <t>Lyu, Kewei; Zhang, Xuebin; Church, John A.; Wu, Quran</t>
  </si>
  <si>
    <t>Processes Responsible for the Southern Hemisphere Ocean Heat Uptake and Redistribution under Anthropogenic Warming</t>
  </si>
  <si>
    <t>MODELS HISTORICAL BIAS; SEA-LEVEL; PROJECTED CHANGES; CLIMATE-CHANGE; WATER; PACIFIC; TEMPERATURE; CIRCULATION; TRANSPORT; UNCERTAINTY</t>
  </si>
  <si>
    <t>The Southern Hemisphere oceans absorb most of the excess heat stored in the climate system due to anthropogenic warming. By analyzing future climate projections from a large ensemble of the CMIP5 models under a high emission scenario (RCP8.5), we investigate how the atmospheric forcing and ocean circulation determine heat uptake and redistribution in the Southern Hemisphere oceans. About two-thirds of the net surface heat gain in the high-latitude Southern Ocean is redistributed northward, leading to enhanced and deep-reaching warming at middle latitudes near the boundary between the subtropical gyres and the Antarctic Circumpolar Current. The projected magnitudes of the ocean warming are closely related to the magnitudes of the wind and gyre boundary poleward shifts across the models. For those models with the simulated gyre boundary biased equatorward, the latitude where the projected ocean warming peaks is also located farther equatorward and a larger poleward shift of the gyre boundary is projected. In a theoretical framework, the subsurface ocean changes are explored using three distinctive processes on the temperature-salinity diagram: pure heave, pure warming, and pure freshening. The enhanced middle-latitude warming and the deepening of isopycnals are attributed to the pure heave and pure warming processes, likely related to the wind-driven heat convergence and the accumulation of extra surface heat uptake by the background ocean circulation, respectively. The equatorward and downward subductions of the surface heat and freshwater input at high latitudes (i.e., pure warming and pure freshening processes) result in cooling and freshening spiciness changes on density surfaces within the Subantarctic Mode Water and Antarctic Intermediate Water.</t>
  </si>
  <si>
    <t>[Lyu, Kewei; Zhang, Xuebin] CSIRO, Ctr Southern Hemisphere Oceans Res, Oceans &amp; Atmosphere, Hobart, Tas, Australia; [Church, John A.] Univ New South Wales, Climate Change Res Ctr, Sydney, NSW, Australia; [Wu, Quran] Xiamen Univ, Coll Ocean &amp; Earth Sci, State Key Lab Marine Environm Sci, Xiamen, Peoples R China; [Wu, Quran] Univ Reading, Natl Ctr Atmospher Sci Climate, Reading, Berks, England; [Wu, Quran] Univ Reading, Dept Meteorol, Reading, Berks, England</t>
  </si>
  <si>
    <t>Commonwealth Scientific &amp; Industrial Research Organisation (CSIRO); University of New South Wales Sydney; Xiamen University; University of Reading; UK Research &amp; Innovation (UKRI); Natural Environment Research Council (NERC); NERC National Centre for Atmospheric Science; University of Reading</t>
  </si>
  <si>
    <t>Lyu, KW; Zhang, XB (corresponding author), CSIRO, Ctr Southern Hemisphere Oceans Res, Oceans &amp; Atmosphere, Hobart, Tas, Australia.</t>
  </si>
  <si>
    <t>kewei.lyu@csiro.au; xuebin.zhang@csiro.au</t>
  </si>
  <si>
    <t>Church, John A/A-1541-2012; Zhang, Xuebin/A-3405-2012</t>
  </si>
  <si>
    <t>Church, John A/0000-0002-7037-8194; Zhang, Xuebin/0000-0003-1731-3524; Lyu, Kewei/0000-0002-2054-8917</t>
  </si>
  <si>
    <t>Centre for Southern Hemisphere Oceans Research (CSHOR) - Qingdao National Laboratory forMarine Science and Technology (QNLM, China); Commonwealth Scientific and Industrial Research Organisation (CSIRO, Australia); Australian Research Council [DP190101173]; National Natural Science Foundation of China [91958203]</t>
  </si>
  <si>
    <t>Centre for Southern Hemisphere Oceans Research (CSHOR) - Qingdao National Laboratory forMarine Science and Technology (QNLM, China); Commonwealth Scientific and Industrial Research Organisation (CSIRO, Australia); Australian Research Council(Australian Research Council); National Natural Science Foundation of China(National Natural Science Foundation of China (NSFC))</t>
  </si>
  <si>
    <t>This study was supported by the Centre for Southern Hemisphere Oceans Research (CSHOR), jointly funded by the Qingdao National Laboratory forMarine Science and Technology (QNLM, China) and the Commonwealth Scientific and Industrial Research Organisation (CSIRO, Australia), and the Australian Research Council's Discovery Project funding scheme (project DP190101173). Q.W. was supported by the National Natural Science Foundation of China (91958203). We are grateful toDamien Irving, Annie Foppert, and three anonymous reviewers for their constructive comments. We thank TrevorMcDougall for helpful discussions on applying and interpreting the theoretical framework. We acknowledge the climate modeling groups (listed in the Table 1), the World Climate Research Programme's (WCRP) Working Group on Coupled Modelling (WGCM), and the Global Organization for Earth System Science Portals (GO-ESSP) for producing, coordinating, and making available the CMIP5 model output.</t>
  </si>
  <si>
    <t>10.1175/JCLI-D-19-0478.1</t>
  </si>
  <si>
    <t>NM7FI</t>
  </si>
  <si>
    <t>WOS:000568259800020</t>
  </si>
  <si>
    <t>Roccatagliata, D</t>
  </si>
  <si>
    <t>Roccatagliata, Daniel</t>
  </si>
  <si>
    <t>On the deep-sea lampropid Platytyphlops sarahae n. sp. from Argentina, with remarks on some morphological characters of Cumacea</t>
  </si>
  <si>
    <t>ZOOLOGISCHER ANZEIGER</t>
  </si>
  <si>
    <t>Cumacea; Mar del Plata submarine canyon; Namuncura-Burdwood Bank; Eyelobe; Pseudorostrum; Antennal squama</t>
  </si>
  <si>
    <t>CRUSTACEA; PERACARIDA</t>
  </si>
  <si>
    <t>Platytyphlops sarahae n. sp. is described based on specimens collected in the Mar del Plata submarine canyon and on the slope of the Namuncura-Burdwood Bank. P. sarahae n. sp. is closely related to the Antarctic species Platytyphlops asperus, from which it can be easily separated by the telson having a central distal seta distinctly shorter than the other two. The presence of a rudimentary squama (exopod) on the second antenna of the male is reported for the first time for the family, and for the second time for the order Cumacea. With the aim of improving the taxonomic work and facilitating future phylogenetic analyses in the family Lampropidae, remarks on the second antenna of the male, the eyelobe and the pseudorostrum are presented. (C) 2020 Elsevier GmbH. All rights reserved.</t>
  </si>
  <si>
    <t>[Roccatagliata, Daniel] Univ Buenos Aires, CONICET, IBBEA, Buenos Aires, DF, Argentina; [Roccatagliata, Daniel] Univ Buenos Aires, Fac Ciencias Exactas &amp; Nat, Dept Biodiversidad &amp; Biol Expt, Buenos Aires, DF, Argentina</t>
  </si>
  <si>
    <t>Consejo Nacional de Investigaciones Cientificas y Tecnicas (CONICET); University of Buenos Aires; University of Buenos Aires</t>
  </si>
  <si>
    <t>Roccatagliata, D (corresponding author), Univ Buenos Aires, CONICET, IBBEA, Buenos Aires, DF, Argentina.</t>
  </si>
  <si>
    <t>rocca@bg.fcen.uba.ar</t>
  </si>
  <si>
    <t>University of Buenos Aires, Argentina (UBACyT) [20020170100328BA]; National Scientific and Technical Research Council, CONICET, Argentina [11220130100434CO]</t>
  </si>
  <si>
    <t>University of Buenos Aires, Argentina (UBACyT)(University of Buenos Aires); National Scientific and Technical Research Council, CONICET, Argentina(Consejo Nacional de Investigaciones Cientificas y Tecnicas (CONICET))</t>
  </si>
  <si>
    <t>Many colleagues helped me throughout the preparation of this manuscript. Charles Oliver Coleman (Museum fur Naturkunde Berlin) sent photos of the type material of Paralamprops asper and confirmed me the type locality of this species. Iorgu Petrescu (MNINGA, Bucharest) examined the specimens of Paralamprops asper for me that were deposited in the Muzeul Na.ional de Istorie Natural. Grigore Antipa. Jordi Corbera (Catalonia, Spain) sent photos and pencil drawings of the specimens of Paralamprops asper collected around South Shetland Islands. Ute Muhlenhardt-Siegel (CeNak, Universitat Hamburg) sent records on the specimens of Paralamprops asper collected in theWeddell Sea during the ANDEEP surveys. The late Norman S. Jones (Port Erin Marine Laboratory, Isle of Man) lent me the specimens collected at the station AII 60-237. The help of the officers and crew of the RV Puerto Deseado during the survey Talud Continental I-III and BBB 2016 is much appreciated. Ignacio Chiesa (CADIC, Ushuaia) and Alejandro Martinez (IBBEA-UBA) collected most of the samples studied and afterwards, together with Brenda Doti and Emanuel Pereira (IBBEA-UBA), sorted them at the laboratory. Fabian Tricarico (MACN, Buenos Aires) assisted with the SEM micrographs. I am also very grateful to the anonymous reviewers for their helpful comments. This work was supported by the University of Buenos Aires, Argentina (UBACyT 2018-2020 20020170100328BA) and the National Scientific and Technical Research Council, CONICET, Argentina (PIP 2014-2016 11220130100434CO).</t>
  </si>
  <si>
    <t>ELSEVIER GMBH</t>
  </si>
  <si>
    <t>MUNICH</t>
  </si>
  <si>
    <t>HACKERBRUCKE 6, 80335 MUNICH, GERMANY</t>
  </si>
  <si>
    <t>0044-5231</t>
  </si>
  <si>
    <t>ZOOL ANZ</t>
  </si>
  <si>
    <t>Zool. Anz.</t>
  </si>
  <si>
    <t>10.1016/j.jcz.2020.03.009</t>
  </si>
  <si>
    <t>NM6NH</t>
  </si>
  <si>
    <t>WOS:000568211900015</t>
  </si>
  <si>
    <t>Donohoe, A; Armour, KC; Roe, GH; Battisti, DS; Hahn, L</t>
  </si>
  <si>
    <t>Donohoe, Aaron; Armour, Kyle C.; Roe, Gerard H.; Battisti, David S.; Hahn, Lily</t>
  </si>
  <si>
    <t>The Partitioning of Meridional Heat Transport from the Last Glacial Maximum to CO2 Quadrupling in Coupled Climate Models</t>
  </si>
  <si>
    <t>Atmospheric circulation; Dynamics; Energy transport; Meridional overturning circulation; Eddies; Energy budget; balance</t>
  </si>
  <si>
    <t>ATMOSPHERIC ENERGY TRANSPORTS; OBSERVED ANNUAL CYCLE; TROPICAL PRECIPITATION; SOUTHERN-OCEAN; PART I; CIRCULATION; FEEDBACKS; ITCZ; COMPENSATION; SIMULATIONS</t>
  </si>
  <si>
    <t>Meridional heat transport (MHT) is analyzed in ensembles of coupled climate models simulating climate states ranging from the Last Glacial Maximum (LGM) to quadrupled CO2. MHT is partitioned here into atmospheric (AHT) and implied oceanic (OHT) heat transports. In turn, AHT is partitioned into dry and moist energy transport by the meridional overturning circulation (MOC), transient eddy energy transport (TE), and stationary eddy energy transport (SE) using only monthly averaged model output that is typically archived. In all climate models examined, the maximum total MHT (AHT + OHT) is nearly climate-state invariant, except for a modest (4%, 0.3 PW) enhancement of MHT in the Northern Hemisphere (NH) during the LGM. However, the partitioning of MHT depends markedly on the climate state, and the changes in partitioning differ considerably among different climate models. In response to CO2 quadrupling, poleward implied OHT decreases, while AHT increases by a nearly compensating amount. The increase in annual-mean AHT is a smooth function of latitude but is due to a spatially inhomogeneous blend of changes in SE and TE that vary by season. During the LGM, the increase in wintertime SE transport in the NH midlatitudes exceeds the decrease in TE resulting in enhanced total AHT. Total AHT changes in the Southern Hemisphere (SH) are not significant. These results suggest that the net top-of-atmosphere radiative constraints on total MHT are relatively invariant to climate forcing due to nearly compensating changes in absorbed solar radiation and outgoing longwave radiation. However, the partitioning of MHT depends on detailed regional and seasonal factors.</t>
  </si>
  <si>
    <t>[Donohoe, Aaron] Univ Washington, Appl Phys Lab, Polar Sci Ctr, Seattle, WA 98105 USA; [Armour, Kyle C.] Univ Washington, Sch Oceanog, Seattle, WA 98195 USA; [Armour, Kyle C.; Battisti, David S.; Hahn, Lily] Univ Washington, Dept Atmospher Sci, Seattle, WA 98195 USA; [Roe, Gerard H.] Univ Washington, Dept Earth &amp; Space Sci, Seattle, WA 98195 USA</t>
  </si>
  <si>
    <t>University of Washington; University of Washington Seattle; University of Washington; University of Washington Seattle; University of Washington; University of Washington Seattle; University of Washington; University of Washington Seattle</t>
  </si>
  <si>
    <t>Donohoe, A (corresponding author), Univ Washington, Appl Phys Lab, Polar Sci Ctr, Seattle, WA 98105 USA.</t>
  </si>
  <si>
    <t>Keyes, Dennis/AAZ-9285-2021; Battisti, David S/A-3340-2013</t>
  </si>
  <si>
    <t>Hahn, Lily/0000-0002-0573-5183</t>
  </si>
  <si>
    <t>National Science Foundation Paleo Perspective on Climate Change (P2C2) [AGS-1702827]; NSF Antarctic Program [PLR 1643436]; National Science Foundation [AGS-1752796]; National Science Foundation Graduate Research Fellowship Program [GRFP-2018266662]</t>
  </si>
  <si>
    <t>National Science Foundation Paleo Perspective on Climate Change (P2C2); NSF Antarctic Program; National Science Foundation(National Science Foundation (NSF)); National Science Foundation Graduate Research Fellowship Program(National Science Foundation (NSF))</t>
  </si>
  <si>
    <t>We thank Edward Blanchard-Wrigglesworth for running the CESM simulations with saved instantaneous eddy covariances. We also thank Isaac Held, Geoff Vallis, and two anonymous reviewers for thoughtful suggestions that helped expand and clarify the manuscript. AD's work was partially funded by the National Science Foundation Paleo Perspective on Climate Change (P2C2) Grant AGS-1702827 and the NSF Antarctic Program Grant PLR 1643436. KCA received support from National Science Foundation Award AGS-1752796. LCH received support from the National Science Foundation Graduate Research Fellowship Program GRFP-2018266662.</t>
  </si>
  <si>
    <t>10.1175/JCLI-D-19-0797.1</t>
  </si>
  <si>
    <t>NI2HW</t>
  </si>
  <si>
    <t>WOS:000565177600001</t>
  </si>
  <si>
    <t>Hancock, AM; King, CK; Stark, JS; McMinn, A; Davidson, AT</t>
  </si>
  <si>
    <t>Hancock, Alyce M.; King, Catherine K.; Stark, Jonathan S.; McMinn, Andrew; Davidson, Andrew T.</t>
  </si>
  <si>
    <t>Effects of ocean acidification on Antarctic marine organisms: A meta-analysis</t>
  </si>
  <si>
    <t>bacteria; climate change; CO2; fish; invertebrates; macroalgae; pH; phytoplankton; Southern Ocean</t>
  </si>
  <si>
    <t>CARBON-CONCENTRATING MECHANISMS; BACTERIOPLANKTON COMMUNITY STRUCTURE; ELEVATED SEAWATER TEMPERATURE; SOUTHERN-OCEAN; CLIMATE-CHANGE; SEA-ICE; LARVAL DEVELOPMENT; LIMACINA-HELICINA; CO2 CONCENTRATION; INORGANIC CARBON</t>
  </si>
  <si>
    <t>Southern Ocean waters are among the most vulnerable to ocean acidification. The projected increase in the CO2 level will cause changes in carbonate chemistry that are likely to be damaging to organisms inhabiting these waters. A meta-analysis was undertaken to examine the vulnerability of Antarctic marine biota occupying waters south of 60 degrees S to ocean acidification. This meta-analysis showed that ocean acidification negatively affects autotrophic organisms, mainly phytoplankton, at CO2 levels above 1,000 mu atm and invertebrates above 1,500 mu atm, but positively affects bacterial abundance. The sensitivity of phytoplankton to ocean acidification was influenced by the experimental procedure used. Natural, mixed communities were more sensitive than single species in culture and showed a decline in chlorophyll a concentration, productivity, and photosynthetic health, as well as a shift in community composition at CO2 levels above 1,000 mu atm. Invertebrates showed reduced fertilization rates and increased occurrence of larval abnormalities, as well as decreased calcification rates and increased shell dissolution with any increase in CO2 level above 1,500 mu atm. Assessment of the vulnerability of fish and macroalgae to ocean acidification was limited by the number of studies available. Overall, this analysis indicates that many marine organisms in the Southern Ocean are likely to be susceptible to ocean acidification and thereby likely to change their contribution to ecosystem services in the future. Further studies are required to address the poor spatial coverage, lack of community or ecosystem-level studies, and the largely unknown potential for organisms to acclimate and/or adapt to the changing conditions.</t>
  </si>
  <si>
    <t>[Hancock, Alyce M.; McMinn, Andrew] Univ Tasmania, Inst Marine &amp; Antarctic Studies, 20 Castray Esplanade, Battery Point, Tas 7004, Australia; [Hancock, Alyce M.; McMinn, Andrew] Antarctic Gateway Partnership, Battery Point, Tas, Australia; [Hancock, Alyce M.; McMinn, Andrew; Davidson, Andrew T.] Antarctic Climate &amp; Ecosyst Cooperat Res Ctr, Battery Point, Tas, Australia; [King, Catherine K.; Stark, Jonathan S.; Davidson, Andrew T.] Australian Antarctic Div, Kingston, Tas, Australia</t>
  </si>
  <si>
    <t>University of Tasmania; Antarctic Climate &amp; Ecosystems Cooperative Research Centre (ACE CRC); Australian Antarctic Division</t>
  </si>
  <si>
    <t>Hancock, AM (corresponding author), Univ Tasmania, Inst Marine &amp; Antarctic Studies, 20 Castray Esplanade, Battery Point, Tas 7004, Australia.</t>
  </si>
  <si>
    <t>alyce.hancock@utas.edu.au</t>
  </si>
  <si>
    <t>McMinn, Andrew/A-9910-2008; Hancock, Alyce M./AAX-3151-2020; Stark, Jonathan/ABF-4025-2020; King, Catherine/G-7059-2017</t>
  </si>
  <si>
    <t>Hancock, Alyce M./0000-0001-6049-5592; Stark, Jonathan/0000-0002-4268-8072; McMinn, Andrew/0000-0002-2133-3854; King, Catherine/0000-0003-3356-0381</t>
  </si>
  <si>
    <t>10.1002/ece3.6205</t>
  </si>
  <si>
    <t>NE2BU</t>
  </si>
  <si>
    <t>WOS:000562403100025</t>
  </si>
  <si>
    <t>Ivanova, EV; Skolotnev, SG; Borisov, DG; Demidov, AN; Bich, AS; Gippius, FN; Gryaznova, AS; Dobroliubova, KO; Zinger, TF; Korshunov, DM; Levchenko, OV; Mashura, VV; Muccini, F; Nemchenko, NV; Peyve, AA; Pertsev, AN; Sani, K; Sanfilippo, A; Simagin, NV; Sokolov, SY; Ferrando, C; Chamov, NP; Shakhovskoy, IB; Sholukhov, KN</t>
  </si>
  <si>
    <t>Ivanova, E. V.; Skolotnev, S. G.; Borisov, D. G.; Demidov, A. N.; Bich, A. S.; Gippius, F. N.; Gryaznova, A. S.; Dobroliubova, K. O.; Zinger, T. F.; Korshunov, D. M.; Levchenko, O. V.; Mashura, V. V.; Muccini, F.; Nemchenko, N. V.; Peyve, A. A.; Pertsev, A. N.; Sani, K.; Sanfilippo, A.; Simagin, N. V.; Sokolov, S. Yu.; Ferrando, C.; Chamov, N. P.; Shakhovskoy, I. B.; Sholukhov, K. N.</t>
  </si>
  <si>
    <t>Multidisciplinary Investigation of the Transform Fault Zones Doldrums and Vema during Cruise 45 of the R/V Akademik Nikolaj Strakhov</t>
  </si>
  <si>
    <t>Mid-Atlantic Ridge; Antarctic Bottom Waters; transform faults; contourites</t>
  </si>
  <si>
    <t>Herein we provide information on the integrated geological, geophysical, sedimentological, paleoceanographic, hydrophysical and biological investigations in the Central Atlantic during the cruise 45 of the R/V Akademik Nikolaj Strakhov in October-November 2019. The preliminary scientific results are discussed.</t>
  </si>
  <si>
    <t>[Ivanova, E. V.; Borisov, D. G.; Demidov, A. N.; Bich, A. S.; Gippius, F. N.; Zinger, T. F.; Korshunov, D. M.; Levchenko, O. V.; Mashura, V. V.; Nemchenko, N. V.; Simagin, N. V.; Shakhovskoy, I. B.] Russian Acad Sci, Shirshov Inst Oceanol, Moscow, Russia; [Skolotnev, S. G.; Dobroliubova, K. O.; Peyve, A. A.; Sokolov, S. Yu.; Chamov, N. P.] Russian Acad Sci, Geol Inst, Moscow, Russia; [Demidov, A. N.; Gippius, F. N.] Moscow MV Lomonosov State Univ, Dept Geog, Moscow, Russia; [Gryaznova, A. S.] Russian Acad Sci, Vernadsky Inst Geochem &amp; Analyt Chem, Moscow, Russia; [Korshunov, D. M.; Nemchenko, N. V.] Moscow MV Lomonosov State Univ, Dept Geol, Moscow, Russia; [Muccini, F.] Ist Nazl Geofis &amp; Vulcanol, Rome, Italy; [Pertsev, A. N.; Sholukhov, K. N.] Russian Acad Sci, Inst Ore Deposits Petrog Mineral &amp; Geochem, Moscow, Russia; [Sani, K.; Sanfilippo, A.; Ferrando, C.] Univ Pavia, Dipartimento Sci Terra &amp; Ambiente, Pavia, Italy</t>
  </si>
  <si>
    <t>Russian Academy of Sciences; Shirshov Institute of Oceanology; Russian Academy of Sciences; Geological Institute, Russian Academy of Sciences; Lomonosov Moscow State University; Russian Academy of Sciences; Vernadsky Institute of Geochemistry &amp; Analytical Chemistry; Lomonosov Moscow State University; Istituto Nazionale Geofisica e Vulcanologia (INGV); Russian Academy of Sciences; Institute of Geology of Ore Deposits, Petrography, Mineralogy &amp; Geochemistry; University of Pavia</t>
  </si>
  <si>
    <t>Ivanova, EV (corresponding author), Russian Acad Sci, Shirshov Inst Oceanol, Moscow, Russia.</t>
  </si>
  <si>
    <t>e_v_ivanova@ocean.ru</t>
  </si>
  <si>
    <t>Peyve, Alexander A/J-5724-2013; Pertsev, Alexey/AAS-5397-2020; Sokolov, Sergey Y/S-6505-2018; Gippius, Fedor/JCD-9247-2023; Bich, Artyom Sergeevich/W-2515-2018; Muccini, Filippo/AAC-9602-2021; Gryaznova, Anastasia/E-3761-2019; Ivanova, Elena/AAW-2881-2020; Korshunov, Dmitrii/AAZ-2369-2021; Ferrando, Carlotta/HJH-7416-2023; Borisov, Dmitrii/Y-9194-2019; Skolotnev, Sergey G/T-2239-2017</t>
  </si>
  <si>
    <t>Gippius, Fedor/0000-0002-4834-9311; Bich, Artyom Sergeevich/0000-0003-2234-8115; Ivanova, Elena/0000-0003-3926-0590; Korshunov, Dmitrii/0000-0002-8500-7193; Borisov, Dmitrii/0000-0001-8109-6603; Chamov, Nikolai/0000-0001-6149-8445; Ferrando, Carlotta/0000-0003-4675-4513; Sanfilippo, Alessio/0000-0002-4112-3643</t>
  </si>
  <si>
    <t>Russian Science Foundation [18-17-00227, 19-17-00246]; Russian Foundation for Basic Research [18-55-7806, 18-05-00691, 18-05-00001]; [0128-2019-0009]; [0149-2019-0013]; Russian Science Foundation [18-17-00227] Funding Source: Russian Science Foundation</t>
  </si>
  <si>
    <t>Russian Science Foundation(Russian Science Foundation (RSF)); Russian Foundation for Basic Research(Russian Foundation for Basic Research (RFBR)Spanish Government); ; ; Russian Science Foundation(Russian Science Foundation (RSF))</t>
  </si>
  <si>
    <t>The expedition was partly funded by the State Assignments no. 0128-2019-0009 and no. 0149-2019-0013, by the Russian Science Foundation (projects no. 18-17-00227 and no. 19-17-00246) and by the Russian Foundation for Basic Research (projects no. 18-55-7806, no. 18-05-00691 and no. 18-05-00001). The ship time was covered by the State Assignment Transportation of passengers and/or cargo during the maintenance of scientific research.</t>
  </si>
  <si>
    <t>MAIK NAUKA/INTERPERIODICA/SPRINGER</t>
  </si>
  <si>
    <t>233 SPRING ST, NEW YORK, NY 10013-1578 USA</t>
  </si>
  <si>
    <t>10.1134/S0001437020030029</t>
  </si>
  <si>
    <t>MV2TE</t>
  </si>
  <si>
    <t>WOS:000556214900014</t>
  </si>
  <si>
    <t>Evans, R; Hindell, M; Kato, A; Phillips, LR; Ropert-Coudert, Y; Wotherspoon, S; Lea, MA</t>
  </si>
  <si>
    <t>Evans, Rhian; Hindell, Mark; Kato, Akiko; Phillips, Lachlan R.; Ropert-Coudert, Yan; Wotherspoon, Simon; Lea, Mary-Anne</t>
  </si>
  <si>
    <t>Habitat utilization of a mesopredator linked to lower sea-surface temperatures &amp; prey abundance in a region of rapid warming</t>
  </si>
  <si>
    <t>DEEP-SEA RESEARCH PART II-TOPICAL STUDIES IN OCEANOGRAPHY</t>
  </si>
  <si>
    <t>Climate change; Species distribution models; Telemetry; Marine predators; Prey-field dynamics</t>
  </si>
  <si>
    <t>PENGUIN EUDYPTULA-MINOR; ANTARCTIC FUR SEALS; PRODUCTIVITY GRADIENT; COMMUNITY STRUCTURE; FORAGING BEHAVIOR; TOP PREDATORS; MARINE; DIET; SCALE; ZOOPLANKTON</t>
  </si>
  <si>
    <t>Central place foragers rely on areas within a small range of their breeding grounds for chick provisioning. Therefore there exists a tight coupling between their breeding success and local bio-physical conditions. The effects of fine-scale variability in environmental parameters and resource distribution on the foraging behaviour of marine predators is studied in a region of rapid environmental change. Here we use little penguin habitat preference during two years of varying environmental conditions, to investigate the interactions between environmental variables, resource distribution and penguin habitat preference. Penguins were tagged with GPS devices during a marine heatwave event in 2016 and again in 2018 during comparatively cooler conditions. We found the distribution of penguins to be highly correlated with a fine-scale horizontal SST gradient feature, which appeared on the shelf in 2016 as a result of tropical water from the East Australian Current (EAC) interacting with cooler temperate water from southern Tasmania. Spatially, warmer SST anomalies corresponded to a lower probability of little penguins utilizing an area in both years. This was despite the much more uniform SSTs which were present during 2018. By modelling little penguin habitat preferences using two biological predictors, zooplankton community abundance as an indication of general resource distribution, and krill abundance - a prey species of little penguins - we show habitat preference to be only slightly more strongly driven by prey type, than by general resource distribution. The correlation between little penguin habitat preference and both zooplankton and krill abundance could indicate a plasticity in foraging behaviour which might be beneficial if lower-trophic level structure continues to change due to warming. In light of the continued warming predicted for this region, and the preference shown for cooler SSTs, this plasticity might be important under future resource climates.</t>
  </si>
  <si>
    <t>[Evans, Rhian; Hindell, Mark; Phillips, Lachlan R.; Wotherspoon, Simon; Lea, Mary-Anne] Univ Tasmania, Inst Marine &amp; Antarctic Studies, Private Bag 129, Hobart, Tas 7001, Australia; [Hindell, Mark; Lea, Mary-Anne] Univ Tasmania, Antarctic Climate &amp; Ecosyst CRC, Private Bag 80, Hobart, Tas 7001, Australia; [Kato, Akiko; Ropert-Coudert, Yan] La Rochelle Univ, Ctr Etud Biol Chize, UMR 7372, CNRS, F-79360 Villiers En Bois, France; [Phillips, Lachlan R.] Macquarie Univ, Sydney, NSW 2109, Australia; [Wotherspoon, Simon] Australian Antarctic Div, Kingston, Tas, Australia</t>
  </si>
  <si>
    <t>University of Tasmania; University of Tasmania; Centre National de la Recherche Scientifique (CNRS); CNRS - Institute of Ecology &amp; Environment (INEE); Macquarie University; Australian Antarctic Division</t>
  </si>
  <si>
    <t>Evans, R (corresponding author), Univ Tasmania, Inst Marine &amp; Antarctic Studies, Private Bag 129, Hobart, Tas 7001, Australia.</t>
  </si>
  <si>
    <t>rhian.evans@utas.edu.au</t>
  </si>
  <si>
    <t>Wotherspoon, Simon J/B-2390-2013; Hindell, Mark A/K-1131-2013; Lea, Mary-Anne/E-9054-2013</t>
  </si>
  <si>
    <t>Wotherspoon, Simon J/0000-0002-6947-4445; Hindell, Mark/0000-0002-7823-7185; Lea, Mary-Anne/0000-0001-8318-9299; Evans, Rhian/0000-0003-4984-4143</t>
  </si>
  <si>
    <t>Institute for Marine and Antarctic Studies (University of Tasmania); Sea World Research and Rescue Foundation Inc. [SWR/8/2015]; Holsworth Wildlife Research Endowment Equity Trustees Charitable Foundation</t>
  </si>
  <si>
    <t>Institute for Marine and Antarctic Studies (University of Tasmania); Sea World Research and Rescue Foundation Inc.; Holsworth Wildlife Research Endowment Equity Trustees Charitable Foundation</t>
  </si>
  <si>
    <t>The authors acknowledge the Institute for Marine and Antarctic Studies (University of Tasmania) for supporting the study with in-kind support. We also thank the external funders: Sea World Research and Rescue Foundation Inc. (SWR/8/2015), and the Holsworth Wildlife Research Endowment Equity Trustees Charitable Foundation for providing financial assistance. In addition, this project would not have been possible without the field support of Cloe Cummings and Erin D'Agnese. Research was conducted under permit from the University of Tasmania Animal Ethics Committee (A0014186) and a Tasmanian Department of Primary Industries, Parks, Water and Environment Science Permit (FA17311).</t>
  </si>
  <si>
    <t>0967-0645</t>
  </si>
  <si>
    <t>1879-0100</t>
  </si>
  <si>
    <t>DEEP-SEA RES PT II</t>
  </si>
  <si>
    <t>Deep-Sea Res. Part II-Top. Stud. Oceanogr.</t>
  </si>
  <si>
    <t>10.1016/j.dsr2.2019.104634</t>
  </si>
  <si>
    <t>MS1AL</t>
  </si>
  <si>
    <t>WOS:000554017400001</t>
  </si>
  <si>
    <t>Mikhalsky, EV; Alexeev, NL; Kamenev, IA; Larionov, AN; Gogolev, MA; Svetov, SA; Kunakkuzin, EL</t>
  </si>
  <si>
    <t>Mikhalsky, E. V.; Alexeev, N. L.; Kamenev, I. A.; Larionov, A. N.; Gogolev, M. A.; Svetov, S. A.; Kunakkuzin, E. L.</t>
  </si>
  <si>
    <t>Chemical Composition, U-Th-Pb Age, and Geodynamic Setting of Metavolcanic Filla Series (Rauer Islands, East Antarctica)</t>
  </si>
  <si>
    <t>GEOTECTONICS</t>
  </si>
  <si>
    <t>metavolcanics; Proterozoic; SHRIMP; geodynamics; Antarctica; Precambrian supercontinents</t>
  </si>
  <si>
    <t>PRINCE CHARLES MOUNTAINS; GHATS BELT; MESOPROTEROZOIC SUPERCONTINENT; BUNGER HILLS; PRYDZ BAY; ZIRCON; EVOLUTION; ROCKS; INDIA; ND</t>
  </si>
  <si>
    <t>An assemblage of mafic granulites (schists), plagiogneisses, and metasedimentary rocks, which is referred to as the Filla Series, is exposed in the Rauer Islands (opposite the eastern coast of the Prydz Bay). The chemistry and Nd isotope composition of the schists, which are interpreted as metavolcanics, are characterized; the results of U-Th-Pb dating (SHRIMP) of zircons from these rocks are presented. The data obtained indicate that the protolith of these rocks crystallized ca. 1500 Ma ago and that the rocks later underwent thermal events at ca. 1000 Ma and 545-515 Ma. The relatively high epsilon(Nd)(t) values, ranging from 2 to 4.5 for most samples, indicate the primitive composition of the mantle source and the limited extent of crustal contamination. The specific chemical composition of these rocks suggests that the Filla Series was formed in a convergent (back-arc(?)) setting with contributions from both plume and lithospheric sources. The apparently heterogeneous rock assemblage may be a product of tectonic interaction between the active continental margin and oceanic plateau. The obtained Early Mesoproterozoic age of the mafic rocks of the Filla Series argues for correlation of the Rauer Islands area with the long-lived Musgrave-Albany-Fraser-Wilkes Proterozoic (super) province in Australia and Antarctica, on the one hand, and the Eastern Ghats Province in India, on the other. The formation of the Early Mesoproterozoic Filla Series suggests that the development of the hypothetical paleocean (its convergent margins) did not terminate during the Paleoproterozoic but continued into the Mesoproterozoic. Correlation with the Musgrave-Albany-Fraser-Wilkes (super) province suggests a shared geological evolution of large crustal blocks, represented by the Prydz Bay coast and the Australian-Antarctic block starting from the Early Mesoproterozoic.</t>
  </si>
  <si>
    <t>[Mikhalsky, E. V.] All Russia Sci Res Inst Geol &amp; Mineral Resources, St Petersburg 190121, Russia; [Alexeev, N. L.; Larionov, A. N.] Karpinsky Russian Geol Res Inst, St Petersburg 199106, Russia; [Kamenev, I. A.] Stock Venture Polar Marine Geosurvey Expedit, St Petersburg 198412, Lomonosov, Russia; [Gogolev, M. A.; Svetov, S. A.] Russian Acad Sci, Karelian Res Ctr, Inst Geol, Petrozavodsk 185910, Russia; [Kunakkuzin, E. L.] Russian Acad Sci, Geol Inst, Kola Sci Ctr, Apatity 184209, Russia; [Alexeev, N. L.] Russian Acad Sci, Inst Precambrian Geol &amp; Geochronol, St Petersburg 199034, Russia</t>
  </si>
  <si>
    <t>A.P. Karpinsky Russian Geological Research Institute (VSEGEI); Russian Academy of Sciences; Karelian Research Centre of the Russian Academy of Sciences; Institute of Geology of the Karelian Research Centre (IG KarRC); Russian Academy of Sciences; Kola Science Centre of the Russian Academy of Sciences; Geological Institute, Kola Science Centre of the Russian Academy of Sciences; Russian Academy of Sciences; Institute of Precambrian Geology &amp; Geochronology of the Russian Academy of Sciences</t>
  </si>
  <si>
    <t>Mikhalsky, EV (corresponding author), All Russia Sci Res Inst Geol &amp; Mineral Resources, St Petersburg 190121, Russia.</t>
  </si>
  <si>
    <t>emikhalsky@mail.ru</t>
  </si>
  <si>
    <t>Kunakkuzin, Evgeniy/J-1667-2018; Svetov, Sergei/ABA-9143-2020; Larionov, Alexander/ABB-7044-2020</t>
  </si>
  <si>
    <t>Kunakkuzin, Evgeniy/0000-0003-4896-6384;</t>
  </si>
  <si>
    <t>All-Russia Scientific Research Institute for Geology and Mineral Resources of the Ocean; Karpinsky Russian Geological Research Institute; Polar Marine Geosurvey Expedition; Institute of Geology, Karelian Research Center, Russian Academy of Sciences; Geological Institute, Kola Science Center, Russian Academy of Sciences; Russian Foundation for Basic Research [15-05-02761]</t>
  </si>
  <si>
    <t>All-Russia Scientific Research Institute for Geology and Mineral Resources of the Ocean; Karpinsky Russian Geological Research Institute; Polar Marine Geosurvey Expedition; Institute of Geology, Karelian Research Center, Russian Academy of Sciences; Geological Institute, Kola Science Center, Russian Academy of Sciences; Russian Foundation for Basic Research(Russian Foundation for Basic Research (RFBR)Spanish Government)</t>
  </si>
  <si>
    <t>The study was performed under the state tasks to All-Russia Scientific Research Institute for Geology and Mineral Resources of the Ocean; Karpinsky Russian Geological Research Institute; Polar Marine Geosurvey Expedition; Institute of Geology, Karelian Research Center, Russian Academy of Sciences; and Geological Institute, Kola Science Center, Russian Academy of Sciences; the study was also financially supported by the Russian Foundation for Basic Research (project no. 15-05-02761).</t>
  </si>
  <si>
    <t>PLEIADES PUBLISHING INC, MOSCOW, 00000, RUSSIA</t>
  </si>
  <si>
    <t>0016-8521</t>
  </si>
  <si>
    <t>1556-1976</t>
  </si>
  <si>
    <t>GEOTECTONICS+</t>
  </si>
  <si>
    <t>Geotectonics</t>
  </si>
  <si>
    <t>10.1134/S0016852120030073</t>
  </si>
  <si>
    <t>MM6JR</t>
  </si>
  <si>
    <t>WOS:000550261200001</t>
  </si>
  <si>
    <t>Dinniman, MS; St-Laurent, P; Arrigo, KR; Hofmann, EE; van Dijken, GL</t>
  </si>
  <si>
    <t>Dinniman, Michael S.; St-Laurent, Pierre; Arrigo, Kevin R.; Hofmann, Eileen E.; van Dijken, Gert L.</t>
  </si>
  <si>
    <t>Analysis of Iron Sources in Antarctic Continental Shelf Waters</t>
  </si>
  <si>
    <t>BASAL MELT RATES; SOUTHERN-OCEAN; ICE-SHELF; AMUNDSEN SEA; ROSS SEA; DISSOLVED IRON; SEASONAL VARIABILITY; GLACIAL MELTWATER; PINE ISLAND; PHYTOPLANKTON DYNAMICS</t>
  </si>
  <si>
    <t>Previous studies showed that satellite-derived estimates of chlorophyll a in coastal polynyas over the Antarctic continental shelf are correlated with the basal melt rate of adjacent ice shelves. A 5-km resolution ocean/sea ice/ice shelf model of the Southern Ocean is used to examine mechanisms that supply the limiting micronutrient iron to Antarctic continental shelf surface waters. Four sources of dissolved iron are simulated with independent tracers, assumptions about the source iron concentration for each tracer, and an idealized summer biological uptake. Iron from ice shelf melt provides about 6% of the total dissolved iron in surface waters. The contribution from deep sources of iron on the shelf (sediments and Circumpolar Deep Water) is much larger at 71%. The relative contribution of dissolved iron supply from basal melt driven overturning circulation within ice shelf cavities is heterogeneous around Antarctica, but at some locations, such as the Amundsen Sea, it is the primary mechanism for transporting deep dissolved iron to the surface. Correlations between satellite chlorophyll a in coastal polynyas around Antarctica and simulated dissolved iron confirm the previous suggestion that productivity of the polynyas is linked to the basal melt of adjacent ice shelves. This correlation is the result of upward advection or mixing of iron-rich deep waters due to circulation changes driven by ice shelf melt, rather than a direct influence of iron released from melting ice shelves. This dependence highlights the potential vulnerability of coastal Antarctic ecosystems to changes in ice shelf basal melt rates. Plain Language Summary Phytoplankton in Antarctic coastal waters grow more rapidly relative to waters farther offshore. This growth is limited by the availability of light for photosynthesis and the supply of the micronutrient dissolved iron. Earlier studies suggest that satellite-based estimates of phytoplankton growth are related to the melting of nearby floating portions (called ice shelves) of the Antarctic ice sheet. In this study, a computer model, which includes melting of ice shelves, is used to examine the different sources of dissolved iron that supply the well-lit summer surface waters around Antarctica. Dissolved iron is available in the floating ice shelves, and the direct supply of this iron to coastal waters by melting of the bottom of the ice shelf is important for enhancing biological production. However, melting creates less dense water at the ice shelf base that rises and brings deep waters that contain dissolved iron towards the surface in front of the ice shelf. The model shows that this input provides a larger source of dissolved iron to the open surface waters in many coastal regions than does direct supply from the ice shelf meltwater. This implies that phytoplankton growth may be vulnerable to changes in ice shelf basal melt.</t>
  </si>
  <si>
    <t>[Dinniman, Michael S.; St-Laurent, Pierre; Hofmann, Eileen E.] Old Dominion Univ, Ctr Coastal Phys Oceanog, Norfolk, VA 23529 USA; [Arrigo, Kevin R.; van Dijken, Gert L.] Stanford Univ, Dept Earth Syst Sci, Stanford, CA 94305 USA</t>
  </si>
  <si>
    <t>Old Dominion University; Stanford University</t>
  </si>
  <si>
    <t>Dinniman, MS (corresponding author), Old Dominion Univ, Ctr Coastal Phys Oceanog, Norfolk, VA 23529 USA.</t>
  </si>
  <si>
    <t>msd@ccpo.odu.edu</t>
  </si>
  <si>
    <t>Van Dijken, Gert L/C-5276-2011</t>
  </si>
  <si>
    <t>St-Laurent, Pierre/0000-0002-1700-9509; Hofmann, Eileen/0000-0001-6710-4371; Van Dijken, Gert/0000-0002-9587-6317; Dinniman, Michael/0000-0001-7519-9278; Arrigo, Kevin/0000-0002-7364-876X</t>
  </si>
  <si>
    <t>National Science Foundation [OPP-1643652, OPP-1643618]</t>
  </si>
  <si>
    <t>This research was supported by the National Science Foundation under grants OPP-1643652 to Old Dominion University and OPP-1643618 to Stanford University, and by the Turing High Performance Computing cluster at Old Dominion University. We thank P. Yager and R. Sherrell for very helpful discussions. Comments from two anonymous reviewers considerably improved the manuscript. The circulation model data (including all simulated dyes) used for this analysis are available at BCO-DMO at https://www.bco-dmo.org/dataset/782848.</t>
  </si>
  <si>
    <t>10.1029/2019JC015736</t>
  </si>
  <si>
    <t>MK2FJ</t>
  </si>
  <si>
    <t>WOS:000548601000034</t>
  </si>
  <si>
    <t>McKee, DC; Martinson, DG</t>
  </si>
  <si>
    <t>McKee, Darren C.; Martinson, Douglas G.</t>
  </si>
  <si>
    <t>Wind-Driven Barotropic Velocity Dynamics on an Antarctic Shelf</t>
  </si>
  <si>
    <t>CIRCUMPOLAR DEEP-WATER; COASTAL-TRAPPED WAVES; CONTINENTAL-SHELF; BOTTOM FRICTION; SOUTHERN-OCEAN; DRAKE PASSAGE; ANNULAR MODE; PENINSULA; TRANSPORT; CIRCULATION</t>
  </si>
  <si>
    <t>Reanalysis surface stress around the Antarctic continent is used to obtain the cross-shelf sea surface height (SSH) gradient from the shallow water equations in the long-wave limit, and the result is compared to the observed barotropic current sampled by current meters on the western Antarctic Peninsula shelf. Similar to the dynamics of SSH, intraseasonal velocity fluctuations (periods 3-100 days) largely consist of a circumpolar-coherent wavenumber zero mode and of barotropic shelf waves; however, an important distinction from previous studies is the importance of second mode barotropic shelf waves in the velocity signal. Fluctuations with period 40-60 days are particularly energetic. This is partly due to strong fluctuations in the wavenumber zero mode at this period, as previously demonstrated in Drake Passage transport, but also due to excitement of the second mode barotropic shelf wave. After diagnosing the wind-driven dynamics, some of their implications for shelf-slope exchange are discussed. Firstly, it is shown that wintertime upwelling of warm water at a coastal canyon head is associated with a coastal SSH drop. Secondly, it is argued that the waves' subtle baroclinicity over the steep continental slope modifies isopycnal depth and affects shelf access to warm water. Plain Language Summary An existing set of theoretical equations forced by winds along the Antarctic coastline is used to calculate the depth-averaged current on the western Antarctic Peninsula shelf, and the result is compared to that measured by current meters. It is found that current variability on time scales longer than a few days but shorter than a season can be explained by the component of the winds that is uniform around the Antarctic continent summed with current variability generated by the winds over and east of the peninsula. Current variations with periods 40-60 days are particularly energetic and are driven by the component of the winds that is uniform around the continent in addition to winds in the southeastern Pacific sector. The large-scale, wind-driven fluctuations lead to upwelling of warm, deep water at the head of a coastal canyon.</t>
  </si>
  <si>
    <t>[McKee, Darren C.; Martinson, Douglas G.] Columbia Univ, Div Ocean &amp; Climate Phys, Lamont Doherty Earth Observ, Palisades, NY 10964 USA; [McKee, Darren C.; Martinson, Douglas G.] Columbia Univ, Dept Earth &amp; Environm Sci, New York, NY 10027 USA; [McKee, Darren C.] Univ Virginia, Dept Environm Sci, Clark Hall, Charlottesville, VA 22903 USA</t>
  </si>
  <si>
    <t>Columbia University; Columbia University; University of Virginia</t>
  </si>
  <si>
    <t>McKee, DC (corresponding author), Columbia Univ, Div Ocean &amp; Climate Phys, Lamont Doherty Earth Observ, Palisades, NY 10964 USA.;McKee, DC (corresponding author), Columbia Univ, Dept Earth &amp; Environm Sci, New York, NY 10027 USA.;McKee, DC (corresponding author), Univ Virginia, Dept Environm Sci, Clark Hall, Charlottesville, VA 22903 USA.</t>
  </si>
  <si>
    <t>dcm2xp@virginia.edu</t>
  </si>
  <si>
    <t>NSF [PLR-1440435]</t>
  </si>
  <si>
    <t>This manuscript is based on the graduate work of McKee. McKee and Martinson were supported by NSF grant PLR-1440435. Richard Iannuzzi designed and assembled the moorings and provided valuable comments. The ocean mooring data collected for this study are available at https://doi.org/10.6073/pasta/74b690cd34d9d915d185fa6473ea2cf7.All other existing data sources are referenced in section 3 of this paper.</t>
  </si>
  <si>
    <t>10.1029/2019JC015771</t>
  </si>
  <si>
    <t>WOS:000548601000006</t>
  </si>
  <si>
    <t>Spatially Coherent Intraseasonal Velocity Fluctuations on the Western Antarctic Peninsula Shelf</t>
  </si>
  <si>
    <t>CIRCUMPOLAR DEEP-WATER; CONTINENTAL-SHELF; SOUTHERN-OCEAN; ANNULAR MODE; CIRCULATION; TRANSPORT; FALL</t>
  </si>
  <si>
    <t>We analyze several year-long moored current meter records collected on the midshelf and shelf break of the western Antarctic Peninsula in order to describe the major features of the intraseasonal circulation. An empirical orthogonal function (EOF) analysis of all current meter records in any given year reveals that over 49% of the circulation variance follows a spatially coherent, nearly depth-invariant anticyclonic cell in the downstream vicinity of Marguerite Trough, qualitatively consistent with flow-topography interaction with the canyon. An analysis of kinetic energy spectra supports the interpretation that the shelf break current is diverted shoreward at the location of the canyon and generates substantial counterclockwise energy at periods shorter than similar to 10 days as the flow is compressed by a downstream bank. The circulation is well correlated with the long-shore wind stress both local and remote. Composite velocity profiles under upwelling and downwelling winds show that the change in the barotropic current under different wind states is comparable to or larger than the shear of the mean profile in all years. The barotropic velocity fluctuations are generally not coherent with subpycnocline heat content. Plain Language Summary Owing to scarcity of time series of observations on the western Antarctic Peninsula shelf, it has been difficult to diagnose how the currents below the ocean surface vary on time scales of days to weeks. here we collect an array of ocean velocity measurements from several point locations across and along the shelf at various depths and study the properties of the currents at each site and how the currents at the different sites covary with each other. We find that over half of the circulation variance is nearly depth independent and is spatially coherent over a scale of several hundred kilometers. The circulation's spatial variability is related to the ocean bathymetry, and its temporal variability is related to the winds, both local and far away.</t>
  </si>
  <si>
    <t>This manuscript is based on the graduate work of McKee. McKee and Martinson were supported by NSF Grant PLR-1440435. Richard Iannuzzi designed and assembled the moorings, assisted with the tidal analysis, and provided valuable comments. The ocean mooring data collected for this study are available online (at https://doi.org/10.6073/pasta/74b690cd34d9d915d185fa6473ea2cf7).All other existing data sources are referenced in section 2 of this paper.</t>
  </si>
  <si>
    <t>e2019JC015770</t>
  </si>
  <si>
    <t>10.1029/2019JC015770</t>
  </si>
  <si>
    <t>WOS:000548601000005</t>
  </si>
  <si>
    <t>Glazunov, AV; Iakovlev, NG</t>
  </si>
  <si>
    <t>Glazunov, A., V; Iakovlev, N. G.</t>
  </si>
  <si>
    <t>Study of the Ocean Boundary Layer Convection under Inhomogeneous Ice with the Help of the Large-Eddy Simulation Model</t>
  </si>
  <si>
    <t>IZVESTIYA ATMOSPHERIC AND OCEANIC PHYSICS</t>
  </si>
  <si>
    <t>upper layer of the ocean; under-ice convection; Arctic; Antarctic; ice cracks and leads; large-eddy simulation; ocean turbulence</t>
  </si>
  <si>
    <t>SEA-ICE; TURBULENCE; PARAMETERIZATION; LEADS; SALT</t>
  </si>
  <si>
    <t>Upper ocean convection under narrow ice leads is considered and simulated. The effects associated with the localization of the buoyancy source and with the influence of the Coriolis force are discovered. An explanation is proposed for a mechanism that forms a stably salt-stratified isothermal layer during cold seasons at high latitudes. Observational data are qualitatively consistent with the simulation results. The existing parameterizations of under-ice convection in modern climate models are discussed and their possible defects are indicated.</t>
  </si>
  <si>
    <t>[Glazunov, A., V; Iakovlev, N. G.] Russian Acad Sci, Marchuk Inst Numer Math, Moscow 119333, Russia; [Glazunov, A., V] Moscow MV Lomonosov State Univ, Moscow 119991, Russia</t>
  </si>
  <si>
    <t>Russian Academy of Sciences; Lomonosov Moscow State University</t>
  </si>
  <si>
    <t>Glazunov, AV (corresponding author), Russian Acad Sci, Marchuk Inst Numer Math, Moscow 119333, Russia.;Glazunov, AV (corresponding author), Moscow MV Lomonosov State Univ, Moscow 119991, Russia.</t>
  </si>
  <si>
    <t>and.glas@gmail.com; nick_yakovlev@mail.ru</t>
  </si>
  <si>
    <t>Iakovlev, Nikolay/T-9703-2019</t>
  </si>
  <si>
    <t>Iakovlev, Nikolay/0000-0003-2573-728X</t>
  </si>
  <si>
    <t>Russian Foundation for Basic Research [18-05-60184]</t>
  </si>
  <si>
    <t>Russian Foundation for Basic Research(Russian Foundation for Basic Research (RFBR)Spanish Government)</t>
  </si>
  <si>
    <t>This work (the analysis of results and their interpretation) was supported by the Russian Foundation for Basic Research, project no. 18-05-60184.</t>
  </si>
  <si>
    <t>0001-4338</t>
  </si>
  <si>
    <t>1555-628X</t>
  </si>
  <si>
    <t>IZV ATMOS OCEAN PHY+</t>
  </si>
  <si>
    <t>Izv. Atmos. Ocean. Phys.</t>
  </si>
  <si>
    <t>10.1134/S000143382003007X</t>
  </si>
  <si>
    <t>MG8WT</t>
  </si>
  <si>
    <t>WOS:000546314700006</t>
  </si>
  <si>
    <t>Dorantes-Aranda, JJ; Hayashi, A; Turnbull, AR; Jolley, JYC; Harwood, DT; Hallegraeff, GM</t>
  </si>
  <si>
    <t>Dorantes-Aranda, Juan Jose; Hayashi, Aiko; Turnbull, Alison R.; Jolley, Jessica Y. C.; Harwood, D. Tim; Hallegraeff, Gustaaf M.</t>
  </si>
  <si>
    <t>Detection of Paralytic Shellfish Toxins in Southern Rock Lobster Jasus edwardsii Using the Qualitative Neogen™ Lateral Flow Immunoassay: Single-Laboratory Validation</t>
  </si>
  <si>
    <t>JOURNAL OF AOAC INTERNATIONAL</t>
  </si>
  <si>
    <t>STATISTICAL-MODEL; TEST KITS; PROBABILITY; PERFORMANCE; PREFERENCE; MUSSELS; ABALONE; PREY; DIET</t>
  </si>
  <si>
    <t>Background: Paralytic shellfish toxins (PST) are a significant problem for the Tasmanian shellfish and Southern Rock Lobster (Jasus edwardsii) industries, and the introduction of a rapid screening test in the monitoring program could save time and money. Objective: The aim was to perform a single-laboratory validation of the Neogen rapid test for PST in the hepatopancreas of Southern Rock Lobster. Methods: The AOAC INTERNATIONAL guidelines for the validation of qualitative binary chemistry methods were followed. Three different PST profiles (mixtures) were used, of which two were commonly found in naturally contaminated lobster hepatopancreas (high in gonyautoxin 2&amp;3 and saxitoxin), and the third toxin profile was observed in a few select animals (high in gonyautoxin 1&amp;4). Results: The Neogen test consistently returned negative results for non-target toxins (selectivity). The probability of detection (POD) of PST in the lobster hepatopancreas using the Neogen test increased with increasing PST concentrations. POD values of 1.0 were obtained at &gt;= 0.57mg STX-diHCl eq/kg in mixtures 1 and 2, and 0.95 and 1.0 for mixture 3 at 0.79 and 1.21mg STX-diHCl eq/kg, respectively, with a fitted POD of 0.98 for 0.80mg STX-diHCl eq/kg. The performance of the Neogen test when using four different production lots (ruggedness) showed no significant differences. Conclusions: The results of the validation study were satisfactory and the Neogen test is being trialed within the Tasmanian PST monitoring program of Southern Rock Lobster. Highlights: The Neogen rapid kit was successfully validated for the detection of PST in Southern Rock Lobster hepatopancreas.</t>
  </si>
  <si>
    <t>[Dorantes-Aranda, Juan Jose; Hayashi, Aiko; Hallegraeff, Gustaaf M.] Univ Tasmania, Inst Marine &amp; Antarctic Studies, Private Bag 129, Hobart, Tas 7001, Australia; [Turnbull, Alison R.; Jolley, Jessica Y. C.] South Australian Res &amp; Dev Inst, 2b Hartley Grv, Urrbrae, SA 5064, Australia; [Harwood, D. Tim] Cawthron Inst, 98 Halifax St, Nelson 7010, New Zealand</t>
  </si>
  <si>
    <t>University of Tasmania; South Australian Research &amp; Development Institute (SARDI); Cawthron Institute</t>
  </si>
  <si>
    <t>Dorantes-Aranda, JJ (corresponding author), Univ Tasmania, Inst Marine &amp; Antarctic Studies, Private Bag 129, Hobart, Tas 7001, Australia.</t>
  </si>
  <si>
    <t>juanjodorantes@gmail.com</t>
  </si>
  <si>
    <t>Dorantes-Aranda, Juan Jose/J-7737-2014; Hallegraeff, Gustaaf/C-8351-2013</t>
  </si>
  <si>
    <t>Hallegraeff, Gustaaf/0000-0001-8464-7343; Dorantes-Aranda, Juan J./0000-0003-1513-6501</t>
  </si>
  <si>
    <t>Southern Rocklobster Limited; Australian Seafood Cooperative Research Centre; Fisheries Research and Development Corporation (FRDC); South Australian Research and Development Institute under FRDC [2017-051, 2017-086]</t>
  </si>
  <si>
    <t>Southern Rocklobster Limited; Australian Seafood Cooperative Research Centre(Australian GovernmentDepartment of Industry, Innovation and ScienceCooperative Research Centres (CRC) Programme); Fisheries Research and Development Corporation (FRDC)(Fisheries R&amp;D Corp); South Australian Research and Development Institute under FRDC</t>
  </si>
  <si>
    <t>This research was funded by Southern Rocklobster Limited, the Australian Seafood Cooperative Research Centre, the Fisheries Research and Development Corporation (FRDC) and the South Australian Research and Development Institute under FRDC projects 2017-051 and 2017-086.</t>
  </si>
  <si>
    <t>1060-3271</t>
  </si>
  <si>
    <t>1944-7922</t>
  </si>
  <si>
    <t>J AOAC INT</t>
  </si>
  <si>
    <t>J. AOAC Int.</t>
  </si>
  <si>
    <t>MAY-JUN</t>
  </si>
  <si>
    <t>10.1093/jaocint/qsz029</t>
  </si>
  <si>
    <t>Chemistry, Analytical; Food Science &amp; Technology</t>
  </si>
  <si>
    <t>MG2NF</t>
  </si>
  <si>
    <t>WOS:000545871500021</t>
  </si>
  <si>
    <t>Wang, ZM; Song, XY; Zhang, BJ; Liu, TT; Geng, H</t>
  </si>
  <si>
    <t>Wang, Zemin; Song, Xiangyu; Zhang, Baojun; Liu, Tingting; Geng, Hong</t>
  </si>
  <si>
    <t>Basal Channel Extraction and Variation Analysis of Nioghalvfjerdsfjorden Ice Shelf in Greenland</t>
  </si>
  <si>
    <t>basal channel; ice shelf; ICESat; IceBridge; Landsat</t>
  </si>
  <si>
    <t>PINE ISLAND GLACIER; OCEAN CIRCULATION; SURFACE MELT; WARM WATER; BENEATH; CREEP; ANTARCTICA; THICKNESS; RETREAT; DRIVEN</t>
  </si>
  <si>
    <t>The ice shelf controls the ice flow and affects the rates of sea level rise. Its stability is affected by the basal channel to some extent. However, despite its importance, high spatiotemporal variation in the length of the basal channels and influencing factors remain poorly characterized. Here, we present evidence from satellite and airborne remote-sensing for the basal channel beneath the floating Nioghalvfjerdsfjorden (79 North Glacier) ice shelf in Northeast Greenland. We observe the surface depression of the ice shelf using IceBridge, which is an ongoing NASA mission to monitor changes in polar ice. We find that the basal channel corresponds with the depression. Temporal and spatial changes of the basal channels from 2000 to 2018 are obtained annually. The results show that the main influencing factor affecting the basal channel is the sea surface temperature (SST), and the major area of the channel length change is found in the midstream area of the ice shelf.</t>
  </si>
  <si>
    <t>[Wang, Zemin; Song, Xiangyu; Liu, Tingting] Wuhan Univ, Chinese Antarctic Ctr Surveying &amp; Mapping, Wuhan 430079, Peoples R China; [Zhang, Baojun] Wuhan Univ, Key Lab Informat Engn Surveying Mapping &amp; Remote, Wuhan 430079, Peoples R China; [Geng, Hong] Wuhan Univ, Sch Resource &amp; Environm Sci, Wuhan 430079, Peoples R China</t>
  </si>
  <si>
    <t>Wuhan University; Wuhan University; Wuhan University</t>
  </si>
  <si>
    <t>Zhang, BJ (corresponding author), Wuhan Univ, Key Lab Informat Engn Surveying Mapping &amp; Remote, Wuhan 430079, Peoples R China.</t>
  </si>
  <si>
    <t>zmwang@whu.edu.cn; songxiangyu@whu.edu.cn; bjzhang@whu.edu.cn; ttliu23@whu.edu.cn; genghong@whu.edu.cn</t>
  </si>
  <si>
    <t>Liu, Tingting/HCH-2239-2022</t>
  </si>
  <si>
    <t>Zhang, Baojun/0000-0001-5438-8723</t>
  </si>
  <si>
    <t>National Key Research and Development Program of China [2018YFC1406102]; Key Program of National Natural Science Foundation of China [41531069]; National Natural Science Foundation of China [41776195, 41941010, 41676179]</t>
  </si>
  <si>
    <t>National Key Research and Development Program of China; Key Program of National Natural Science Foundation of China(National Natural Science Foundation of China (NSFC)); National Natural Science Foundation of China(National Natural Science Foundation of China (NSFC))</t>
  </si>
  <si>
    <t>This work was supported in part by the National Key Research and Development Program of China (2018YFC1406102), the Key Program of National Natural Science Foundation of China (grant number 41531069), the National Natural Science Foundation of China (41776195, 41941010 and 41676179).</t>
  </si>
  <si>
    <t>10.3390/rs12091474</t>
  </si>
  <si>
    <t>MC6KT</t>
  </si>
  <si>
    <t>WOS:000543394000121</t>
  </si>
  <si>
    <t>Jones, KA; Wood, H; Ashburner, JP; Forcada, J; Ratcliffe, N; Votier, SC; Staniland, IJ</t>
  </si>
  <si>
    <t>Jones, Kayleigh A.; Wood, Hannah; Ashburner, Jonathan P.; Forcada, Jaume; Ratcliffe, Norman; Votier, Stephen C.; Staniland, Iain J.</t>
  </si>
  <si>
    <t>Risk exposure trade-offs in the ontogeny of sexual segregation in Antarctic fur seal pups</t>
  </si>
  <si>
    <t>BEHAVIORAL ECOLOGY</t>
  </si>
  <si>
    <t>behavior; early life stages; habitat use; sexual size dimorphism; socialization</t>
  </si>
  <si>
    <t>ARCTOCEPHALUS-GAZELLA PUPS; PHOCA-VITULINA-VITULINA; SIZE DIMORPHISM; GROWTH EFFICIENCY; DIVING BEHAVIOR; MATING SYSTEMS; PREDATION RISK; PLAY; EVOLUTION; SELECTION</t>
  </si>
  <si>
    <t>Sexual segregation has important ecological implications, but its initial development in early life stages is poorly understood. We investigated the roles of size dimorphism, social behavior, and predation risk on the ontogeny of sexual segregation in Antarctic fur seal, Arctocephalus gazella, pups at South Georgia. Beaches and water provide opportunities for pup social interaction and learning (through play and swimming) but increased risk of injury and death (from other seals, predatory birds, and harsh weather), whereas tussock grass provides shelter from these risks but less developmental opportunities. One hundred pups were sexed and weighed, 50 on the beach and 50 in tussock grass, in January, February, and March annually from 1989 to 2018. Additionally, 19 male and 16 female pups were GPS-tracked during lactation from December 2012. Analysis of pup counts and habitat use of GPS-tracked pups suggested that females had a slightly higher association with tussock grass habitats and males with beach habitats. GPS-tracked pups traveled progressively further at sea as they developed, and males traveled further than females toward the end of lactation. These sex differences may reflect contrasting drivers of pup behavior: males being more risk prone to gain social skills and lean muscle mass and females being more risk averse to improve chances of survival, ultimately driven by their different reproductive roles. We conclude that sex differences in habitat use can develop in a highly polygynous species prior to the onset of major sexual size dimorphism, which hints that these sex differences will increasingly diverge in later life.</t>
  </si>
  <si>
    <t>[Jones, Kayleigh A.; Wood, Hannah; Ashburner, Jonathan P.; Forcada, Jaume; Ratcliffe, Norman; Staniland, Iain J.] British Antarctic Survey, Ecosyst Team, Madingley Rd, Cambridge CB4 0ET, England; [Jones, Kayleigh A.; Votier, Stephen C.; Staniland, Iain J.] Univ Exeter, Coll Life &amp; Environm Sci, Penryn Campus, Penryn TR10 9FE, England</t>
  </si>
  <si>
    <t>UK Research &amp; Innovation (UKRI); Natural Environment Research Council (NERC); NERC British Antarctic Survey; University of Exeter</t>
  </si>
  <si>
    <t>Jones, KA (corresponding author), British Antarctic Survey, Ecosyst Team, Madingley Rd, Cambridge CB4 0ET, England.;Jones, KA (corresponding author), Univ Exeter, Coll Life &amp; Environm Sci, Penryn Campus, Penryn TR10 9FE, England.</t>
  </si>
  <si>
    <t>kaynes85@bas.ac.uk</t>
  </si>
  <si>
    <t>Votier, Stephen/IUO-0154-2023; Staniland, Iain/I-4725-2012; Forcada, Jaume/GYU-0677-2022</t>
  </si>
  <si>
    <t>Votier, Stephen/0000-0002-0976-0167; Staniland, Iain/0000-0003-2736-9134; Wood, Hannah/0009-0007-2152-7310; Jones, Kayleigh/0000-0001-9509-5185</t>
  </si>
  <si>
    <t>Natural Environment Research Council Capability Fund; Natural Environment Research Council Great Western Four+ Doctoral Training Partnership [NE/L002434/1]; NERC [bas0100035] Funding Source: UKRI</t>
  </si>
  <si>
    <t>Natural Environment Research Council Capability Fund; Natural Environment Research Council Great Western Four+ Doctoral Training Partnership; NERC(UK Research &amp; Innovation (UKRI)Natural Environment Research Council (NERC))</t>
  </si>
  <si>
    <t>This work was supported by the Natural Environment Research Council Capability Fund and the Natural Environment Research Council Great Western Four+ Doctoral Training Partnership (NE/L002434/1).</t>
  </si>
  <si>
    <t>1045-2249</t>
  </si>
  <si>
    <t>1465-7279</t>
  </si>
  <si>
    <t>BEHAV ECOL</t>
  </si>
  <si>
    <t>Behav. Ecol.</t>
  </si>
  <si>
    <t>10.1093/beheco/araa018</t>
  </si>
  <si>
    <t>Behavioral Sciences; Biology; Ecology; Zoology</t>
  </si>
  <si>
    <t>Behavioral Sciences; Life Sciences &amp; Biomedicine - Other Topics; Environmental Sciences &amp; Ecology; Zoology</t>
  </si>
  <si>
    <t>MD7LX</t>
  </si>
  <si>
    <t>WOS:000544153300013</t>
  </si>
  <si>
    <t>Zhang, TX; Zang, L; Mao, FY; Wan, YC; Zhu, YN</t>
  </si>
  <si>
    <t>Zhang, Taixin; Zang, Lin; Mao, Feiyue; Wan, Youchuan; Zhu, Yannian</t>
  </si>
  <si>
    <t>Evaluation of Himawari-8/AHI, MERRA-2, and CAMS Aerosol Products over China</t>
  </si>
  <si>
    <t>AOD; CAMS; evaluation; Himawari-8; MERRA-2</t>
  </si>
  <si>
    <t>OPTICAL DEPTH; LUNG-CANCER; REANALYSIS; VALIDATION; THICKNESS; PM2.5; MODIS; VARIABILITY; URBAN</t>
  </si>
  <si>
    <t>Reliable aerosol optical depth (AOD) data with high spatial and temporal resolutions are needed for research on air pollution in China. AOD products from the Advanced Himawari Imager (AHI) onboard the geostationary Himawari-8 satellite and reanalysis datasets make it possible to capture diurnal variations of aerosol loadings. However, due to the different retrieval methods, their applicability may vary with different space and time. Thus, in this study, taking the measured AOD at the Aerosol Robotic NETwork (AERONET) stations as the gold standard, the performance of the latest AHI hourly AOD product (i.e., L3 AOD) was evaluated and then compared with that of two reanalysis AOD datasets offered by Modern-Era Retrospective Analysis for Research and Applications, Version 2 (MERRA-2) and Copernicus Atmosphere Monitoring Service (CAMS), respectively, covering from July 2015 to December 2017 over China. For all the matchups, AHI AOD shows the highest robustness with a high correlation (R) of 0.82, low root-mean-square error (RMSE) of 0.23, and moderate mean absolute relative error (MARE) of 0.56. Although MERRA-2 and CAMS products both have lower R values (0.74, 0.72) and higher RMSE (0.28, 0.26), the former is slightly better than the latter. Accuracy of AOD products could be mainly affected by the pollution level and less affected by particle size distribution. Comparisons among these AOD products imply that AHI AOD is more reliable in regions with high pollution levels, such as central and eastern China, while in the northern and western part, MERRA-2 AOD seems more satisfying. The performance of all the three AOD products presents a significant diurnal variety, as indicated by the highest accuracy in the morning for AHI and at noon for reanalysis data. Moreover, due to various pollution distribution patterns and meteorological conditions, there are distinct seasonal characteristics in the performance of AOD products for different regions.</t>
  </si>
  <si>
    <t>[Zhang, Taixin; Mao, Feiyue; Wan, Youchuan] Wuhan Univ, Sch Remote Sensing &amp; Informat Engn, Wuhan 430079, Peoples R China; [Zang, Lin] Wuhan Univ, Chinese Antarctic Ctr Surveying &amp; Mapping, Wuhan 430079, Peoples R China; [Zhu, Yannian] Meteorol Inst Shaanxi Prov, Xian 710014, Peoples R China</t>
  </si>
  <si>
    <t>Zang, L (corresponding author), Wuhan Univ, Chinese Antarctic Ctr Surveying &amp; Mapping, Wuhan 430079, Peoples R China.</t>
  </si>
  <si>
    <t>rsztx@whu.edu.cn; zanglin2018@whu.edu.cn; maofeiyue@whu.edu.cn; ychwan@whu.edu.cn; yannianzhu@gmail.com</t>
  </si>
  <si>
    <t>Zhu, Yannian/GYE-1080-2022</t>
  </si>
  <si>
    <t>National Key Research and Development Program of China [2018YFD1100405, 2017YFC0212600]; National Natural Science Foundation of China [41701381, 41971285]</t>
  </si>
  <si>
    <t>National Key Research and Development Program of China; National Natural Science Foundation of China(National Natural Science Foundation of China (NSFC))</t>
  </si>
  <si>
    <t>This research was funded by the National Key Research and Development Program of China (grant number 2018YFD1100405, 2017YFC0212600) and the National Natural Science Foundation of China (grant number 41701381, 41971285).</t>
  </si>
  <si>
    <t>10.3390/rs12101684</t>
  </si>
  <si>
    <t>MC6LB</t>
  </si>
  <si>
    <t>WOS:000543394800151</t>
  </si>
  <si>
    <t>Davies, BJ; Darvill, CM; Lovell, H; Bendle, JM; Dowdeswell, JA; Fabel, D; García, JL; Geiger, A; Glasser, NF; Gheorghiu, DM; Harrison, S; Hein, AS; Kaplan, MR; Martin, JRV; Mendelova, M; Palmer, A; Pelto, M; Rodés, A; Sagredo, EA; Smedley, RK; Smellie, JL; Thorndycraft, VR</t>
  </si>
  <si>
    <t>Davies, Bethan J.; Darvill, Christopher M.; Lovell, Harold; Bendle, Jacob M.; Dowdeswell, Julian A.; Fabel, Derek; Garcia, Juan-Luis; Geiger, Alessa; Glasser, Neil F.; Gheorghiu, Delia M.; Harrison, Stephan; Hein, Andrew S.; Kaplan, Michael R.; Martin, Julian R., V; Mendelova, Monika; Palmer, Adrian; Pelto, Mauri; Rodes, Angel; Sagredo, Esteban A.; Smedley, Rachel K.; Smellie, John L.; Thorndycraft, Varyl R.</t>
  </si>
  <si>
    <t>The evolution of the Patagonian Ice Sheet from 35 ka to the present day (PATICE)</t>
  </si>
  <si>
    <t>EARTH-SCIENCE REVIEWS</t>
  </si>
  <si>
    <t>Patagonia; Ice Sheet; Geochronology; Quaternary; Glaciation; Geomorphology</t>
  </si>
  <si>
    <t>LAST GLACIAL MAXIMUM; TIERRA-DEL-FUEGO; SOUTHERNMOST SOUTH-AMERICA; ANTARCTIC COLD REVERSAL; LAGO BUENOS-AIRES; CHILEAN LAKE DISTRICT; GRAN-CAMPO-NEVADO; LAGUNA POTROK AIKE; SEA-LEVEL RISE; COSMOGENIC-NUCLIDE MEASUREMENTS</t>
  </si>
  <si>
    <t>We present PATICE, a GIS database of Patagonian glacial geomorphology and recalibrated chronological data. PATICE includes 58,823 landforms and 1,669 geochronological ages, and extends from 38 degrees S to 55 degrees S in southern South America. We use these data to generate new empirical reconstructions of the Patagonian Ice Sheet (PIS) and subsequent ice masses and ice-dammed palaeolakes at 35 ka, 30 ka, 25 ka, 20 ka, 15 ka, 13 ka (synchronous with the Antarctic Cold Reversal), 10 ka, 5 ka, 0.2 ka and 2011 AD. At 35 ka, the PIS covered of 492.6 x10(3) km(2), had a sea level equivalent of similar to 1,496 mm, was 350 km wide and 2090 km long, and was grounded on the Pacific continental shelf edge. Outlet glacier lobes remained topographically confined and the largest generated the suites of subglacial streamlined bedforms characteristic of ice streams. The PIS reached its maximum extent by 33 - 28 ka from 38 degrees S to 48 degrees S, and earlier, around 47 ka from 48 degrees S southwards. Net retreat from maximum positions began by 25 ka, with ice-marginal stabilisation then at 21 - 18 ka, which was then followed by rapid, irreversible deglaciation. By 15 ka, the PIS had separated into disparate ice masses, draining into large ice-dammed lakes along the eastern margin, which strongly influenced rates of recession. Glacial readvances or stabilisations occurred at least at 14 - 13 ka, 11 ka, 6 - 5 ka, 2 - 1 ka, and 0.5 - 0.2 ka. We suggest that 20th century glacial recession (% a(-1)) is occurring faster than at any time documented during the Holocene.</t>
  </si>
  <si>
    <t>[Davies, Bethan J.; Bendle, Jacob M.; Martin, Julian R., V; Palmer, Adrian; Thorndycraft, Varyl R.] Royal Holloway Univ London, Ctr Quaternary Res, Dept Geog, Egham Hill, Egham TW20 0EX, Surrey, England; [Darvill, Christopher M.] Univ Manchester, Dept Geog, Oxford Rd, Manchester M13 9PL, Lancs, England; [Lovell, Harold] Univ Portsmouth, Sch Environm Geog &amp; Geosci, Buckingham Bldg,Lion Terrace, Portsmouth PO1 3HF, Hants, England; [Dowdeswell, Julian A.] Univ Cambridge, Scott Polar Res Inst, Cambridge CB2 1ER, England; [Fabel, Derek; Gheorghiu, Delia M.; Rodes, Angel] SUERC, Rankine Ave, E Kilbride G75 0QF, Lanark, Scotland; [Garcia, Juan-Luis; Geiger, Alessa; Sagredo, Esteban A.] Pontificia Univ Catolica Chile, Fac Hist Geog &amp; Ciencia Polit, Inst Geog, Ave Vicuna Mackenna 4860, Santiago 7820436, Chile; [Glasser, Neil F.] Aberystwyth Univ, Dept Geog &amp; Earth Sci, Aberystwyth SY23 3DB, Dyfed, Wales; [Harrison, Stephan] Univ Exeter, Coll Life &amp; Environm Sci, Cornwall Campus, Penryn TR10 9EZ, England; [Hein, Andrew S.; Mendelova, Monika] Univ Edinburgh, Sch GeoSci, Drummond St, Edinburgh EH8 9XP, Midlothian, Scotland; [Kaplan, Michael R.] Columbia Univ, Lamont Doherty Earth Observ, Palisades, NY 10964 USA; [Pelto, Mauri] Nichols Coll, 121 Ctr Rd,POB 5000, Dudley, MA 01571 USA; [Sagredo, Esteban A.] ANID Millennium Sci Initiat, Millenium Nuclei Palaeoclimate, Santiago, Chile; [Sagredo, Esteban A.] Pontificia Univ Catolica Chile, Estn Patagonia Invest Interdisciplinarias UC, Santiago, Chile; [Sagredo, Esteban A.] INEE CNRS, LabEx DRIIHM Programme Investissements Avenir ANR, OHM I, Paris, France; [Smedley, Rachel K.] Univ Liverpool, Dept Geog &amp; Planning, Liverpool L69 7ZT, Merseyside, England; [Smellie, John L.] Univ Leicester, Sch Geog Geol &amp; Environm, Univ Rd, Leicester LE1 7RH, Leics, England; [Geiger, Alessa] Univ Glasgow, Sch Geog &amp; Earth Sci, Glasgow G12 8QQ, Lanark, Scotland</t>
  </si>
  <si>
    <t>University of London; Royal Holloway University London; University of Manchester; University of Portsmouth; University of Cambridge; Scottish Universities Research &amp; Reactor Center; Pontificia Universidad Catolica de Chile; Aberystwyth University; University of Exeter; University of Edinburgh; Columbia University; Pontificia Universidad Catolica de Chile; Centre National de la Recherche Scientifique (CNRS); CNRS - Institute of Ecology &amp; Environment (INEE); University of Liverpool; University of Leicester; University of Glasgow</t>
  </si>
  <si>
    <t>Davies, BJ (corresponding author), Royal Holloway Univ London, Ctr Quaternary Res, Dept Geog, Egham Hill, Egham TW20 0EX, Surrey, England.</t>
  </si>
  <si>
    <t>Bethan.davies@rhul.ac.uk</t>
  </si>
  <si>
    <t>Hein, Andrew/JWO-3756-2024; Fabel, Derek/A-2999-2010; Rodes, Angel/C-9228-2011; Darvill, Christopher M./M-2672-2013; Smedley, Rachel/AAK-4577-2021; Davies, Bethan/S-3746-2019; Kaplan, Michael R/D-4720-2011; Geiger, Alessa/K-9586-2013; Garcia-Barriga, Juan-Luis/U-6381-2017; SAGREDO, ESTEBAN/B-7280-2016</t>
  </si>
  <si>
    <t>Rodes, Angel/0000-0001-8488-7689; Smedley, Rachel/0000-0001-7773-5193; Davies, Bethan/0000-0002-3789-8462; Geiger, Alessa/0000-0002-7346-1567; Bendle, Jacob/0000-0002-3572-7192; Garcia-Barriga, Juan-Luis/0000-0002-9028-7572; Gheorghiu, Delia M./0000-0001-9812-4762; SAGREDO, ESTEBAN/0000-0002-4494-5423; , Estacion Patagonia UC/0000-0002-6443-0646</t>
  </si>
  <si>
    <t>Quaternary Research Association; Royal Holloway Research Strategy Fund; British Society for Geomorphology; Geologists' Association; NERC [NE/L501803/1, NE/L002558/1, NE/L002485/1, NE/j500215/1, NER/B/S/2002/00282, NE/G00952X/1, NE/N020693/1]; University of Edinburgh; NERC CIAF awards [9167/0416, 9036/0407, 9127/1012, 9140/1013, 9186-0418, 9166.0416, 9086.0410]; Scottish Alliance for Geoscience, Environment and Society (SAGES); University of Manchester SEED Strategic Research Fund ECR Award; University of Manchester Geography Research Fund; Explorers Club Exploration Grant; Quaternary Research Association NRW Award; Santander Mobility Grant; Durham University; Leverhulme Trust; Royal Society Darwin Initiative; RGS-IBG Expedition Research Fund; Japanese Ministry of Science; Millennium Science Initiative of the Ministry of Economy, Development and Tourism, grant Millennium Nuclei Palaeoclimate; FONDECYT [1160488, 1180717, 1161110, 3170869]; National Science Foundation [NSF BCS 1263474, NSF EAR-0902363]; Hansewissenschaft Kolleg Junior Fellowship</t>
  </si>
  <si>
    <t>Quaternary Research Association; Royal Holloway Research Strategy Fund; British Society for Geomorphology; Geologists' Association; NERC(UK Research &amp; Innovation (UKRI)Natural Environment Research Council (NERC)); University of Edinburgh; NERC CIAF awards; Scottish Alliance for Geoscience, Environment and Society (SAGES); University of Manchester SEED Strategic Research Fund ECR Award; University of Manchester Geography Research Fund; Explorers Club Exploration Grant; Quaternary Research Association NRW Award; Santander Mobility Grant; Durham University; Leverhulme Trust(Leverhulme Trust); Royal Society Darwin Initiative; RGS-IBG Expedition Research Fund; Japanese Ministry of Science; Millennium Science Initiative of the Ministry of Economy, Development and Tourism, grant Millennium Nuclei Palaeoclimate; FONDECYT(Comision Nacional de Investigacion Cientifica y Tecnologica (CONICYT)CONICYT FONDECYT); National Science Foundation(National Science Foundation (NSF)); Hansewissenschaft Kolleg Junior Fellowship</t>
  </si>
  <si>
    <t>We thank all other researchers who shared or clarified their data with us. We thank Enaut Izzagirre for sharing shapefiles of geomorphology around northern Cordillera Darwin. Bethan Davies, Varyl Thorndycraft and Julian Martin acknowledge additional Patagonian fieldwork funding support from the Quaternary Research Association. Bethan Davies and Varyl Thorndycraft also acknowledge support from the Royal Holloway Research Strategy Fund, British Society for Geomorphology and Geologists' Association for this project. Julian Dowdeswell thanks the Servicio Hidrografico y Oceanografico de la Armada de Chile (SHOA) for access to their swath-bathymetric data from Chilean fjords. Jacob Bendle acknowledges NERC Doctoral Training Grant NE/L501803/1. Monika Mendelova thanks NERC Doctoral Training Grant NE/L002558/1 and the University of Edinburgh for her PhD studentship. Andy Hein acknowledges NERC CIAF awards 9167/0416, 9036/0407, and the Scottish Alliance for Geoscience, Environment and Society (SAGES). Julian Martin acknowledges NERC Doctoral Training Grant NE/L002485/1. Christopher Darvill acknowledges previous NERC studentship NE/j500215/1 at Durham University, NERC CIAF awards 9127/1012 and 9140/1013, University of Manchester SEED Strategic Research Fund ECR Award, University of Manchester Geography Research Fund, plus fieldwork support from an Explorers Club Exploration Grant, Quaternary Research Association NRW Award, Santander Mobility Grant, and Durham University. Neil Glasser acknowledges funding from NERC (NER/B/S/2002/00282, NE/G00952X/1, NE/N020693/1) and the Leverhulme Trust, plus NERC CIAF awards 9186-0418, 9166.0416 and 9086.0410. Stephan Harrison thanks Raleigh International for field support, and NERC, Royal Society Darwin Initiative, RGS-IBG Expedition Research Fund and Japanese Ministry of Science for funding Patagonia research. Esteban Sagredo acknowledges the Millennium Science Initiative of the Ministry of Economy, Development and Tourism, grant Millennium Nuclei Palaeoclimate, and FONDECYT Grants #1160488 and #1180717. Juan-Luis Garcia acknowledges FONDECYT grant #1161110. Michael Kaplan acknowledges the National Science Foundation specifically NSF BCS 1263474 and NSF EAR-0902363. Alessa Geiger acknowledges FONDECYT No. 3170869 and the Hansewissenschaft Kolleg Junior Fellowship. We thank all Patagonian landowners for allowing access to their property during fieldwork. ASTER GDEM is a product of METI and NASA. We acknowledge GEBCO for the bathymetry data (GEBCO Compilation Group (2019) GEBCO 2019 Grid (doi:10.5285/836f016a-33be-6ddc-e053-6c86abc0788e). We thank Dr Jeremy Ely and two anonymous reviewers whose helpful and constructive comments improved the manuscript. This is LEDO contribution number #8389.</t>
  </si>
  <si>
    <t>0012-8252</t>
  </si>
  <si>
    <t>1872-6828</t>
  </si>
  <si>
    <t>EARTH-SCI REV</t>
  </si>
  <si>
    <t>Earth-Sci. Rev.</t>
  </si>
  <si>
    <t>10.1016/j.earscirev.2020.103152</t>
  </si>
  <si>
    <t>MC6AK</t>
  </si>
  <si>
    <t>WOS:000543367100009</t>
  </si>
  <si>
    <t>Santos, A; Núñez-Montero, K; Lamilla, C; Pavez, M; Quezada-Solís, D; Barrientos, L</t>
  </si>
  <si>
    <t>Santos, Andres; Nunez-Montero, Kattia; Lamilla, Claudio; Pavez, Monica; Quezada-Solis, Damian; Barrientos, Leticia</t>
  </si>
  <si>
    <t>ANTIFUNGAL ACTIVITY SCREENING OF ANTARCTIC ACTINOBACTERIA AGAINST PHYTOPATHOGENIC FUNGI</t>
  </si>
  <si>
    <t>ACTA BIOLOGICA COLOMBIANA</t>
  </si>
  <si>
    <t>Antagonism; Antarctic bacteria; antifungal; extremophile; plant pathogen</t>
  </si>
  <si>
    <t>BIOLOGICAL-CONTROL; STREPTOMYCES; MANAGEMENT; BACTERIA</t>
  </si>
  <si>
    <t>The extreme weather conditions in the Antarctic have exerted selective pressures favoring differential features in bacteria to survive this untapped environment (i.e., antibiotic molecules). Notably, higher chances of antibiotic discovery from extremophiles have been proposed recently. Although new organic and environmentally friendly sources for helping in the control of plant pathogenic fungi are necessary, the information about anti-phytopathogenic applications of extremophile microorganisms from untapped environments is limited. In this study, we determined the antifungal effect of actinobacterial strains isolated from Antarctic soils and sediments. Co-culture inhibition assays and Minimum Inhibitory Concentration (MIC) determination revealed that all Antarctic strains (x28) can inhibit the growth of at least one phytopathogenic fungi including Fusarium oxysporum, Rhizoctonia solani, Botrytis sp. and Phytophthora infestans. Additionally, new novel antagonistic relationships are reported. Our work establishes a precedent on Antarctic actinobacteria strains with the capacity to produce antifungal compounds, and its potential for developing new fungicides or biocontrol agents solving current agriculture problems.</t>
  </si>
  <si>
    <t>[Santos, Andres; Nunez-Montero, Kattia; Lamilla, Claudio; Pavez, Monica; Quezada-Solis, Damian; Barrientos, Leticia] Univ La Frontera, Ctr Excelencia Med Traslac, Lab Biol Mol Aplicada, Ave Alemania 0458, Temuco 4810296, Chile; [Santos, Andres; Nunez-Montero, Kattia; Lamilla, Claudio; Pavez, Monica; Barrientos, Leticia] Univ La Frontera, Nucleo Cient &amp; Tecnol Biorecursos BIOREN, Ave Francisco Salazar 01145, Temuco 481123, Chile; [Nunez-Montero, Kattia] Inst Tecnol Costa Rica, Escuela Biol, Ctr Invest Biotecnol, Cartago 30101, Costa Rica</t>
  </si>
  <si>
    <t>Universidad de La Frontera; Universidad de La Frontera; Instituto Tecnologico de Costa Rica</t>
  </si>
  <si>
    <t>Barrientos, L (corresponding author), Univ La Frontera, Ctr Excelencia Med Traslac, Lab Biol Mol Aplicada, Ave Alemania 0458, Temuco 4810296, Chile.;Barrientos, L (corresponding author), Univ La Frontera, Nucleo Cient &amp; Tecnol Biorecursos BIOREN, Ave Francisco Salazar 01145, Temuco 481123, Chile.</t>
  </si>
  <si>
    <t>leticia.barrientos@ufrontera.cl</t>
  </si>
  <si>
    <t>Santos, Andres/AAB-2096-2022; Lamilla, Claudio/HSF-0976-2023; Núñez-Montero, Kattia/AAM-6767-2021; Barrientos, Leticia/R-6205-2017</t>
  </si>
  <si>
    <t>Núñez-Montero, Kattia/0000-0002-8629-5107; Barrientos, Leticia/0000-0002-5344-054X; Quezada-Solis, Damian/0000-0001-5254-4307; Santos, Andres/0000-0001-7576-0504; Lamilla, Claudio Andres/0000-0003-0490-6945</t>
  </si>
  <si>
    <t>Instituto Antartico Chileno [INACH RT_1412]; Universidad de La Frontera [DI19-0079]; Network for Extreme Environments Research [NXR 17-0003]; Chilean National Commission for Scientific and Technological Research [CONICYTPFCHA/Doctorado Nacional/2017-21170263, CONICYT-PFCHA/Doctorado Nacional/2017-21171392]</t>
  </si>
  <si>
    <t>Instituto Antartico Chileno; Universidad de La Frontera; Network for Extreme Environments Research; Chilean National Commission for Scientific and Technological Research</t>
  </si>
  <si>
    <t>The authors gratefully acknowledge Grant INACH RT_1412 from Instituto Antartico Chileno, Grant DI19-0079 from Universidad de La Frontera, Chilean National Commission for Scientific and Technological Research (CONICYTPFCHA/Doctorado Nacional/2017-21170263 to K.N-M and CONICYT-PFCHA/Doctorado Nacional/2017-21171392 to A.S), and to the Network for Extreme Environments Research (NXR 17-0003). Attribution to https://www.freepik.es/fotos-vectores-gratis/made by brgfx www.freepik.es for vectors used in the graphical abstract.</t>
  </si>
  <si>
    <t>UNIV NAC COLOMBIA, FAC CIENCIAS, DEPT BIOL</t>
  </si>
  <si>
    <t>BOGOTA</t>
  </si>
  <si>
    <t>APARTADO AEREO 14490, BOGOTA, 00000, COLOMBIA</t>
  </si>
  <si>
    <t>1900-1649</t>
  </si>
  <si>
    <t>ACTA BIOL COLOMB</t>
  </si>
  <si>
    <t>Acta Biol. Colomb.</t>
  </si>
  <si>
    <t>MAY-AUG</t>
  </si>
  <si>
    <t>10.15446/abc.v25n2.76405</t>
  </si>
  <si>
    <t>Plant Sciences; Zoology</t>
  </si>
  <si>
    <t>MB7RD</t>
  </si>
  <si>
    <t>WOS:000542795700017</t>
  </si>
  <si>
    <t>Demiroglu, OC; Hall, CM</t>
  </si>
  <si>
    <t>Demiroglu, O. Cenk; Hall, C. Michael</t>
  </si>
  <si>
    <t>Geobibliography and Bibliometric Networks of Polar Tourism and Climate Change Research</t>
  </si>
  <si>
    <t>polar tourism; climate change; Arctic; Antarctic; SROCC; geobibliography</t>
  </si>
  <si>
    <t>CRUISE TOURISM; SEA-ICE; ARCTIC TOURISM; WEATHER PREFERENCES; HERITAGE TOURISM; LONG-TERM; PERCEPTIONS; LAST; ADAPTATION; VULNERABILITY</t>
  </si>
  <si>
    <t>In late 2019, the Intergovernmental Panel on Climate Change (IPCC) released their much-awaited Special Report on the Ocean and Cryosphere in a Changing Climate (SROCC). High mountain areas, polar regions, low-lying islands and coastal areas, and ocean and marine ecosystems, were separately dealt by experts to reveal the impacts of climate change on these regions, as well as the responses of the natural and human systems inhabiting or related to these regions. The tourism sector was found, among the main systems, influenced by climate change in the oceanic and cryospheric environments. In this study, we deepen the understanding of tourism and climate interrelationships in the polar regions. In doing so, we step outside the climate resilience of polar tourism paradigm and systematically assess the literature in terms of its gaps relating to an extended framework where the impacts of tourism on climate through a combined and rebound effects lens are in question as well. Following a systematic identification and screening on two major bibliometric databases, a final selection of 93 studies, spanning the 2004-2019 period, are visualized in terms of their thematic and co-authorship networks and a study area based geobibliography, coupled with an emerging hot spots analysis, to help identify gaps for future research.</t>
  </si>
  <si>
    <t>[Demiroglu, O. Cenk] Umea Univ, Dept Geog, S-90187 Umea, Sweden; [Hall, C. Michael] Univ Canterbury, Dept Management Mkt &amp; Entrepreneurship, Christchurch 8140, New Zealand; [Hall, C. Michael] Univ Oulu, Geog Res Unit, FI-90014 Oulu, Finland; [Hall, C. Michael] Linnaeus Univ, Sch Business &amp; Econ, S-35195 Kalmar, Sweden; [Hall, C. Michael] Lund Univ, Inst Serv Management &amp; Tjanstevetenskap, S-25108 Helsingborg, Sweden</t>
  </si>
  <si>
    <t>Umea University; University of Canterbury; University of Oulu; Linnaeus University; Lund University</t>
  </si>
  <si>
    <t>Demiroglu, OC (corresponding author), Umea Univ, Dept Geog, S-90187 Umea, Sweden.</t>
  </si>
  <si>
    <t>cenk.demiroglu@umu.se; michael.hall@canterbury.ac.nz</t>
  </si>
  <si>
    <t>Hall, Colin Michael/AAT-6513-2021; Hall, Colin Michael/C-1439-2010; Demiroglu, Osman Cenk/AFM-0074-2022</t>
  </si>
  <si>
    <t>Hall, Colin Michael/0000-0002-7734-4587; Demiroglu, Osman Cenk/0000-0001-7012-4111</t>
  </si>
  <si>
    <t>Swedish Research Council for Sustainable Development (Formas); Arctic Research Centre at Umea University (Arcum)</t>
  </si>
  <si>
    <t>Swedish Research Council for Sustainable Development (Formas)(Swedish Research Council Formas); Arctic Research Centre at Umea University (Arcum)</t>
  </si>
  <si>
    <t>This study was funded by the Swedish Research Council for Sustainable Development (Formas) and the Arctic Research Centre at Umea University (Arcum).</t>
  </si>
  <si>
    <t>10.3390/atmos11050498</t>
  </si>
  <si>
    <t>MA3EZ</t>
  </si>
  <si>
    <t>WOS:000541801900065</t>
  </si>
  <si>
    <t>Strzelec, M; Proemse, BC; Barmuta, LA; Gault-Ringold, M; Desservettaz, M; Boyd, PW; Perron, MMG; Schofield, R; Bowie, AR</t>
  </si>
  <si>
    <t>Strzelec, Michal; Proemse, Bernadette C.; Barmuta, Leon A.; Gault-Ringold, Melanie; Desservettaz, Maximilien; Boyd, Philip W.; Perron, Morgane M. G.; Schofield, Robyn; Bowie, Andrew R.</t>
  </si>
  <si>
    <t>Atmospheric Trace Metal Deposition from Natural and Anthropogenic Sources in Western Australia</t>
  </si>
  <si>
    <t>iron cycle; leaching experiment; mineral dust; bushfires; iron solubility; LNLC; HNLC</t>
  </si>
  <si>
    <t>POSITIVE MATRIX FACTORIZATION; IRON SOLUBILITY; ELEMENT CONCENTRATIONS; PHYTOPLANKTON GROWTH; CHEMICAL-COMPOSITION; CARBON-DIOXIDE; DUST; AEROSOL; BIOMASS; TRANSPORT</t>
  </si>
  <si>
    <t>Aerosols from Western Australia supply micronutrient trace elements including Fe into the western shelf of Australia and further afield into the Southern and Indian Oceans. However, regional observations of atmospheric trace metal deposition are limited. Here, we applied a series of leaching experiments followed by total analysis of bulk aerosol samples to a unique time-series of aerosol samples collected in Western Australia to determine atmospheric concentrations and solubilities of Fe and V, Mn, Co, Zn, and Pb. Positive matrix factorisation analysis indicated that mineral dust, biomass burning particulates, sea salt, and industrial emissions were the major types of aerosols. Overall, natural sources dominated Fe deposition. Higher atmospheric concentrations of mineral dust (sixfold) and biomass burning emissions were observed in warmer compared to cooler months. The fraction of labile Fe (0.6-6.0%) was lower than that reported for other regions of Australia. Bushfire emissions are a temporary source of labile Fe and may cause a peak in the delivery of its more easily available forms to the ocean. Increased labile Fe deposition may result in higher ocean productivity in regions where Fe is limiting, and the effect of aerosol deposition on ocean productivity in this region requires further study.</t>
  </si>
  <si>
    <t>[Strzelec, Michal; Proemse, Bernadette C.; Boyd, Philip W.; Perron, Morgane M. G.; Bowie, Andrew R.] Univ Tasmania, Inst Marine &amp; Antarctic Studies, Battery Point, Tas 7004, Australia; [Proemse, Bernadette C.] Univ Tasmania, Australian Ctr Res Separat Sci, Sandy Bay, Tas 7001, Australia; [Barmuta, Leon A.] Univ Tasmania, Sch Nat Sci, Sandy Bay, Tas 7001, Australia; [Gault-Ringold, Melanie; Boyd, Philip W.; Bowie, Andrew R.] Univ Tasmania, Antarctic Climate &amp; Ecosyst CRC, Battery Point, Tas 7004, Australia; [Desservettaz, Maximilien] Univ Wollongong, Ctr Atmospher Chem, Wollongong, NSW 2522, Australia; [Schofield, Robyn] Univ Melbourne, Sch Earth Sci, Melbourne, Vic 3053, Australia; [Schofield, Robyn] Univ New South Wales, ARC Ctr Excellence Climate Syst Sci, Sydney, NSW 2052, Australia</t>
  </si>
  <si>
    <t>University of Tasmania; University of Tasmania; University of Tasmania; University of Tasmania; University of Wollongong; University of Melbourne; Melbourne Genomics Health Alliance; University of New South Wales Sydney; ARC Centre of Excellence for Climate System Science</t>
  </si>
  <si>
    <t>Strzelec, M (corresponding author), Univ Tasmania, Inst Marine &amp; Antarctic Studies, Battery Point, Tas 7004, Australia.</t>
  </si>
  <si>
    <t>michal.strzelec@utas.edu.au; Bernadette.Proemse@utas.edu.au; Leon.Barmuta@utas.edu.au; Melanie.East@utas.edu.au; mjd232@uowmail.edu.au; Philip.Boyd@utas.edu.au; morgane.perron@utas.edu.au; robyn.schofield@unimelb.edu.au; Andrew.Bowie@utas.edu.au</t>
  </si>
  <si>
    <t>Schofield, Robyn/A-4062-2010; Barmuta, Leon/J-2413-2013; Desservettaz, Maximilien/B-2295-2017; Boyd, Philip W/J-7624-2014; Perron, Morgane/HHS-1241-2022; Bowie, Andrew/C-8677-2013</t>
  </si>
  <si>
    <t>Schofield, Robyn/0000-0002-4230-717X; Barmuta, Leon/0000-0002-8946-3727; Desservettaz, Maximilien/0000-0002-9550-6674; Strzelec, Michal/0000-0001-9642-186X; Perron, Morgane/0000-0001-5424-7138; Bowie, Andrew/0000-0002-5144-7799</t>
  </si>
  <si>
    <t>Australian Research Council (ARC) Future Fellowship [FT130100037]; Antarctic Climate and Ecosystems Cooperative Research Centre (ACE CRC); ARC Linkage Program [LP130100756]; ARC Linkage Infrastructure Equipment and Facilities grant [LE150100048]; Defence Science and Technology Group; ARC Centre of Excellence for Climate Extremes [CE170100023]; ARC Discovery Project program [DP160101598]; Australian Research Council [LP130100756, LE150100048] Funding Source: Australian Research Council</t>
  </si>
  <si>
    <t>Australian Research Council (ARC) Future Fellowship(Australian Research Council); Antarctic Climate and Ecosystems Cooperative Research Centre (ACE CRC)(Australian GovernmentDepartment of Industry, Innovation and ScienceCooperative Research Centres (CRC) Programme); ARC Linkage Program(Australian Research Council); ARC Linkage Infrastructure Equipment and Facilities grant(Australian Research Council); Defence Science and Technology Group; ARC Centre of Excellence for Climate Extremes; ARC Discovery Project program(Australian Research Council); Australian Research Council(Australian Research Council)</t>
  </si>
  <si>
    <t>This researchwas funded by Australian Research Council (ARC) Future Fellowship to A.R.B. (FT130100037) and through the Antarctic Climate and Ecosystems Cooperative Research Centre (ACE CRC). B.C.P. and L.A.B. were supported by ARC Linkage Program (LP130100756). The AIRBOX facility (airbox.earthsci.unimelb.edu.au) was funded by an ARC Linkage Infrastructure Equipment and Facilities grant (LE150100048). The Garden Island research was supported by the Defence Science and Technology Group. RS acknowledges support from the ARC Centre of Excellence for Climate Extremes (CE170100023) and ARC Discovery Project program (DP160101598).</t>
  </si>
  <si>
    <t>10.3390/atmos11050474</t>
  </si>
  <si>
    <t>WOS:000541801900112</t>
  </si>
  <si>
    <t>Fogg, AR; Lester, M; Yeoman, TK; Burrell, AG; Imber, SM; Milan, SE; Thomas, EG; Sangha, H; Anderson, BJ</t>
  </si>
  <si>
    <t>Fogg, A. R.; Lester, M.; Yeoman, T. K.; Burrell, A. G.; Imber, S. M.; Milan, S. E.; Thomas, E. G.; Sangha, H.; Anderson, B. J.</t>
  </si>
  <si>
    <t>An Improved Estimation of SuperDARN Heppner-Maynard Boundaries Using AMPERE Data</t>
  </si>
  <si>
    <t>ionospheric convection; Heppner-Maynard boundary; field-aligned currents; SuperDARN</t>
  </si>
  <si>
    <t>FIELD-ALIGNED CURRENTS; INTERPLANETARY MAGNETIC-FIELD; RADAR NETWORK SUPERDARN; POLAR-CAP AREA; HIGH-LATITUDE; BIRKELAND CURRENTS; STATISTICAL PATTERNS; CONVECTION; MAGNETOSPHERE; MIDLATITUDE</t>
  </si>
  <si>
    <t>Super Dual Auroral Radar Network (SuperDARN) ionospheric convection maps are a powerful tool for the study of solar wind-magnetosphere-ionosphere interactions. SuperDARN data have high temporal (approximately minutes) and spatial (similar to 45 km) resolution, meaning that the convection can be mapped on fine time scales that show more detail than the large-scale changes in the pattern. The Heppner-Maynard boundary (HMB) defines the low-latitude limit of the convection region, and its identification is an essential component of the standard SuperDARN convection mapping technique. However, the estimation of the latitude of this boundary is dependent on ionospheric scatter availability. Consequentially it is susceptible to nonphysical variations as areas of scatter in different latitude and local time regions appear and disappear, often due to changing propagation conditions. In this paper, the HMB is compared to an independent field-aligned current data set from the Active Magnetosphere and Planetary Electrodynamics Response Experiment (AMPERE). A linear trend is found between the HMB and the boundary between the AMPERE Region 1 and Region 2 field-aligned currents in the Northern Hemisphere, at both solar minimum and solar maximum. The use of this trend and the AMPERE current data set to predict the latitude position of the HMB is found to improve the interpretation of the SuperDARN measurements in convection mapping. Key Points Scale sizes of the Northern Hemisphere convection (SuperDARN HMB) and FAC region (from AMPERE) are estimated for solar minimum and maximum The location of the convection and FAC boundaries have a linear relationship The latitude of the FAC boundary can be used to improve the estimation of the SuperDARN HMB</t>
  </si>
  <si>
    <t>[Fogg, A. R.; Lester, M.; Yeoman, T. K.; Imber, S. M.; Milan, S. E.; Sangha, H.] Univ Leicester, Dept Phys &amp; Astron, Leicester, Leics, England; [Burrell, A. G.] US Naval Res Lab, Space Sci Div, Washington, DC USA; [Thomas, E. G.] Dartmouth Coll, Hanover, NH 03755 USA; [Anderson, B. J.] Johns Hopkins Univ, Appl Phys Lab, Laurel, MD USA</t>
  </si>
  <si>
    <t>University of Leicester; United States Department of Defense; United States Navy; Naval Research Laboratory; Dartmouth College; Johns Hopkins University; Johns Hopkins University Applied Physics Laboratory</t>
  </si>
  <si>
    <t>Fogg, AR (corresponding author), Univ Leicester, Dept Phys &amp; Astron, Leicester, Leics, England.</t>
  </si>
  <si>
    <t>arf18@le.ac.uk</t>
  </si>
  <si>
    <t>Imber, Suzie/AAN-8504-2021; Yeoman, Timothy k/L-9105-2014; Lester, Mark/C-9657-2016; Thomas, Evan/B-3921-2017</t>
  </si>
  <si>
    <t>Yeoman, Timothy k/0000-0002-8434-4825; Thomas, Evan/0000-0001-8036-8793; Fogg, Alexandra Ruth/0000-0002-1139-5920; Sangha, Harneet/0000-0003-2857-7162</t>
  </si>
  <si>
    <t>STFC [ST/N000749/1, ST/S000429/1]; Chief of Naval Research; National Science Foundation [AGS-1524667, OPP-1836426]; NSF [ATM-0739864, AGS-1420184]; NERC [NE/K011766/1] Funding Source: UKRI; STFC [ST/S000429/1, ST/N000749/1, 1935436] Funding Source: UKRI</t>
  </si>
  <si>
    <t>STFC(UK Research &amp; Innovation (UKRI)Science &amp; Technology Facilities Council (STFC)); Chief of Naval Research; National Science Foundation(National Science Foundation (NSF)); NSF(National Science Foundation (NSF)); NERC(UK Research &amp; Innovation (UKRI)Natural Environment Research Council (NERC)); STFC(UK Research &amp; Innovation (UKRI)Science &amp; Technology Facilities Council (STFC))</t>
  </si>
  <si>
    <t>A. R. F. and H. S. are supported by STFC studentships; M. L., T. K. Y., S. E. M., and S. M. I. are supported by STFC Grants ST/N000749/1 and ST/S000429/1; the work by A. G. B. is supported by the Chief of Naval Research; E. G. T. thanks the National Science Foundation for support under Grants AGS-1524667 and OPP-1836426. The authors acknowledge the use of SuperDARN data. SuperDARN is a collection of radars funded by national scientific funding agencies of Australia, Canada, China, France, Italy, Japan, Norway, South Africa, United Kingdom, and the United States of America. SuperDARN RawACF data were obtained via setting up a user account for the British Antarctic Survey Data mirror (). Due to the nature of the account setup, data may not be accessible immediately. Support for AMPERE has been provided under NSF sponsorship under Grants ATM-0739864 and AGS-1420184. All AMPERE data are available online (via ). We thank the AMPERE team and the AMPERE Science Center for providing the Iridium derived data products. R1/R2 boundaries are available online (from ). The OMNI data were obtained from the GSFC/SPDF OMNIWeb interface (at ). This research used the SPECTRE High Performance Computing Facility at the University of Leicester. We thank the institutes who maintain the IMAGE Magnetometer Array: Troms Geophysical Observatory of UiT, the Arctic University of Norway (Norway); Finnish Meteorological Institute (Finland); Institute of Geophysics, Polish Academy of Sciences (Poland); GFZ German Research Centre for Geosciences (Germany); Geological Survey of Sweden (Sweden); Swedish Institute of Space Physics (Sweden); Sodankyla Geophysical Observatory of the University of Oulu (Finland); and Polar Geophysical Institute (Russia). A. R. F would like to thank P. V. Ponomarenko and E. C. Bland for helpful discussions.</t>
  </si>
  <si>
    <t>10.1029/2019JA027218</t>
  </si>
  <si>
    <t>LY0QP</t>
  </si>
  <si>
    <t>WOS:000540229100044</t>
  </si>
  <si>
    <t>Lu, G; Zakharenkova, I; Cherniak, I; Dang, T</t>
  </si>
  <si>
    <t>Lu, Gang; Zakharenkova, Irina; Cherniak, Iurii; Dang, Tong</t>
  </si>
  <si>
    <t>Large-Scale Ionospheric Disturbances During the 17 March 2015 Storm: A Model-Data Comparative Study</t>
  </si>
  <si>
    <t>traveling ionospheric disturbances; storm-enhanced density plume; subauroral plasma stream</t>
  </si>
  <si>
    <t>PATRICKS DAY STORM; HIGH-LATITUDE IONOSPHERE; ELECTRIC-FIELDS; ENHANCED DENSITY; GPS OBSERVATIONS; SOUTH-AMERICA; CONVECTION; EQUATORIAL; PLASMA; IRREGULARITIES</t>
  </si>
  <si>
    <t>This paper presents a detailed model-data comparative study of the 17 March 2015 geomagnetic storm using the high-resolution version of the thermosphere-ionosphere-electrodynamic general circulation model and the total electron content observations from a dense global navigation satellite system network. Driven by time-dependent high-latitude ionospheric convection and auroral precipitation inputs, together with an empirically defined subauroral plasma stream (SAPS) field, our simulation reproduce many observed storm-related ionospheric phenomena, including large-scale traveling ionospheric disturbances over Europe, the effects of prompt penetration electric field over South and Central America, and the formation of a storm-enhanced density (SED) plume across the continental United States. Our simulation results reaffirm a number of important characteristics concerning the SED plume: (1) enhanced background ionospheric density is a necessary but not sufficient condition, and enhanced ion drift is required to form the SED plume; (2) the SAPS flow channel does not directly transport the plasma from midnight to postnoon via dusk to form the SED plume, instead, the SED plume is formed at the equatorward and westward edge of the SAPS channel; and (3) the SED plume appears to subcorotate with respect to the Earth. Plain Language Summary Storm-induced ionospheric density variations are a major concern of near-Earth space environment as they could drastically disrupt satellite navigation and telecommunication systems. Although ionospheric disturbances such as traveling ionospheric disturbances (TIDs) and storm-enhanced density (SED) are commonly observed during geomagnetic storms, accurate specification of these phenomena remains a great challenge for geospace models. This paper presents a detailed model-data comparative study of the well-known March 2015 St. Patrick's Day storm. The simulated TIDs and SED structures from the thermosphere-ionosphere-electrodynamic general circulation model (TIEGCM) are compared with the total electron content observations for a dense global navigation satellite system (GNSS) network over Europe, South and Central America, as well as North America. While the model reproduces many observed storm-related ionospheric features, quantitative differences between the simulation results and the GNSS data indicate that further improvements to the TIEGCM (such as a more realistic, self-consistent electrodynamic coupling of the ionosphere and magnetosphere) are required in order to meet the challenges of space weather specification and eventually forecast. This study not only serves a meaningful validation of our numerical model but also sheds some new lights on an apparent paradox concerning the formation of the SED plume. Key Points We have carried out a detailed model-data comparison as a way to validate the model outputs Our simulation results reproduce many observed features, including traveling ionospheric disturbances and the storm-enhanced density plume Our results shed new lights on the formation of the SED plume and its subcorotation motion</t>
  </si>
  <si>
    <t>[Lu, Gang] Natl Ctr Atmospher Res, High Altitude Observ, Pob 3000, Boulder, CO 80307 USA; [Zakharenkova, Irina; Cherniak, Iurii] Univ Corp Atmospher Res, COSM Program Off, Boulder, CO USA; [Zakharenkova, Irina] IZMIRAN, Kaliningrad, Russia; [Dang, Tong] Univ Sci &amp; Technol China, Sch Earth &amp; Space Sci, Hefei, Peoples R China</t>
  </si>
  <si>
    <t>National Center Atmospheric Research (NCAR) - USA; National Center Atmospheric Research (NCAR) - USA; Chinese Academy of Sciences; University of Science &amp; Technology of China, CAS</t>
  </si>
  <si>
    <t>Lu, G (corresponding author), Natl Ctr Atmospher Res, High Altitude Observ, Pob 3000, Boulder, CO 80307 USA.</t>
  </si>
  <si>
    <t>ganglu@ucar.edu</t>
  </si>
  <si>
    <t>Dang, Tong/GPS-6047-2022</t>
  </si>
  <si>
    <t>Zakharenkova, Irina/0000-0002-7878-7275; Dang, Tong/0000-0002-6993-6507; Cherniak, Iurii/0000-0002-0288-7675</t>
  </si>
  <si>
    <t>NSF [AGS1004814, ATM-0245139]; Canadian Space Agency; National Science Foundation [ANT0839858, ATM922979, ANT0838861]; National Center for Atmospheric Research (NCAR); National Science Foundation (NSF) [1852977]; Living with a Star program under NASA [X14AE08G, 80NSSC17K071]; Heliophysics Supporting Research program under NASA [NNX17AI39G]; RFBR [19-05-00570-A]; NERC [BIGF010001] Funding Source: UKRI</t>
  </si>
  <si>
    <t>NSF(National Science Foundation (NSF)); Canadian Space Agency(Canadian Space Agency); National Science Foundation(National Science Foundation (NSF)); National Center for Atmospheric Research (NCAR)(National Science Foundation (NSF)NSF - Directorate for Geosciences (GEO)); National Science Foundation (NSF)(National Science Foundation (NSF)); Living with a Star program under NASA; Heliophysics Supporting Research program under NASA; RFBR(Russian Foundation for Basic Research (RFBR)); NERC(UK Research &amp; Innovation (UKRI)Natural Environment Research Council (NERC))</t>
  </si>
  <si>
    <t>The ACE solar wind and IMF data used in this study were obtained from the NASA CDAWeb (https://cdaweb.gsfc.nasa.gov/index.html/), and the SYM-H and quick-look AE indices were from http://wdc.kugi.kyoto-u.ac.jp/.We thank the AMPERE team and the AMPERE Science Center for providing the Iridium-derived data products, which are available under http://ampere.jhuapl.edu/.The DMSP SSUSI data are available under https://ssusi.jhuapl.edu/, and DMSP ion drift data are available at http://cedar.openmadrigal.org/index.html/.We acknowledge the use of SuperDARN data (http://vt.superdarn.org/tikiindex.php).SuperDARN is a collection of radars funded by national scientific funding agencies of Australia, Canada, China, France, Italy, Japan, Norway, South Africa, United Kingdom, and the United States of America. We also wish to acknowledge the SUPERMAG database (http://supermag.jhuapl.edu/) for providing a worldwide network of ground magnetometers: INTERMAGNET, Alan Thomson; CARISMA, PI Ian Mann; CANMOS, Geomagnetism Unit of the Geological Survey of Canada; The S-RAMP Database, PI K. Yumoto and Dr. K. Shiokawa; The SPIDR database; AARI, PI Oleg Troshichev; The MACCS program, PI M. Engebretson; GIMA; MEASURE, UCLA IGPP and Florida Institute of Technology; SAMBA, PI Eftyhia Zesta; 210 Chain, PI K. Yumoto; SAMNET, PI Farideh Honary; IMAGE, PI Liisa Juusola; Finnish Meteorological Institute, PI Liisa Juusola; Sodankyla Geophysical Observatory, PI Tero Raita; UiT the Arctic University of Norway, Tromso Geophysical Observatory, PI Magnar G. Johnsen; GFZ German Research Centre For Geosciences, PI Jurgen Matzka; Institute of Geophysics, Polish Academy of Sciences, PI 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Artarctic Survey; McMac, PI Dr. Peter Chi; BGS, PI Dr. Susan Macmillan; Pushkov Institute of Terrestrial Magnetism, Ionosphere and Radio Wave Propagation (IZMIRAN); MFGI, PI B. Heilig; Institute of Geophysics, Polish Academy of Sciences, PI Anne Neska and Jan Reda; University of L'Aquila, PI M. Vellante; BCMT, V. Lesur and A. Chambodut; Data obtained in cooperation with Geoscience Australia, PI Marina Costelloe; AALPIP, co-PIs Bob Clauer and Michael Hartinger; SuperMAG, PI Jesper W. Gjerloev; Data obtained in cooperation with the Australian Bureau of Meteorology, PI Richard Marshall. Additional ground magnetometer data were obtained from the THEMIS database (http://themis.ssl.berkeley.edu/gmag/), and we thank S. Mende and C. T. Russell for use of the GMAG data and NSF for support through Grant AGS1004814; and I. R. Mann, D. K. Milling, and the rest of the CARISMA team for use of GMAG data. CARISMA is operated by the University of Alberta, funded by the Canadian Space Agency; Martin Connors and C. T. Russell and the rest of the AUTUMN/AUTUMNX team, Erik Steinmetz, Augsburg College, Peter Chi for use of the McMAC data and NSF for support through grant ATM-0245139; United States Air Force Academy (USAFA) and Peter Chi for the Falcon magnetometers; Dr.; Kanji Hayashi, University of Tokyo for the STEP polar magnetometers; Tromso Geophysical Observatory, University of Tromso, Norway for use of the Greenland &amp; Norway magnetometer data; the Geophysical Institute of University of Alaska for the Alaska magnetometers, Geological Survey of Sweden, and INTERMAGNET for providing the data and promoting high standards of magnetic observatory practice; the USGS Geomagnetism Program (http://geomag.usgs.gov); The Canadian Magnetic Observatory Network (CANMON), maintained and operated by the Geological Survey of Canada, provided the data used in this study (http://www.geomag.nrcan.gc.ca); University of Iceland for the use of Leirvogur data; Arctic and Antarctic Research Institute (AARI) of Department of Geophysics (http://geophys.aari.ru) for the AARI magnetometers; and Polar Experimental Network for Geospace Upper atmosphere Investigations (PENGUIn) Ground Based Observatory led by PI, Dr. C. Robert Clauer of Virginia Tech. This effort is supported by the National Science Foundation through the following awards: ANT0839858, ATM922979 (Virginia Tech), and ANT0838861 (University of Michigan). The GNSS data are available at IGS (ftp://cddis.gsfc.nasa.gov/gnss/data), CORS (ftp://geodesy.noaa.gov/cors), UNAVCO (ftp://data-out.unavco. org/pub), SOPAC (ftp://garner.ucsd. edu), EUREF/EPN (ftp://igs.bkg. bund. de/EUREF), CHAIN (ftp://chain.physics.unb.ca/gps/), NRC (https://webapp.geod.nrcan.gc.ca/geod/datadonnees/cacs-scca.php), RBMC (ftp://geoftp.ibge.gov.br/informacoes_sobre_ posicionamento_geodesico/rbmc/dados/), and RAMSAC (http://www.ign.gob.ar/NuestrasActividades/Geodesia/Ramsac/DescargaRinex).The outputs of the storm simulation can be obtained from https://doi.org/10.5065/ygpe-wd63.This material is based upon work supported by the National Center for Atmospheric Research (NCAR), which is a major facility sponsored by the National Science Foundation (NSF) under Cooperative Agreement No. 1852977. G. L. was supported in part by the Living with a Star program under NASA Grants X14AE08G and 80NSSC17K071 and by the Heliophysics Supporting Research program under NASA grant NNX17AI39G. I. Z. was partially supported by the RFBR Grant 19-05-00570-A.</t>
  </si>
  <si>
    <t>10.1029/2019JA027726</t>
  </si>
  <si>
    <t>WOS:000540229100003</t>
  </si>
  <si>
    <t>Slominska, E; Strumik, M; Slominski, J; Haagmans, R; Floberghagen, R</t>
  </si>
  <si>
    <t>Slominska, Ewa; Strumik, Marek; Slominski, Jan; Haagmans, Roger; Floberghagen, Rune</t>
  </si>
  <si>
    <t>Analysis of the Impact of Long-Term Changes in the Geomagnetic Field on the Spatial Pattern of the Weddell Sea Anomaly</t>
  </si>
  <si>
    <t>Ionospheric Anomaly; Weddell Sea Anomaly; electron density; topside ionosphere; magnetic field; secular variation</t>
  </si>
  <si>
    <t>EARTHS MAGNETIC-FIELD; IONOSPHERE; DIPOLES; POLES; MODEL; TEC</t>
  </si>
  <si>
    <t>We simulated the impact of long-term changes in the geomagnetic field on the spatial pattern of the Weddell Sea Anomaly (WSA). The Weddell Sea Anomaly, belonging to the region near the tip of the Antarctic Peninsula, Falklands, and surrounding seas, is the best-known example of ionospheric reversed diurnal cycle. This paper investigates whether and to what extent long-term changes in the geomagnetic field influence spatial morphology of the WSA. The major concept centers on a normalized density difference index, serving as a measure of difference between dayside and nightside ionospheric density. Through combined analysis of in situ ionospheric electron density data from past mission CHAMP, ongoing ESA mission Swarm, and simulations based on the NCAR TIEGCM model, we examine changes in the spatial pattern of the WSA-like anomalies, which could be linked to long-term changes in the geomagnetic field. A series of simulations provides theoretical analysis of changes in the morphology of the WSA on time scales longer than several decades. Numerical analysis shows that from the time when the WSA was discovered (around 1960) till present, maximum of the WSA has migrated by approximately 7 degrees in longitude towards the Pacific Ocean, showing clear westward drift, consistent with temporal evolution of the geomagnetic dipole component. Key Points Numerical reconstruction of the WSA is derived with the TIEGCM model Two LEO satellite missions are used for determining and tracking maximum of the WSA The WSA exhibits westward migration towards the Pacific Ocean</t>
  </si>
  <si>
    <t>[Slominska, Ewa] OBSEE, Warsaw, Poland; [Strumik, Marek; Slominski, Jan] Space Res Ctr PAS, Warsaw, Poland; [Haagmans, Roger] ESA ESTEC, Noordwijk, Netherlands; [Floberghagen, Rune] ESA ESAC, Madrid, Spain</t>
  </si>
  <si>
    <t>Centrum Badan Kosmicznych, Polish Academy of Sciences; Polish Academy of Sciences; Space Research Centre of the Polish Academy of Sciences; European Space Agency; European Space Agency</t>
  </si>
  <si>
    <t>Slominska, E (corresponding author), OBSEE, Warsaw, Poland.</t>
  </si>
  <si>
    <t>eslominska@icloud.com</t>
  </si>
  <si>
    <t>Slominska, Ewa/0000-0002-8136-5209; Slominski, Jan/0000-0002-1955-9512; Strumik, Marek/0000-0003-3484-2970</t>
  </si>
  <si>
    <t>European Space Agency of ESA [4000112769/14/NL/FF/gp]</t>
  </si>
  <si>
    <t>European Space Agency of ESA</t>
  </si>
  <si>
    <t>This work was supported by the European Space Agency, in the framework of ESA Contract No. 4000112769/14/NL/FF/gp. L3 Swarm INDD product is available on regular basis from the following address: . The output files from the TIEGCM simulations can be found under the link: . Swarm LP L1 data were obtained from the ESA dissemination servers freely accessible to all users via anonymous access: . Authors would like to thank the NCAR TIEGCM Team, for making the source code of the model available to the public. CHAMP Langmuir Probe data were obtained from the CHAMP ISDC Data Base provided by GFZ Potsdam ftp servers. Authors thank the reviewers for their comments and assistance in evaluating this paper.</t>
  </si>
  <si>
    <t>10.1029/2019JA027528</t>
  </si>
  <si>
    <t>WOS:000540229100046</t>
  </si>
  <si>
    <t>Coleine, C; Masonjones, S; Sterflinger, K; Onofri, S; Selbmann, L; Stajich, JE</t>
  </si>
  <si>
    <t>Coleine, Claudia; Masonjones, Sawyer; Sterflinger, Katja; Onofri, Silvano; Selbmann, Laura; Stajich, Jason E.</t>
  </si>
  <si>
    <t>Peculiar genomic traits in the stress-adapted cryptoendolithic Antarctic fungus Friedmanniomyces endolithicus</t>
  </si>
  <si>
    <t>Antarctica; Black meristematic fungi; Comparative genomics; Cryptoendolithic communities; Extremophiles; Stress-tolerance</t>
  </si>
  <si>
    <t>YEAST HORTAEA-WERNECKII; MICROCOLONIAL FUNGI; SACCHAROMYCES-CEREVISIAE; AUREOBASIDIUM-PULLULANS; IONIZING-RADIATION; BLACK FUNGI; DATABASE; DUPLICATION; EXPRESSION; COMMUNITIES</t>
  </si>
  <si>
    <t>Friedmanniomyces endolithicus is a highly melanized fungus endemic to the Antarctic, occurring exclusively in endolithic communities of the ice-free areas of the Victoria Land, including the McMurdo Dry Valleys, the coldest and most hyper-arid desert on Earth and accounted as the Martian analog on our planet. F. endolithicus is highly successful in these inhospitable environments, the most widespread and commonly isolated species from these peculiar niches, indicating a high degree of adaptation. The nature of its extremo tolerance has not been previously studied. To investigate this, we sequenced genome of F. endolithicus CCFEE 5311 to explore gene content and genomic patterns that could be attributed to its specialization. The predicted functional potential of the genes was assigned by similarity to InterPro and CAZy domains. The genome was compared to phylogenetically close relatives which are also melanized fungi occurring in extreme environments including Friedmanniomyces simplex, Baudoinia panamericana, Acidomyces acidophilus, Hortaea thailandica and Hortaea werneckii. We tested if shared genomic traits existed among these species and hyper-extremotolerant fungus F. endolithicus. We found that some characters for stress tolerance such as meristematic growth and cold tolerance are enriched in F. endolithicus that may be triggered by the exposure to Antarctic prohibitive conditions. (C) 2020 British Mycological Society. Published by Elsevier Ltd. All rights reserved.</t>
  </si>
  <si>
    <t>[Coleine, Claudia; Onofri, Silvano; Selbmann, Laura] Univ Tuscia, Dept Ecol &amp; Biol Sci, Viterbo, Italy; [Masonjones, Sawyer; Stajich, Jason E.] Univ Calif Riverside, Inst Integrat Genome Biol, Dept Microbiol &amp; Plant Pathol, Riverside, CA 92521 USA; [Sterflinger, Katja] Univ Nat Resources &amp; Life Sci, Dept Biotechnol, Vienna, Austria; [Selbmann, Laura] Italian Antarctic Natl Museum MNA, Mycol Sect, Genoa, Italy</t>
  </si>
  <si>
    <t>Tuscia University; University of California System; University of California Riverside; BOKU University</t>
  </si>
  <si>
    <t>Selbmann, L (corresponding author), Univ Tuscia, Dept Ecol &amp; Biol Sci, Viterbo, Italy.;Stajich, JE (corresponding author), Univ Calif Riverside, Inst Integrat Genome Biol, Dept Microbiol &amp; Plant Pathol, Riverside, CA 92521 USA.</t>
  </si>
  <si>
    <t>coleine@unitus.it; smaso003@ucr.edu; katja.sterflinger@boku.ac.at; onofri@unitus.it; selbmann@unitus.it; jason.stajich@ucr.edu</t>
  </si>
  <si>
    <t>Selbmann, Laura/L-3056-2013; Stajich, Jason Eric/C-7297-2008; Coleine, Claudia/AAE-1889-2020</t>
  </si>
  <si>
    <t>Selbmann, Laura/0000-0002-8967-3329; Stajich, Jason Eric/0000-0002-7591-0020; Coleine, Claudia/0000-0002-9289-6179; Sterflinger, Katja/0000-0002-0296-6728</t>
  </si>
  <si>
    <t>Italian National Program for Antarctic Researches (PNRA); Italian Antarctic National Museum (MNA) Felice Ippolito; United States Department of Agriculture - National Institute of Food and Agriculture Hatch project [CA-R-PPA-5062-H]; NSF [DBI-1429826]; NIH [S10-OD016290]; Fundacao de Amparo a Pesquisa do Estado de Sao Paulo [2018/20571-6]; Coordenacao de Aperfeicoamento de Pessoal de Nivel [88881.289327/2018-01]; Fundacao de Amparo a Pesquisa do Estado de Sao Paulo (FAPESP) [18/20571-6] Funding Source: FAPESP</t>
  </si>
  <si>
    <t>Italian National Program for Antarctic Researches (PNRA); Italian Antarctic National Museum (MNA) Felice Ippolito; United States Department of Agriculture - National Institute of Food and Agriculture Hatch project; NSF(National Science Foundation (NSF)); NIH(United States Department of Health &amp; Human ServicesNational Institutes of Health (NIH) - USA); Fundacao de Amparo a Pesquisa do Estado de Sao Paulo(Fundacao de Amparo a Pesquisa do Estado de Sao Paulo (FAPESP)); Coordenacao de Aperfeicoamento de Pessoal de Nivel; Fundacao de Amparo a Pesquisa do Estado de Sao Paulo (FAPESP)(Fundacao de Amparo a Pesquisa do Estado de Sao Paulo (FAPESP))</t>
  </si>
  <si>
    <t>The Italian National Program for Antarctic Researches (PNRA) for funding the researches and Antarctic campaigns for sampling and data collecting. LS and CC kindly acknowledge the Italian Antarctic National Museum (MNA) Felice Ippolito for supporting the Mycological Section and the Culture Collection of Fungi From Extreme Environments (CCFEE) (University of Tuscia, Italy). Sequencing was supported by funds through United States Department of Agriculture - National Institute of Food and Agriculture Hatch project CA-R-PPA-5062-H to JES. Data analyses were performed on the High-Performance Computing Cluster at the University of CaliforniaeRiverside in the Institute of Integrative Genome Biology supported by NSF DBI-1429826 and NIH S10-OD016290. This article is part of the Fungal Adaptation to Hostile Challenges special issue for the third International Symposium on Fungal Stress (ISFUS), which is supported by the Fundacao de Amparo a Pesquisa do Estado de Sao Paulo grant 2018/20571-6 and the Coordenacao de Aperfeicoamento de Pessoal de Nivel Superior grant 88881.289327/2018-01.</t>
  </si>
  <si>
    <t>10.1016/j.funbio.2020.01.005</t>
  </si>
  <si>
    <t>LM6YJ</t>
  </si>
  <si>
    <t>WOS:000532395600023</t>
  </si>
  <si>
    <t>Kirsten, KL; Kasper, T; Cawthra, HC; Strobel, P; Quick, LJ; Meadows, ME; Haberzettl, T</t>
  </si>
  <si>
    <t>Kirsten, Kelly L.; Kasper, Thomas; Cawthra, Hayley C.; Strobel, Paul; Quick, Lynne J.; Meadows, Michael E.; Haberzettl, Torsten</t>
  </si>
  <si>
    <t>Holocene variability in climate and oceanic conditions in the winter rainfall zone of South Africa-inferred from a high resolution diatom record from Verlorenvlei</t>
  </si>
  <si>
    <t>JOURNAL OF QUATERNARY SCIENCE</t>
  </si>
  <si>
    <t>Benguela upwelling; climate dynamics; palaeoceanography; sea level changes; southern westerly winds</t>
  </si>
  <si>
    <t>BENGUELA UPWELLING SYSTEM; SHORT-TERM VARIABILITY; SURFACE-TEMPERATURE VARIABILITY; RADIOCARBON AGE CALIBRATION; CAPE-PROVINCE; SEA-LEVEL; ANCHOR STATION; WESTERN-CAPE; COAST; PHYTOPLANKTON</t>
  </si>
  <si>
    <t>We present a diatom record from a well-dated 15.25 m composite sedimentary core from Verlorenvlei, a shallow coastal lake on the west coast of South Africa. We show that fluctuations in the diatom record occur in response to changes in sea level, ocean-atmosphere interactions and latitudinal shifts in the wind belts. During the early to mid-Holocene, the system primarily responds to sea level changes. A marine community that favours high nutrients is evident, particularly during 9200-8000, 7420-7000 and 6200-5600 cal a bp, corroborating periods of Benguela upwelling linked to fluctuations in the southeast trade winds. Increases in bioproductivity (%TOC, C/N) and fresher-water diatoms are associated with wetter conditions over the region and the northward migration of the southern westerly wind belt, most notably between 8000 and 7500 cal a bp and over the last 700 years. The latter trends are concomitant with changes in the extent of Antarctic sea ice and availability of moisture in southern South America. During the late Holocene, as sea levels stabilised to modern levels, climate variability is more strongly evident. The body of evidence further reveals the sensitivity of the region to high-latitude atmospheric mechanisms, but also showcases the significance of the southeast trade winds.</t>
  </si>
  <si>
    <t>[Kirsten, Kelly L.; Meadows, Michael E.] Univ Cape Town, Dept Environm &amp; Geog Sci, Cape Town, South Africa; [Kasper, Thomas; Strobel, Paul] Friedrich Schiller Univ Jena, Dept Phys Geog, Inst Geog, Jena, Germany; [Cawthra, Hayley C.] Council Geosci Western Cape Reg Off, Geophys &amp; Remote Sensing Unit, Western Cape, South Africa; [Cawthra, Hayley C.; Quick, Lynne J.] Nelson Mandela Univ, African Ctr Coastal Palaeosci, Port Elizabeth, South Africa; [Haberzettl, Torsten] Univ Greifswald, Phys Geog, Inst Geog &amp; Geol, Greifswald, Germany</t>
  </si>
  <si>
    <t>University of Cape Town; Friedrich Schiller University of Jena; Nelson Mandela University; Universitat Greifswald</t>
  </si>
  <si>
    <t>Kirsten, KL (corresponding author), Univ Cape Town, Dept Environm &amp; Geog Sci, Cape Town, South Africa.</t>
  </si>
  <si>
    <t>kelly.l.kirsten@gmail.com</t>
  </si>
  <si>
    <t>Cawthra, Hayley/IZP-9458-2023; Cawthra, Hayley/AAA-4004-2021; Meadows, Michael E/AAH-2461-2020; Haberzettl, Torsten/AAV-9216-2021; Kirsten, Kelly/GYD-7631-2022; Quick, Lynne/A-1511-2018</t>
  </si>
  <si>
    <t>Meadows, Michael E/0000-0001-8322-3055; Haberzettl, Torsten/0000-0002-6975-9774; Kirsten, Kelly/0000-0002-8512-1519; Strobel, Paul/0000-0002-7860-5398; Quick, Lynne/0000-0002-6735-7106; Cawthra, Hayley/0000-0002-6101-5543</t>
  </si>
  <si>
    <t>0267-8179</t>
  </si>
  <si>
    <t>1099-1417</t>
  </si>
  <si>
    <t>J QUATERNARY SCI</t>
  </si>
  <si>
    <t>J. Quat. Sci.</t>
  </si>
  <si>
    <t>10.1002/jqs.3200</t>
  </si>
  <si>
    <t>LJ3AY</t>
  </si>
  <si>
    <t>WOS:000530041800007</t>
  </si>
  <si>
    <t>Amelio, D; Garofalo, F</t>
  </si>
  <si>
    <t>Amelio, Daniela; Garofalo, Filippo</t>
  </si>
  <si>
    <t>The NOS/NO system in an example of extreme adaptation: The African lungfish</t>
  </si>
  <si>
    <t>JOURNAL OF THERMAL BIOLOGY</t>
  </si>
  <si>
    <t>Nitric oxide; eNOS; Akt; Hsp-90; ARC; Environmental stress</t>
  </si>
  <si>
    <t>NITRIC-OXIDE SYNTHASE; TURTLE TRACHEMYS-SCRIPTA; PROTOPTERUS-ANNECTENS; SKELETAL-MUSCLE; FRESH-WATER; ESTIVATING LUNGFISH; ANTARCTIC TELEOSTS; AMMONIA PRODUCTION; PLATELET-ADHESION; UREA SYNTHESIS</t>
  </si>
  <si>
    <t>African dipnoi (lungfish) are aestivating fish and obligate air breathers that, throughout their complex life cycle, undergo remarkable morpho-functional organ readjustment from biochemical to morphological level. In the present review we summarize the changes of the NOS/NO (Nitric Oxide Synthase/Nitric Oxide) system occurring in lungs, gills, kidney, heart, and myotomal muscle of African lungfish of the genus Protopterus (P. dolloi and P. annectens), in relation to the switch from freshwater to aestivation, and vice-versa. In particular, the expression and localization patterns of NOS, and its protein partners Akt, Hsp-90 and HIF-1 alpha, have been discussed, together with the apoptosis rate, evaluated by TUNEL technique. We hypothesize that all these molecular components are crucial in signalling transduction/integration networks induced by environmental challenges (temperature, dehydration, inactivity)experienced at the beginning, during, and at the end of the dry season.</t>
  </si>
  <si>
    <t>[Amelio, Daniela; Garofalo, Filippo] Univ Calabria, Dept Biol Ecol &amp; Earth Sci, I-87030 Arcavacata Di Rende, CS, Italy</t>
  </si>
  <si>
    <t>University of Calabria</t>
  </si>
  <si>
    <t>Garofalo, F (corresponding author), Univ Calabria, Via Ponte Pietro Bucci,Cubo 6c, I-87036 Cosenza, Italy.</t>
  </si>
  <si>
    <t>filigaro@libero.it</t>
  </si>
  <si>
    <t>Ministero dell'Istruzione, dell'Universita e della Ricerca (MIUR 2018)</t>
  </si>
  <si>
    <t>We are grateful to Prof. Yuen Kwong Ip (Department of Biological Sciences, National University of Singapore) for his friendly cooperation and support.; The authors were supported by Ministero dell'Istruzione, dell'Universita e della Ricerca (MIUR 2018)</t>
  </si>
  <si>
    <t>0306-4565</t>
  </si>
  <si>
    <t>J THERM BIOL</t>
  </si>
  <si>
    <t>J. Therm. Biol.</t>
  </si>
  <si>
    <t>10.1016/j.jtherbio.2020.102594</t>
  </si>
  <si>
    <t>Biology; Zoology</t>
  </si>
  <si>
    <t>Life Sciences &amp; Biomedicine - Other Topics; Zoology</t>
  </si>
  <si>
    <t>LU3QC</t>
  </si>
  <si>
    <t>WOS:000537672900012</t>
  </si>
  <si>
    <t>Loog, L; Thalmann, O; Sinding, MHS; Schuenemann, VJ; Perri, A; Germonpre, M; Bocherens, H; Witt, KE; Castruita, JAS; Velasco, MS; Lundstrom, IKC; Wales, N; Sonet, G; Frantz, L; Schroeder, H; Budd, J; Jimenez, EL; Fedorov, S; Gasparyan, B; Kandel, AW; Láznicková-Galetová, M; Napierala, H; Uerpmann, HP; Nikolskiy, PA; Pavlova, EY; Pitulko, VV; Herzig, KH; Malhi, RS; Willerslev, E; Hansen, AJ; Dobney, K; Gilbert, MTP; Krause, J; Larson, G; Eriksson, A; Manica, A</t>
  </si>
  <si>
    <t>Loog, Liisa; Thalmann, Olaf; Sinding, Mikkel-Holger S.; Schuenemann, Verena J.; Perri, Angela; Germonpre, Mietje; Bocherens, Herve; Witt, Kelsey E.; Castruita, Jose A. Samaniego; Velasco, Marcela S.; Lundstrom, Inge K. C.; Wales, Nathan; Sonet, Gontran; Frantz, Laurent; Schroeder, Hannes; Budd, Jane; Jimenez, Elodie-Laure; Fedorov, Sergey; Gasparyan, Boris; Kandel, Andrew W.; Lazni-kova-Galetov, Martina; Napierala, Hannes; Uerpmann, Hans-Peter; Nikolskiy, Pavel A.; Pavlova, Elena Y.; Pitulko, Vladimir V.; Herzig, Karl-Heinz; Malhi, Ripan S.; Willerslev, Eske; Hansen, Anders J.; Dobney, Keith; Gilbert, M. Thomas P.; Krause, Johannes; Larson, Greger; Eriksson, Anders; Manica, Andrea</t>
  </si>
  <si>
    <t>Ancient DNA suggests modern wolves trace their origin to a Late Pleistocene expansion from Beringia</t>
  </si>
  <si>
    <t>Approximate Bayesian Computation; ancient DNA; coalescent modelling; megafauna; Pleistocene; population structure; population turnover; wolves</t>
  </si>
  <si>
    <t>GRAVETTIAN PREDMOSTI SITE; MITOCHONDRIAL GENOMES; DOMESTIC DOGS; CLIMATE-CHANGE; CANIS-LUPUS; POPULATION; DISPERSAL; EVOLUTION; ADMIXTURE; DYNAMICS</t>
  </si>
  <si>
    <t>Grey wolves (Canis lupus) are one of the few large terrestrial carnivores that have maintained a wide geographical distribution across the Northern Hemisphere throughout the Pleistocene and Holocene. Recent genetic studies have suggested that, despite this continuous presence, major demographic changes occurred in wolf populations between the Late Pleistocene and early Holocene, and that extant wolves trace their ancestry to a single Late Pleistocene population. Both the geographical origin of this ancestral population and how it became widespread remain unknown. Here, we used a spatially and temporally explicit modelling framework to analyse a data set of 90 modern and 45 ancient mitochondrial wolf genomes from across the Northern Hemisphere, spanning the last 50,000 years. Our results suggest that contemporary wolf populations trace their ancestry to an expansion from Beringia at the end of the Last Glacial Maximum, and that this process was most likely driven by Late Pleistocene ecological fluctuations that occurred across the Northern Hemisphere. This study provides direct ancient genetic evidence that long-range migration has played an important role in the population history of a large carnivore, and provides insight into how wolves survived the wave of megafaunal extinctions at the end of the last glaciation. Moreover, because Late Pleistocene grey wolves were the likely source from which all modern dogs trace their origins, the demographic history described in this study has fundamental implications for understanding the geographical origin of the dog.</t>
  </si>
  <si>
    <t>[Loog, Liisa; Larson, Greger] Univ Oxford, Res Lab Archaeol &amp; Hist Art, Oxford, England; [Loog, Liisa; Frantz, Laurent; Willerslev, Eske; Eriksson, Anders; Manica, Andrea] Univ Cambridge, Dept Zool, Cambridge, England; [Loog, Liisa] Univ Manchester, Sch Earth &amp; Environm Sci, Manchester Inst Biotechnol, Manchester, Lancs, England; [Loog, Liisa] Univ Cambridge, Dept Genet, Cambridge, England; [Thalmann, Olaf; Herzig, Karl-Heinz] Poznan Univ Med Sci, Dept Pediat Gastroenterol &amp; Metab Dis, Poznan, Poland; [Sinding, Mikkel-Holger S.; Castruita, Jose A. Samaniego; Velasco, Marcela S.; Lundstrom, Inge K. C.; Wales, Nathan; Schroeder, Hannes; Gilbert, M. Thomas P.] Univ Copenhagen, Globe Inst, EvoGen, Copenhagen, Denmark; [Sinding, Mikkel-Holger S.] Univ Oslo, Nat Hist Museum, Oslo, Norway; [Sinding, Mikkel-Holger S.; Hansen, Anders J.] Univ Greenland, Qimmeg Project, Nuussuaq, Greenland; [Schuenemann, Verena J.; Uerpmann, Hans-Peter; Krause, Johannes] Univ Thbingen, Inst Archaeol Sci, Tubingen, Germany; [Schuenemann, Verena J.; Bocherens, Herve] Univ Tubingen, Senckenberg Ctr Human Evolut &amp; Palaeoenvironm, Tubingen, Germany; [Schuenemann, Verena J.] Univ Zurich, Inst Evolutionary Med, Zurich, Switzerland; [Perri, Angela] Max Planck Inst Evolutionary Anthropol, Dept Human Evolut, Leipzig, Germany; [Germonpre, Mietje; Jimenez, Elodie-Laure] Royal Belgian Inst Nat Sci, OD Earth &amp; Hist Life, Brussels, Belgium; [Bocherens, Herve] Univ Tubingen, Dept Geosci, Palaeobiol, Tubingen, Germany; [Witt, Kelsey E.] Univ Illinois, Sch Integrat Biol, Urbana, IL USA; [Wales, Nathan] Univ York, Dept Archaeol, BioArch, York, N Yorkshire, England; [Sonet, Gontran] Royal Belgian Inst Nat Sci, OD Taxon &amp; Phylogeny, Brussels, Belgium; [Budd, Jane] Breeding Ctr Endangered Arabian Wildlife, Sharjah, U Arab Emirates; [Fedorov, Sergey] North Eastern Fed Univ, Inst Appl Ecol North, Mammoth Museum, Yakutsk, Russia; [Gasparyan, Boris] Natl Acad Sci Republ Armenia, Inst Archaeol &amp; Ethnog, Yerevan, Armenia; [Kandel, Andrew W.] Heidelberg Acad Sci &amp; Humanities Role Culture Ear, Tubingen, Germany; [Lazni-kova-Galetov, Martina] Univ West Bohemia, Dept Anthropol, Pilzen, Czech Republic; [Lazni-kova-Galetov, Martina] Moravian Museum, Brno, Czech Republic; [Lazni-kova-Galetov, Martina] Charles Univ Prague, Fac Sci, Hrdlicka Museum Man, Prague, Czech Republic; [Napierala, Hannes] Ludwig Maximilians Univ Munchen, Inst Palaeoanat Domesticat Res &amp; Hist Vet Med, Munich, Germany; [Nikolskiy, Pavel A.] Russian Acad Sci, Geol Inst, Moscow, Russia; [Nikolskiy, Pavel A.; Pavlova, Elena Y.; Pitulko, Vladimir V.] Russian Acad Sci, Inst Mat Culture Hist, St Petersburg, Russia; [Pavlova, Elena Y.] Arctic &amp; Antarctic Res Inst, St Petersburg, Russia; [Herzig, Karl-Heinz] Med Res Ctr, Inst Biomed &amp; Bioctr Oulu, Oulu, Finland; [Herzig, Karl-Heinz] Univ Oulu, Univ Hosp, Oulu, Finland; [Malhi, Ripan S.] Univ Illinois, Carl R Woese Inst Genom Biol, Urbana, IL USA; [Willerslev, Eske; Hansen, Anders J.] Univ Copenhagen, Ctr GeoGenet Globe Inst, Copenhagen, Denmark; [Willerslev, Eske] Wellcome Trust Sanger Inst, Cambridge, England; [Dobney, Keith] Univ Liverpool, Dept Archaeol Class &amp; Egyptol, Liverpool, Merseyside, England; [Dobney, Keith] Univ Aberdeen, Dept Archaeol, Aberdeen, Scotland; [Dobney, Keith] Simon Fraser Univ, Dept Archaeol, Burnaby, BC, Canada; [Gilbert, M. Thomas P.] Norwegian Univ Sci &amp; Technol, Univ Museum, Trondheim, Norway; [Krause, Johannes] Max Planck Inst Sci Human Hist, Jena, Germany; [Eriksson, Anders] Kings Coll London, Guys Hosp, Dept Med &amp; Mol Genet, London, England; [Eriksson, Anders] Univ Tartu, Inst Genom, cGEM, Tartu, Estonia</t>
  </si>
  <si>
    <t>University of Oxford; University of Cambridge; University of Manchester; University of Cambridge; Poznan University of Medical Sciences; University of Copenhagen; University of Oslo; Senckenberg Gesellschaft fur Naturforschung (SGN); Eberhard Karls University of Tubingen; University of Zurich; Max Planck Society; Royal Belgian Institute of Natural Sciences; Eberhard Karls University of Tubingen; University of Illinois System; University of Illinois Urbana-Champaign; University of York - UK; Royal Belgian Institute of Natural Sciences; North-Eastern Federal University in Yakutsk; National Academy of Sciences of Armenia; Institute of Archaeology &amp; Ethnography - NAS RA; University of West Bohemia Pilsen; Moravian Museum; Charles University Prague; University of Munich; Geological Institute, Russian Academy of Sciences; Russian Academy of Sciences; Russian Academy of Sciences; St. Petersburg Scientific Centre of the Russian Academy of Sciences; Arctic &amp; Antarctic Research Institute; University of Oulu; University of Illinois System; University of Illinois Urbana-Champaign; University of Copenhagen; Wellcome Trust Sanger Institute; University of Liverpool; University of Aberdeen; Simon Fraser University; Norwegian University of Science &amp; Technology (NTNU); Guy's &amp; St Thomas' NHS Foundation Trust; University of London; King's College London; University of Tartu</t>
  </si>
  <si>
    <t>Larson, G (corresponding author), Univ Oxford, Res Lab Archaeol &amp; Hist Art, Oxford, England.;Manica, A (corresponding author), Univ Cambridge, Dept Zool, Cambridge, England.;Loog, L (corresponding author), Univ Cambridge, Dept Genet, Cambridge, England.;Eriksson, A (corresponding author), Univ Tartu, Inst Genom, cGEM, Tartu, Estonia.</t>
  </si>
  <si>
    <t>liisaloog@gmail.com; greger.larson@arch.ox.ac.uk; aeriksson75@gmail.com; am315@cam.ac.uk</t>
  </si>
  <si>
    <t>Manica, Andrea/N-9013-2019; Fedorov, Sergey/M-7327-2019; Loog, Liisa/AAC-9965-2022; Nikolskiy, Pavel/JNT-4697-2023; Gilbert, Thomas/JSK-2650-2023; Germonpré, Mietje/O-5952-2014; Willerslev, Eske/AAA-5686-2019; Eriksson, Anders/C-9767-2010; Kandel, Andrew/AAH-3480-2020; Hansen, Anders Johannes/A-5608-2013; Wales, Nathan/B-4263-2015; Willerslev, Eske/A-9619-2011; BOCHERENS, Hervé/F-3580-2011; Pavlova, Elena/AAA-3291-2019; Krause, Johannes/AFP-2642-2022; Pitulko, Vladimir/N-4009-2019; Nikolskiy, Pavel A/C-5041-2012; Schroeder, Hannes/B-9444-2015; Sandoval-Velasco, Marcela/AAS-6478-2021; Sonet, Gontran/G-7740-2018; Strander Sinding, Mikkel Holger/B-9450-2015; Gilbert, Marcus/A-8936-2013; Pitulko, Vladimir/E-2200-2015</t>
  </si>
  <si>
    <t>Manica, Andrea/0000-0003-1895-450X; Loog, Liisa/0000-0002-1770-101X; Germonpré, Mietje/0000-0001-8865-0937; Eriksson, Anders/0000-0003-3436-3726; Hansen, Anders Johannes/0000-0002-1890-2702; Wales, Nathan/0000-0003-0359-8450; Willerslev, Eske/0000-0002-7081-6748; BOCHERENS, Hervé/0000-0002-0494-0126; Krause, Johannes/0000-0001-9144-3920; Schroeder, Hannes/0000-0002-6743-0270; Sandoval-Velasco, Marcela/0000-0002-4635-6171; Pavlova, Elena/0000-0002-3010-6290; Sonet, Gontran/0000-0001-7310-9574; Thalmann, Olaf/0000-0003-1700-0130; Kandel, Andrew William/0000-0002-9889-9418; Jimenez, Elodie-Laure/0000-0002-7575-4259; Strander Sinding, Mikkel Holger/0000-0003-1371-219X; Gilbert, Marcus/0000-0002-5805-7195; Dobney, Keith/0000-0001-9036-4681; Pitulko, Vladimir/0000-0001-5672-2756</t>
  </si>
  <si>
    <t>NERC [NE/K003259/1, NE/K003259/2, NE/K005243/2, NE/K005243/1] Funding Source: UKRI</t>
  </si>
  <si>
    <t>10.1111/mec.15329</t>
  </si>
  <si>
    <t>LV3AT</t>
  </si>
  <si>
    <t>Green Published, Green Submitted, Green Accepted, hybrid</t>
  </si>
  <si>
    <t>WOS:000538310700003</t>
  </si>
  <si>
    <t>Gora, NV; Serga, SV; Maistrenko, OM; Slezak-Parnikoza, A; Parnikoza, IY; Tarasiuk, AN; Demydov, SV; Kozeretska, IA</t>
  </si>
  <si>
    <t>Gora, N., V; Serga, S., V; Maistrenko, O. M.; Slezak-Parnikoza, A.; Parnikoza, I. Yu; Tarasiuk, A. N.; Demydov, S., V; Kozeretska, I. A.</t>
  </si>
  <si>
    <t>Climate Factors and Wolbachia Infection Frequencies in Natural Populations of Drosophila melanogaster</t>
  </si>
  <si>
    <t>CYTOLOGY AND GENETICS</t>
  </si>
  <si>
    <t>Wolbachia; Drosophila melanogaster; endosymbiosis; climatic factors</t>
  </si>
  <si>
    <t>CYTOPLASMIC INCOMPATIBILITY; SPIROPLASMA; FECUNDITY; STRAINS</t>
  </si>
  <si>
    <t>The endosymbiotic bacteria Wolbachia are widespread in natural populations of Drosophila melanogaster, which is a cosmopolitan and synanthropic species. Various aspects of Wolbachia infection are studied in many arthropod species, including fruit flies. However, the influence of climatic factors on the level of Wolbachia infection in natural populations of fruit flies has not been studied in detail. The influence of mean temperature, precipitation, and potential evaporation was investigated on Wolbachia infection rates in ten D. melanogaster populations (collected in Europe) and newly obtained estimates were combined with the data from other studies for different continents and for different climatic zones (280 populations, 10 806 isofemale lines). The effect of climatic factors on the infection frequency was revealed. The highest infection rates are observed in the mean annual temperature range of 20-25 degrees C, which corresponds to fly rearing conditions in the laboratory. The clinal distribution of Wolbachia infection rates in the Eurasian fruit fly populations was described. Logistic regression models showed that climatic factors have a stronger impact on bacterial infection rates within climatic zones rather than continents.</t>
  </si>
  <si>
    <t>[Gora, N., V; Serga, S., V; Maistrenko, O. M.; Demydov, S., V] Taras Shevchenko Natl Univ Kyiv, UA-01601 Kiev, Ukraine; [Maistrenko, O. M.] European Mol Biol Lab, D-69117 Heidelberg, Germany; [Slezak-Parnikoza, A.] Local Grp Wolf Protect Elblag Upland, PL-82340 Warmian Masurian Voivode, Poland; [Parnikoza, I. Yu; Kozeretska, I. A.] Minist Sci &amp; Educ Ukraine, Natl Antarctic Sci Ctr, UA-01601 Kiev, Ukraine; [Tarasiuk, A. N.] Pushkin Brest State Univ, Brest 224016, BELARUS</t>
  </si>
  <si>
    <t>Ministry of Education &amp; Science of Ukraine; Taras Shevchenko National University of Kyiv; European Molecular Biology Laboratory (EMBL); Ministry of Education &amp; Science of Ukraine; State Institution National Antarctic Scientific Center; A.S. Pushkin Brest State University</t>
  </si>
  <si>
    <t>Gora, NV (corresponding author), Taras Shevchenko Natl Univ Kyiv, UA-01601 Kiev, Ukraine.</t>
  </si>
  <si>
    <t>nazaragora@gmail.com</t>
  </si>
  <si>
    <t>Maistrenko, Oleksandr/AAC-9919-2020; Parnikoza, Ivan/I-2398-2016; Kozeretska, Iryna A/F-1383-2010</t>
  </si>
  <si>
    <t>Maistrenko, Oleksandr/0000-0003-1961-7548; Gora, Nazar/0000-0003-0589-8799</t>
  </si>
  <si>
    <t>0095-4527</t>
  </si>
  <si>
    <t>1934-9440</t>
  </si>
  <si>
    <t>CYTOL GENET+</t>
  </si>
  <si>
    <t>Cytol. Genet.</t>
  </si>
  <si>
    <t>10.3103/S0095452720030044</t>
  </si>
  <si>
    <t>LU8YT</t>
  </si>
  <si>
    <t>WOS:000538035000002</t>
  </si>
  <si>
    <t>Li, F; Zhang, QC; Zhang, SK; Lei, JT; Li, WH</t>
  </si>
  <si>
    <t>Li, Fei; Zhang, Qingchuan; Zhang, Shengkai; Lei, Jintao; Li, Wenhao</t>
  </si>
  <si>
    <t>Evaluation of Spatio-Temporal Characteristics of Different Zenith Tropospheric Delay Models in Antarctica</t>
  </si>
  <si>
    <t>RADIO SCIENCE</t>
  </si>
  <si>
    <t>WATER-VAPOR; PRECIPITABLE WATER; SYSTEM</t>
  </si>
  <si>
    <t>Zenith tropospheric delay (ZTD) is one of the main error sources in space geodetic techniques, such as Global Positioning System (GPS) and satellite altimetry. To qualitatively and quantitatively determine the most suitable model for Antarctica, we analyze the accuracy and applicability of nine models (UNB3m, EGNOS, GPT2 + Saastamoinen, GPT2w + Saastamoinen, GPT3 + Saastamoinen, GPT2 + Hopfield, GPT2w + Hopfield, GPT3 + Hopfield, and IGGtropSH) in Antarctica using 8 years of GPS-derived ZTD time series from 65 stations. The results show that the GPT2/2w/3 + SAAS models are better than the other six models, with a bias of 0.2, -0.22, and -0.29 cm and root mean square (RMS) of 2.33, 2.31, and 2.36 cm. Based on the decimeter bias and RMS, the UNB3m model and EGNOS model present the worst performance in Antarctica. There are regional characteristics of bias and RMS in the nine models. The GPT2/2w/3 + SAAS models have the smallest regional deviation, and the bias and RMS between subregions (Antarctic Peninsula, Amundsen Sea Embayment, Ross Ice Shelf, Inland area of West Antarctica, Filchner-Ronne Ice Shelf, and coastal East Antarctica) are all at the 0.2 and 0.7 cm levels, respectively. The GPT2/2w/3 + HOP models have the largest regional deviation, with regional bias and RMS at the levels of 8 and 6 cm, respectively. Our results suggest that the uncertainty of ice sheet elevation derived from satellite altimetry may be partly caused by the spatial-related bias and error in the ZTD corrections. The bias and RMS of six GPT combined models and the IGGtropSH model present limited seasonal changes, indicating that these models can simulate the seasonal characteristics of ZTD better. The time series of the bias and RMS values of the EGNOS and UNB3m models show obvious seasonal characteristics, which may contaminate the annual ice sheet elevation by approximately 5 cm if used as ZTD corrections.</t>
  </si>
  <si>
    <t>[Li, Fei; Zhang, Qingchuan; Zhang, Shengkai; Lei, Jintao; Li, Wenhao] Wuhan Univ, Chinese Antarctic Ctr Surveying &amp; Mapping, Wuhan, Peoples R China</t>
  </si>
  <si>
    <t>Zhang, SK (corresponding author), Wuhan Univ, Chinese Antarctic Ctr Surveying &amp; Mapping, Wuhan, Peoples R China.</t>
  </si>
  <si>
    <t>zskai@whu.edu.cn</t>
  </si>
  <si>
    <t>LEI, Jintao/HHZ-6471-2022</t>
  </si>
  <si>
    <t>Lei, Jintao/0000-0002-4497-5868</t>
  </si>
  <si>
    <t>National Key Research and Development Program of China [2017YFA0603104]; State Key Program of National Natural Science Foundation of China [41531069]; Independent Scientific Research Program for Cross-disciplinary of Wuhan University [2042017kf0209]</t>
  </si>
  <si>
    <t>National Key Research and Development Program of China; State Key Program of National Natural Science Foundation of China(National Natural Science Foundation of China (NSFC)); Independent Scientific Research Program for Cross-disciplinary of Wuhan University</t>
  </si>
  <si>
    <t>This work was supported by the National Key Research and Development Program of China (2017YFA0603104), the State Key Program of National Natural Science Foundation of China (under Grant 41531069), and Independent Scientific Research Program for Cross-disciplinary of Wuhan University (2042017kf0209). We thank the IGS and POLENET for providing the GPS observation data. They are available online ( and ). The ZTD products provided by IGS can be downloaded for free (). And we thank Massachusetts Institute of Technology (MIT) and Scripps Marine Research Institute (SIO) for their permission to use the GAMIT/GLOBK software. We also thank Dr. Li Wei for her help about this work.</t>
  </si>
  <si>
    <t>0048-6604</t>
  </si>
  <si>
    <t>1944-799X</t>
  </si>
  <si>
    <t>RADIO SCI</t>
  </si>
  <si>
    <t>Radio Sci.</t>
  </si>
  <si>
    <t>e2019RS006909</t>
  </si>
  <si>
    <t>10.1029/2019RS006909</t>
  </si>
  <si>
    <t>Astronomy &amp; Astrophysics; Geochemistry &amp; Geophysics; Meteorology &amp; Atmospheric Sciences; Remote Sensing; Telecommunications</t>
  </si>
  <si>
    <t>LU5LK</t>
  </si>
  <si>
    <t>WOS:000537796600004</t>
  </si>
  <si>
    <t>Grose, MR; Narsey, S; Delage, FP; Dowdy, AJ; Bador, M; Boschat, G; Chung, C; Kajtar, JB; Rauniyar, S; Freund, MB; Lyu, K; Rashid, H; Zhang, X; Wales, S; Trenham, C; Holbrook, NJ; Cowan, T; Alexander, L; Arblaster, JM; Power, S</t>
  </si>
  <si>
    <t>Grose, M. R.; Narsey, S.; Delage, F. P.; Dowdy, A. J.; Bador, M.; Boschat, G.; Chung, C.; Kajtar, J. B.; Rauniyar, S.; Freund, M. B.; Lyu, K.; Rashid, H.; Zhang, X.; Wales, S.; Trenham, C.; Holbrook, N. J.; Cowan, T.; Alexander, L.; Arblaster, J. M.; Power, S.</t>
  </si>
  <si>
    <t>Insights From CMIP6 for Australia's Future Climate</t>
  </si>
  <si>
    <t>Climate change; regional projections; CMIP6; Australia</t>
  </si>
  <si>
    <t>TROPICAL PACIFIC; MULTIMODEL ENSEMBLE; MARINE HEATWAVES; COLD-TONGUE; EL-NINO; LA-NINA; PART I; RAINFALL; TEMPERATURE; VARIABILITY</t>
  </si>
  <si>
    <t>Outputs from new state-of-the-art climate models under the Coupled Model Inter-comparison Project phase 6 (CMIP6) promise improvement and enhancement of climate change projections information for Australia. Here we focus on three key aspects of CMIP6: what is new in these models, how the available CMIP6 models evaluate compared to CMIP5, and their projections of the future Australian climate compared to CMIP5 focussing on the highest emissions scenario. The CMIP6 ensemble has several new features of relevance to policymakers and others, for example, the integrated matrix of socioeconomic and concentration pathways. The CMIP6 models show incremental improvements in the simulation of the climate in the Australian region, including a reduced equatorial Pacific cold tongue bias, slightly improved rainfall teleconnections with large-scale climate drivers, improved representation of atmosphere and ocean extreme heat events, as well as dynamic sea level. However, important regional biases remain, evident in the excessive rainfall over the Maritime Continent and rainfall pattern biases in the nearby tropical convergence zones. Projections of Australian temperature and rainfall from the available CMIP6 ensemble broadly agree with those from CMIP5, except for a group of CMIP6 models with higher climate sensitivity and greater warming and increase in some extremes after 2050. CMIP6 rainfall projections are similar to CMIP5, but the ensemble examined has a narrower range of rainfall change in austral summer in Northern Australia and austral winter in Southern Australia. Overall, future national projections are likely to be similar to previous versions but perhaps with some areas of improved confidence and clarity.</t>
  </si>
  <si>
    <t>[Grose, M. R.; Lyu, K.; Zhang, X.] CSIRO Oceans &amp; Atmosphere, Hobart, Tas, Australia; [Narsey, S.; Delage, F. P.; Dowdy, A. J.; Boschat, G.; Chung, C.; Rauniyar, S.; Cowan, T.; Power, S.] Australian Bur Meteorol, Melbourne, Vic, Australia; [Bador, M.; Wales, S.; Alexander, L.] Univ Melbourne, Melbourne, Vic, Australia; [Bador, M.; Boschat, G.; Wales, S.; Alexander, L.; Arblaster, J. M.] ARC Ctr Excellence Climate Extremes, Melbourne, Vic, Australia; [Boschat, G.; Arblaster, J. M.] Monash Univ, Melbourne, Vic, Australia; [Kajtar, J. B.; Holbrook, N. J.] Univ Tasmania, Inst Marine &amp; Antarctic Studies, Hobart, Tas, Australia; [Kajtar, J. B.; Holbrook, N. J.] Univ Tasmania, ARC Ctr Excellence Climate Extremes, Hobart, Tas, Australia; [Freund, M. B.] CSIRO Agr &amp; Food, Hobart, Tas, Australia; [Lyu, K.] Ctr Southern Hemisphere Oceans Res, Hobart, Tas, Australia; [Rashid, H.] CSIRO Oceans &amp; Atmosphere, Melbourne, Vic, Australia; [Trenham, C.] CSIRO Oceans &amp; Atmosphere, Canberra, ACT, Australia; [Cowan, T.] Univ Southern Queensland, Ctr Appl Climate Sci, Toowoomba, Qld, Australia</t>
  </si>
  <si>
    <t>Commonwealth Scientific &amp; Industrial Research Organisation (CSIRO); Bureau of Meteorology - Australia; University of Melbourne; Melbourne Bioinformatics; Melbourne Genomics Health Alliance; Monash University; University of Tasmania; University of Tasmania; Commonwealth Scientific &amp; Industrial Research Organisation (CSIRO); Commonwealth Scientific &amp; Industrial Research Organisation (CSIRO); Melbourne Genomics Health Alliance; Commonwealth Scientific &amp; Industrial Research Organisation (CSIRO); University of Southern Queensland</t>
  </si>
  <si>
    <t>Grose, MR (corresponding author), CSIRO Oceans &amp; Atmosphere, Hobart, Tas, Australia.</t>
  </si>
  <si>
    <t>michael.grose@csiro.au</t>
  </si>
  <si>
    <t>Kajtar, Jules B./A-5897-2016; Cowan, Timothy D/AAA-7372-2019; Dowdy, Andrew/AAI-6395-2020; Rauniyar, Surendra/GQB-4414-2022; Grose, Michael/AAV-1119-2021; Zhang, Xuebin/A-3405-2012; Arblaster, Julie/C-1342-2010; Holbrook, Neil/M-7544-2013; Alexander, Lisa/A-8477-2011</t>
  </si>
  <si>
    <t>Kajtar, Jules B./0000-0003-0114-6610; Cowan, Timothy D/0000-0002-8376-4879; Dowdy, Andrew/0000-0003-0720-4471; Zhang, Xuebin/0000-0003-1731-3524; Holbrook, Neil/0000-0002-3523-6254; Trenham, Claire/0000-0003-4258-9936; Bador, Margot/0000-0003-3976-6946; Alexander, Lisa/0000-0002-5635-2457; Narsey, Sugata/0000-0002-2039-5025; Freund, Mandy Barbara/0000-0002-8839-5494; Boschat, Ghyslaine/0000-0002-5174-1170; Rashid, Harun/0000-0003-1896-2446; Lyu, Kewei/0000-0002-2054-8917; Wales, Scott/0000-0002-0583-9601</t>
  </si>
  <si>
    <t>Australian Government's National Environmental Science Programme's Earth Systems and Climate Change Hub; Australian Research Council Centre of Excellence for Climate Extremes [CE170100023]; QNLM China; CSIRO Australia; Australian Government</t>
  </si>
  <si>
    <t>Australian Government's National Environmental Science Programme's Earth Systems and Climate Change Hub(Australian Government); Australian Research Council Centre of Excellence for Climate Extremes(Australian Research Council); QNLM China; CSIRO Australia(Commonwealth Scientific &amp; Industrial Research Organisation (CSIRO)); Australian Government(Australian Government)</t>
  </si>
  <si>
    <t>We acknowledge the support of Australian Government's National Environmental Science Programme's Earth Systems and Climate Change Hub and the Australian Research Council Centre of Excellence for Climate Extremes (Grant CE170100023). K.L. and X.Z. were also supported by Centre for Southern Hemisphere Oceans Research (CSHOR), a joint research center between QNLM China and CSIRO Australia. We thank Martin Dix from CSIRO for calculating the ECS indices. We acknowledge the World Climate Research Programme's Working Group on Coupled Modelling, which is responsible for CMIP, and we thank the climate modeling groups for producing and making available their model output. CMIP5 and CMIP6 model outputs were made available with the assistance of resources from the National Computational Infrastructure (NCI), which is supported by the Australian Government. NOAA High Resolution SST data provided by the NOAA/OAR/ESRL PSD, Boulder, Colorado, USA, from their website at https://www.esrl.noaa.gov/psd/.All the data used in the analysis are publicly available and can be downloaded at https://doi.org/10.5281/zenodo.3676121.</t>
  </si>
  <si>
    <t>UNSP e2019EF001469</t>
  </si>
  <si>
    <t>10.1029/2019EF001469</t>
  </si>
  <si>
    <t>LU4NR</t>
  </si>
  <si>
    <t>WOS:000537734300001</t>
  </si>
  <si>
    <t>de Lavergne, C; Vic, C; Madec, G; Roquet, F; Waterhouse, AF; Whalen, CB; Cuypers, Y; Bouruet-Aubertot, P; Ferron, B; Hibiya, T</t>
  </si>
  <si>
    <t>de Lavergne, C.; Vic, C.; Madec, G.; Roquet, F.; Waterhouse, A. F.; Whalen, C. B.; Cuypers, Y.; Bouruet-Aubertot, P.; Ferron, B.; Hibiya, T.</t>
  </si>
  <si>
    <t>A Parameterization of Local and Remote Tidal Mixing</t>
  </si>
  <si>
    <t>ocean mixing; internal tides; parameterization; energy dissipation</t>
  </si>
  <si>
    <t>ANTARCTIC CIRCUMPOLAR CURRENT; INTERNAL WAVE BREAKING; DEEP-OCEAN; FINESCALE PARAMETERIZATIONS; TURBULENT DISSIPATION; ENERGY-DISSIPATION; TIDES; GENERATION; PACIFIC; MODEL</t>
  </si>
  <si>
    <t>Vertical mixing is often regarded as the Achilles' heel of ocean models. In particular, few models include a comprehensive and energy-constrained parameterization of mixing by internal ocean tides. Here, we present an energy-conserving mixing scheme which accounts for the local breaking of high-mode internal tides and the distant dissipation of low-mode internal tides. The scheme relies on four static two-dimensional maps of internal tide dissipation, constructed using mode-by-mode Lagrangian tracking of energy beams from sources to sinks. Each map is associated with a distinct dissipative process and a corresponding vertical structure. Applied to an observational climatology of stratification, the scheme produces a global three-dimensional map of dissipation which compares well with available microstructure observations and with upper-ocean finestructure mixing estimates. This relative agreement, both in magnitude and spatial structure across ocean basins, suggests that internal tides underpin most of observed dissipation in the ocean interior at the global scale. The proposed parameterization is therefore expected to improve understanding, mapping, and modeling of ocean mixing.</t>
  </si>
  <si>
    <t>[de Lavergne, C.; Madec, G.; Cuypers, Y.; Bouruet-Aubertot, P.] Sorbonne Univ, LOCEAN Lab, CNRS, IRD,MNHN, Paris, France; [Vic, C.; Ferron, B.] UBO IFREMER CNRS IRD, LOPS Lab, Plouzane, France; [Madec, G.] Univ Grenoble Alpes, LJK Lab, INRIA, CNRS, Grenoble, France; [Roquet, F.] Univ Gothenburg, Dept MArine Sci, Gothenburg, Sweden; [Waterhouse, A. F.] Univ Calif, Scripps Inst Oceanog, La Jolla, CA USA; [Whalen, C. B.] Univ Washington, Appl Phys Lab, Seattle, WA 98105 USA; [Hibiya, T.] Univ Tokyo, Dept Earth &amp; Planetary Sci, Grad Sch Sci, Tokyo, Japan</t>
  </si>
  <si>
    <t>Institut de Recherche pour le Developpement (IRD); Centre National de la Recherche Scientifique (CNRS); Sorbonne Universite; Museum National d'Histoire Naturelle (MNHN); Ifremer; Communaute Universite Grenoble Alpes; Universite Grenoble Alpes (UGA); Inria; Centre National de la Recherche Scientifique (CNRS); University of Gothenburg; University of California System; University of California San Diego; Scripps Institution of Oceanography; University of Washington; University of Washington Seattle; University of Tokyo</t>
  </si>
  <si>
    <t>de Lavergne, C (corresponding author), Sorbonne Univ, LOCEAN Lab, CNRS, IRD,MNHN, Paris, France.</t>
  </si>
  <si>
    <t>casimir.delavergne@locean.upmc.fr</t>
  </si>
  <si>
    <t>Cuypers, Yannis/H-9869-2016; madec, gurvan/E-7825-2010; HIBIYA, TOSHIYUKI/G-5051-2014; Cuypers, Yannis/Q-4473-2019; Ferron, Bruno/L-5649-2015</t>
  </si>
  <si>
    <t>Cuypers, Yannis/0000-0001-9651-154X; madec, gurvan/0000-0002-6447-4198; de Lavergne, Casimir/0000-0001-9267-7390; Vic, Clement/0000-0003-1290-9353; Waterhouse, Amy/0000-0003-2264-9831; Whalen, Caitlin/0000-0002-4190-0457; Ferron, Bruno/0000-0002-2107-0900</t>
  </si>
  <si>
    <t>European Union [821001, 824084]; NSF [OCE-0968721]</t>
  </si>
  <si>
    <t>European Union(European Union (EU)); NSF(National Science Foundation (NSF))</t>
  </si>
  <si>
    <t>We thank all investigators involved in the collection of microstructure measurements analyzed here. Efforts to gather and publish historical microstructure datasets (see https://microstructure.ucsd.edu) are also gratefully acknowledged. We thank E. Kunze, I. Fer, L. Clement, A. Melet, and J. Goff for sharing their published datasets. J. Nycander, L. Clement, E. Kunze, and two anonymous reviewers provided helpful comments on the manuscript. Static maps entering the present parameterization and three-dimensional fields computed using theWOCE hydrographic climatology are made available at https://doi.org/10.17882/73082.This project has received funding from the European Union's Horizon 2020 research and innovation program under Grant Agreements No 821001 and No 824084. A.F.W. acknowledges funding from NSF OCE-0968721.</t>
  </si>
  <si>
    <t>e2020MS002065</t>
  </si>
  <si>
    <t>10.1029/2020MS002065</t>
  </si>
  <si>
    <t>LU5MG</t>
  </si>
  <si>
    <t>WOS:000537798800011</t>
  </si>
  <si>
    <t>Domingo, D; Malmierca-Vallet, I; Sime, L; Voss, J; Capron, E</t>
  </si>
  <si>
    <t>Domingo, Dario; Malmierca-Vallet, Irene; Sime, Louise; Voss, Jochen; Capron, Emilie</t>
  </si>
  <si>
    <t>Using Ice Cores and Gaussian Process Emulation to Recover Changes in the Greenland Ice Sheet During the Last Interglacial</t>
  </si>
  <si>
    <t>Gaussian process emulation; Greenland Ice Sheet; Last Interglacial</t>
  </si>
  <si>
    <t>SEA-LEVEL RISE; ANTARCTIC ICE; GLACIAL MAXIMUM; AIR CONTENT; CHRONOLOGY AICC2012; OXYGEN-ISOTOPE; COUPLED MODEL; CLIMATE; SIMULATIONS; CONSTRAINTS</t>
  </si>
  <si>
    <t>The shape and extent of the Greenland Ice Sheet (GIS) during the Last Interglacial (LIG) is a matter of controversy, with different studies proposing a wide range of reconstructions. Here, for the first time, we combine stable water isotopic information from ice cores with isotope-enabled climate model outputs to investigate the problem. Exploring the space of possible ice sheet geometries by simulation is prohibitively expensive. We address this problem by using a Gaussian process emulator as a statistical surrogate of the full climate model. The emulator is calibrated using the results of a small number of carefully chosen simulations and then permits fast, probabilistic predictions of the simulator outputs at untried inputs. The inputs are GIS morphologies, parameterized through a dimension-reduction technique adapted to the spherical geometry of the setting. Based on the emulator predictions, the characteristics of morphologies compatible with the available ice core measurements are explored, leading to a reduction in uncertainty on the LIG GIS morphology. Moreover, a scenario-based approach allows to assess the gains in uncertainty reduction which would result from the availability of better dated LIG measurements in Greenland ice cores.</t>
  </si>
  <si>
    <t>[Domingo, Dario; Voss, Jochen] Univ Leeds, Sch Math, Leeds, W Yorkshire, England; [Domingo, Dario] Univ Durham, Dept Math Sci, Durham, England; [Malmierca-Vallet, Irene; Sime, Louise; Capron, Emilie] British Antarctic Survey, Cambridge, England; [Capron, Emilie] Univ Copenhagen, Niels Bohr Inst, Phys Ice Climate &amp; Earth, Copenhagen, Denmark</t>
  </si>
  <si>
    <t>University of Leeds; Durham University; UK Research &amp; Innovation (UKRI); Natural Environment Research Council (NERC); NERC British Antarctic Survey; University of Copenhagen; Niels Bohr Institute</t>
  </si>
  <si>
    <t>Domingo, D (corresponding author), Univ Leeds, Sch Math, Leeds, W Yorkshire, England.;Domingo, D (corresponding author), Univ Durham, Dept Math Sci, Durham, England.;Malmierca-Vallet, I (corresponding author), British Antarctic Survey, Cambridge, England.</t>
  </si>
  <si>
    <t>dario.domingo@durham.ac.uk</t>
  </si>
  <si>
    <t>Capron, Emilie/ITU-2672-2023; Domingo, Dario/JUV-2910-2023; Sime, Louise/AAX-7730-2021; Voss, Jochen/F-9638-2012</t>
  </si>
  <si>
    <t>Domingo, Dario/0000-0001-8276-6779; Sime, Louise/0000-0002-9093-7926; Capron, Emilie/0000-0003-0784-1884; Malmierca Vallet, Irene/0000-0002-2871-9741; Voss, Jochen/0000-0002-2323-3814</t>
  </si>
  <si>
    <t>NERC [EP/M008363/1]; Carlsberg Foundation [NE/P009271/1, NE/P013279/1, NE/J004804/1]; NERC [bas0100034] Funding Source: UKRI</t>
  </si>
  <si>
    <t>NERC(UK Research &amp; Innovation (UKRI)Natural Environment Research Council (NERC)); Carlsberg Foundation(Carlsberg Foundation); NERC(UK Research &amp; Innovation (UKRI)Natural Environment Research Council (NERC))</t>
  </si>
  <si>
    <t>The authors thank the EPSRC-funded Past Earth Network (Grant EP/M008363/1), which funded the feasibility study giving rise to the present work, and acknowledge NERC funding for this work through Grants NE/P009271/1, NE/P013279/1, and NE/J004804/1 and through Irene Malmierca-Vallet's PhD studentship. Emilie Capron acknowledges financial support from the ChronoClimate project, funded by the Carlsberg Foundation. The authors thank Bo M. Vinther for fruitful discussions regarding the Greenland ice core data set. The authors also thank the two referees for their attentive reading of the manuscript and the valuable suggestions provided during the review phase.</t>
  </si>
  <si>
    <t>e2019JF005237</t>
  </si>
  <si>
    <t>10.1029/2019JF005237</t>
  </si>
  <si>
    <t>LU4QI</t>
  </si>
  <si>
    <t>WOS:000537741400004</t>
  </si>
  <si>
    <t>Fu, RR; Kehayias, P; Weiss, BP; Schrader, DL; Bai, XN; Simon, JB</t>
  </si>
  <si>
    <t>Fu, Roger R.; Kehayias, Pauli; Weiss, Benjamin P.; Schrader, Devin L.; Bai, Xue-Ning; Simon, Jacob B.</t>
  </si>
  <si>
    <t>Weak Magnetic Fields in the Outer Solar Nebula Recorded in CR Chondrites</t>
  </si>
  <si>
    <t>JOURNAL OF GEOPHYSICAL RESEARCH-PLANETS</t>
  </si>
  <si>
    <t>paleomagnetism; meteoritics; planet formation</t>
  </si>
  <si>
    <t>CHONDRULE FORMATION; REMANENT MAGNETIZATION; PALEOINTENSITY METHODS; THERMAL METAMORPHISM; DRIVEN ACCRETION; TEMPERATURE; EVOLUTION; SAMPLES; ORIGIN; DUST</t>
  </si>
  <si>
    <t>Theoretical investigations suggest that magnetic fields may have played an important role in driving rapid stellar accretion rates and efficient planet formation in protoplanetary disks. Experimental constraints on magnetic field strengths throughout the solar nebula can test the occurrence of magnetically driven disk accretion and the effect of magnetic fields on planetary accretion. Here we conduct paleomagnetic experiments on chondrule samples from primitive CR (Renazzo type) chondrites GRA 95229 and LAP 02342, which likely originated in the outer solar system between 3 and 7 AU approximately 3.7 million years after calcium aluminum-rich inclusion formation. By extracting and analyzing 18 chondrule subsamples that contain primary, igneous ferromagnetic minerals, we show that CR chondrules carry internally non-unidirectional magnetization that requires formation in a nebular magnetic field of &lt;= 8.0 +/- 4.3 mu T (2 sigma). These weak magnetic fields may be due to the secular decay of nebular magnetic fields by 3.7 million years after calcium aluminum-rich inclusions, spatial heterogeneities in the nebular magnetic field, or a combination of both effects. The possible inferred existence of spatial variations in the nebular magnetic field would be consistent with a prominent role for disk magnetism in the formation of density structures leading to gaps and planet formation.</t>
  </si>
  <si>
    <t>[Fu, Roger R.; Kehayias, Pauli] Harvard Univ, Dept Earth &amp; Planetary Sci, 20 Oxford St, Cambridge, MA 02138 USA; [Kehayias, Pauli] Sandia Natl Labs, POB 5800, Albuquerque, NM 87185 USA; [Weiss, Benjamin P.] MIT, Dept Earth Atmospher &amp; Planetary Sci, Cambridge, MA USA; [Schrader, Devin L.] Arizona State Univ, Sch Earth &amp; Space Explorat, Ctr Meteorite Studies, Tempe, AZ USA; [Bai, Xue-Ning] Tsinghua Univ, Inst Adv Study, Beijing, Peoples R China; [Simon, Jacob B.] Iowa State Univ Sci &amp; Technol, Dept Phys &amp; Astron, Ames, IA 50011 USA; [Simon, Jacob B.] Univ Colorado, JILA, Boulder, CO 80309 USA; [Simon, Jacob B.] NIST, Boulder, CO USA; [Simon, Jacob B.] Southwest Res Inst, Dept Space Studies, Boulder, CO USA</t>
  </si>
  <si>
    <t>Harvard University; United States Department of Energy (DOE); Sandia National Laboratories; Massachusetts Institute of Technology (MIT); Arizona State University; Arizona State University-Tempe; Tsinghua University; Iowa State University; University of Colorado System; University of Colorado Boulder; National Institute of Standards &amp; Technology (NIST) - USA; Southwest Research Institute</t>
  </si>
  <si>
    <t>Fu, RR (corresponding author), Harvard Univ, Dept Earth &amp; Planetary Sci, 20 Oxford St, Cambridge, MA 02138 USA.</t>
  </si>
  <si>
    <t>rogerfu@fas.harvard.edu</t>
  </si>
  <si>
    <t>BAI, XUENING/HZK-7227-2023; Schrader, Devin L/H-6293-2012; Bai, Xue-Ning/AAK-7772-2021; Bai, Xue-Ning/AGO-2685-2022; Kehayias, Pauli/AAW-1661-2020</t>
  </si>
  <si>
    <t>Bai, Xue-Ning/0000-0001-6906-9549; Kehayias, Pauli/0000-0002-7597-4358; Schrader, Devin/0000-0001-5282-232X; /0000-0003-3635-2676</t>
  </si>
  <si>
    <t>NASA Emerging Worlds Program Grant [NNX15AH72G]; National Science Foundation under NSF Award [1541959]; NASA [805546, NNX15AH72G] Funding Source: Federal RePORTER</t>
  </si>
  <si>
    <t>NASA Emerging Worlds Program Grant; National Science Foundation under NSF Award(National Science Foundation (NSF)); NASA(National Aeronautics &amp; Space Administration (NASA))</t>
  </si>
  <si>
    <t>We thank A. J. Brearley, A. N. Krot, and B. Zanda for discussions related to sample selection and petrography of the CR chondrites. We also thank K. Righter and C. E. Satterwhite for help sampling the two CR chondrites at the JSC Antarctic meteorites curation facility. We are grateful to J. F. D. F. Araujo and E. A. Lima for help with LAP 02342 data acquisition. Finally, we thank H. Wang and an anonymous reviewer for comments that improved the manuscript. This work was supported by NASA Emerging Worlds Program Grant NNX15AH72G to B. P. W. This work was performed in part at the Harvard Center for Nanoscale Systems (CNS), which is supported by the National Science Foundation under NSF Award 1541959. All demagnetization data reported in this study are available in the MagIC Database under Contribution 16701. All demagnetization data and raw images from the QDM and SQUID microscope are available in the Harvard Dataverse (Fu et al., 2020).</t>
  </si>
  <si>
    <t>2169-9097</t>
  </si>
  <si>
    <t>2169-9100</t>
  </si>
  <si>
    <t>J GEOPHYS RES-PLANET</t>
  </si>
  <si>
    <t>J. Geophys. Res.-Planets</t>
  </si>
  <si>
    <t>e2019JE006260</t>
  </si>
  <si>
    <t>10.1029/2019JE006260</t>
  </si>
  <si>
    <t>LU7BQ</t>
  </si>
  <si>
    <t>WOS:000537906800002</t>
  </si>
  <si>
    <t>Barnard, S; Van Goethem, MW; de Scally, SZ; Cowan, DA; van Rensburg, PJ; Claassens, S; Makhalanyane, TP</t>
  </si>
  <si>
    <t>Barnard, Sebastian; Van Goethem, Marc W.; de Scally, Storme Z.; Cowan, Don A.; van Rensburg, Peet Jansen; Claassens, Sarina; Makhalanyane, Thulani P.</t>
  </si>
  <si>
    <t>Increased temperatures alter viable microbial biomass, ammonia oxidizing bacteria and extracellular enzymatic activities in Antarctic soils</t>
  </si>
  <si>
    <t>FEMS MICROBIOLOGY ECOLOGY</t>
  </si>
  <si>
    <t>ammonia oxidation; Antarctica; functionality; nitrogen cycling; microbial communities; PFLA</t>
  </si>
  <si>
    <t>DRY VALLEY; ARCHAEA; NITRIFICATION; COMMUNITIES; DIVERSITY; OXIDATION; ABUNDANCE; NITROGEN; GENES; AVAILABILITY</t>
  </si>
  <si>
    <t>The effects of temperature on microorganisms in high latitude regions, and their possible feedbacks in response to change, are unclear. Here, we assess microbial functionality and composition in response to a substantial temperature change. Total soil biomass, amoA gene sequencing, extracellular activity assays and soil physicochemistry were measured to assess a warming scenario. Soil warming to 15 degrees C for 30 days triggered a significant decrease in microbial biomass compared to baseline soils (0 degrees C; P &lt; 0.05) after incubations had induced an initial increase. These changes coincided with increases in extracellular enzymatic activity for peptide hydrolysis and phenolic oxidation at higher temperatures, but not for the degradation of carbon substrates. Shifts in ammonia-oxidising bacteria (AOB) community composition related most significantly to changes in soil carbon content (P &lt; 0.05), which gradually increased in microcosms exposed to a persistently elevated temperature relative to baseline incubations, while temperature did not influence AOBs. The concentration of soil ammonium (NH4+) decreased significantly at higher temperatures subsequent to an initial increase, possibly due to higher conversion rates of NH4+ to nitrate by nitrifying bacteria. We show that higher soil temperatures may reduce viable microbial biomass in cold environments but stimulate their activity over a short period.</t>
  </si>
  <si>
    <t>[Barnard, Sebastian; Van Goethem, Marc W.; de Scally, Storme Z.; Cowan, Don A.; Makhalanyane, Thulani P.] Univ Pretoria, Ctr Microbial Ecol &amp; Genom, Dept Biochem Genet &amp; Microbiol, Nat Sci 2 Bldg,Off 3-14, ZA-0028 Pretoria, South Africa; [van Rensburg, Peet Jansen] North West Univ, Focus Area Human Metabol, Potchefstroom Campus,Private Bag X6001, ZA-2520 Potchefstroom, South Africa; [Claassens, Sarina] North West Univ, Unit Environm Sci &amp; Management, Potchefstroom Campus,Private Bag X6001, ZA-2520 Potchefstroom, South Africa; [Van Goethem, Marc W.] Lawrence Berkeley Natl Lab, Environm Genom &amp; Syst Biol Div, Berkeley, CA USA</t>
  </si>
  <si>
    <t>University of Pretoria; North West University - South Africa; North West University - South Africa; United States Department of Energy (DOE); Lawrence Berkeley National Laboratory</t>
  </si>
  <si>
    <t>Makhalanyane, TP (corresponding author), Univ Pretoria, Ctr Microbial Ecol &amp; Genom, Dept Biochem Genet &amp; Microbiol, Nat Sci 2 Bldg,Off 3-14, ZA-0028 Pretoria, South Africa.</t>
  </si>
  <si>
    <t>thulani.makhalanyane@up.ac.za</t>
  </si>
  <si>
    <t>Van Goethem, Marc Warwick/HNC-2411-2023; Cowan, Donald A/E-3991-2012; van Rensburg, Peet Jansen/F-9004-2010; Van Goethem, Marc/IZE-2222-2023; Makhalanyane, Thulani P./C-6815-2012; Claassens, Sarina/F-8944-2010; Van Goethem, Marc/AAV-3022-2020</t>
  </si>
  <si>
    <t>Van Goethem, Marc Warwick/0000-0001-8688-3323; Cowan, Donald A/0000-0001-8059-861X; van Rensburg, Peet Jansen/0000-0001-6911-1866; Makhalanyane, Thulani P./0000-0002-8173-1678; Claassens, Sarina/0000-0003-3955-4361;</t>
  </si>
  <si>
    <t>National Research Foundation's South African National Antarctic Program(SANAP) [110717, 118981, 114412]</t>
  </si>
  <si>
    <t>National Research Foundation's South African National Antarctic Program(SANAP)</t>
  </si>
  <si>
    <t>We gratefully acknowledge funding from the National Research Foundation's South African National Antarctic Program(SANAP) (Grant IDs 110717, 118981 and 114412).</t>
  </si>
  <si>
    <t>0168-6496</t>
  </si>
  <si>
    <t>1574-6941</t>
  </si>
  <si>
    <t>FEMS MICROBIOL ECOL</t>
  </si>
  <si>
    <t>FEMS Microbiol. Ecol.</t>
  </si>
  <si>
    <t>fiaa065</t>
  </si>
  <si>
    <t>10.1093/femsec/fiaa065</t>
  </si>
  <si>
    <t>LT9LO</t>
  </si>
  <si>
    <t>WOS:000537387400020</t>
  </si>
  <si>
    <t>Huang, YH; Sun, CJ; Yang, GP; Yue, XN; Jiang, FH; Cao, W; Yin, XF; Guo, CN; Niu, JH; Ding, HB</t>
  </si>
  <si>
    <t>Huang Yuhuan; Sun Chengjun; Yang Guipeng; Yue Xinan; Jiang Fenghua; Cao Wei; Yin Xiaofei; Guo Chaonan; Niu Jiaohong; Ding Haibing</t>
  </si>
  <si>
    <t>Geochemical characteristics of hadal sediment in the northern Yap Trench</t>
  </si>
  <si>
    <t>Yap Trench; hadal zone; Jiaolong Submersible; sediment metal elements; sedimentary environment</t>
  </si>
  <si>
    <t>MARIANA TRENCH; PACIFIC; DEEP; ACCUMULATION; RATES</t>
  </si>
  <si>
    <t>Two sediment cores were retrieved in the hadal zone of the Yap Trench, and their concentrations of six major elements Mg, Al, Ca, Ti, Mn and Fe and nine trace elements Sr, Ba, Pb, V, Cr, Co, Ni, Cu and Zn were determined in inductively coupled plasma atomic emission spectrometry (ICP-AES). According to the vertical distribution profiles of the 15 elements, the correlation of their concentrations, the ratios of Ni/Co, V/Cr, Fe/Al, and Ti/Al, and morphological characteristics of the sediment samples, the implications of the depositional environment and the sediment provenance were analyzed. The results show that the ratio of Ni/Co in all depths of the two sediment cores were below 5, and the ratio of V/Cr were lower than 2, indicating that the depositional environment of the hadal zone in the trench was oxidative and might have inflow of the Antarctic bottom oxygen-rich water. The sediment samples on the eastern side of the trench were siliceous mud mainly composed of diatoms, radiolarian, and sponge needles from surface to deep layer. The vertical profile of the elements, the concentration of TOC and the fossil record indicated that the sediment sample from station Dive113 was well mixed from surface to bottom layer. Based on the correlation of concentrations of the elements, the morphological characteristics of the sediment, and the ratios of Fe/Al and Ti/Al, we inferred that the sediment in the hadal zone of the trench had terrestrial, volcanic, biological, and authigenic sources. Major source of the sediment in the eastern side of the trench were terrestrial; whereas the sediment in the western side of the trench received more volcaniclastic input.</t>
  </si>
  <si>
    <t>[Huang Yuhuan; Yang Guipeng; Guo Chaonan; Niu Jiaohong; Ding Haibing] Ocean Univ China, Key Lab Marine Chem Theory &amp; Technol, Minist Educ, Qingdao 266100, Peoples R China; [Sun Chengjun; Jiang Fenghua; Cao Wei; Yin Xiaofei] Minist Nat Resources, Inst Oceanog 1, Key Lab Marine Ecoenvironm Sci &amp; Technol, Marine Bioresource &amp; Environm Res Ctr, Qingdao 266061, Peoples R China; [Huang Yuhuan; Yang Guipeng; Guo Chaonan; Niu Jiaohong] Ocean Univ China, Coll Chem &amp; Chem Engn, Qingdao 266100, Peoples R China; [Sun Chengjun; Yang Guipeng; Ding Haibing] Pilot Natl Lab Marine Sci &amp; Technol, Marine Ecol &amp; Environm Sci Lab, Qingdao 266237, Peoples R China; [Yang Guipeng; Ding Haibing] Qingdao Collaborat Innovat Ctr Marine Sci &amp; Techn, Qingdao 266100, Peoples R China; [Yue Xinan] State Ocean Adm, South China Sea Environm Monitoring Ctr, Guangzhou 510300, Peoples R China</t>
  </si>
  <si>
    <t>Ocean University of China; Ministry of Natural Resources of the People's Republic of China; First Institute of Oceanography, Ministry of Natural Resources; Ocean University of China; Laoshan Laboratory</t>
  </si>
  <si>
    <t>Ding, HB (corresponding author), Ocean Univ China, Key Lab Marine Chem Theory &amp; Technol, Minist Educ, Qingdao 266100, Peoples R China.;Ding, HB (corresponding author), Pilot Natl Lab Marine Sci &amp; Technol, Marine Ecol &amp; Environm Sci Lab, Qingdao 266237, Peoples R China.;Ding, HB (corresponding author), Qingdao Collaborat Innovat Ctr Marine Sci &amp; Techn, Qingdao 266100, Peoples R China.</t>
  </si>
  <si>
    <t>dinghb@ouc.edu.cn</t>
  </si>
  <si>
    <t>Yang, Gui-Peng/GZG-6468-2022; JIANG, Feng/HTP-2862-2023; Yue, Xinan/AAQ-1587-2020</t>
  </si>
  <si>
    <t>Yang, Gui-Peng/0000-0002-0107-4568; Yue, Xinan/0000-0003-3379-9392; Huang, Yuhuan/0000-0001-7971-5970</t>
  </si>
  <si>
    <t>10.1007/s00343-019-9010-3</t>
  </si>
  <si>
    <t>LS8BL</t>
  </si>
  <si>
    <t>WOS:000536606000006</t>
  </si>
  <si>
    <t>Poblete-Morales, M; Rabert, C; Olea, AF; Carrasco, H; Calderón, R; Corsini, G; Silva-Moreno, E</t>
  </si>
  <si>
    <t>Poblete-Morales, Matias; Rabert, Claudia; Olea, Andres F.; Carrasco, Hector; Calderon, Raul; Corsini, Gino; Silva-Moreno, Evelyn</t>
  </si>
  <si>
    <t>Genome Sequence of Pseudomonas sp. Strain AN3A02, Isolated from Rhizosphere of Deschampsia antarctica Desv., with Antagonism against Botrytis cinerea</t>
  </si>
  <si>
    <t>MICROBIOLOGY RESOURCE ANNOUNCEMENTS</t>
  </si>
  <si>
    <t>Here, we announce the draft genome sequence of Pseudomonas sp. strain AN3A02, isolated from the rhizosphere of one of the only two species of vascular plants existing in the Antarctic continent, Deschampsia antarctica Desv. This isolate, which inhibited the mycelial growth of Botrytis cinerea in dual culture, has a genome sequence of 6,778,644 bp, with a G+C content of 60.4%. These draft genome sequence data provide insight into the genetics underpinning the antifungal activity of this strain.</t>
  </si>
  <si>
    <t>[Poblete-Morales, Matias; Rabert, Claudia; Corsini, Gino; Silva-Moreno, Evelyn] Univ Autonoma Chile, Inst Ciencias Biomed, Fac Ciencias Salud, Santiago, Chile; [Olea, Andres F.; Carrasco, Hector] Univ Autonoma Chile, Fac Ingn, Inst Ciencias Quim Aplicadas, Santiago, Chile; [Calderon, Raul] Univ Bernardo OHiggins, Ctr Invest Recursos Nat &amp; Sustentabilidad, Santiago, Chile; [Silva-Moreno, Evelyn] INIA La Platina, Inst Invest Agr, Santiago, Chile</t>
  </si>
  <si>
    <t>Universidad Autonoma de Chile; Universidad Autonoma de Chile; Universidad Bernardo O'Higgins</t>
  </si>
  <si>
    <t>Silva-Moreno, E (corresponding author), Univ Autonoma Chile, Inst Ciencias Biomed, Fac Ciencias Salud, Santiago, Chile.;Silva-Moreno, E (corresponding author), INIA La Platina, Inst Invest Agr, Santiago, Chile.</t>
  </si>
  <si>
    <t>evelyn.silva@inia.cl</t>
  </si>
  <si>
    <t>Poblete-Morales, Matías/AAS-1973-2020; Olea, Andres F/AAF-6955-2019</t>
  </si>
  <si>
    <t>Poblete-Morales, Matías/0000-0001-9064-3285; Olea, Andres F/0000-0001-8007-6264; Corsini, Gino/0000-0002-0418-8616; Rabert, Claudia/0000-0001-8179-9245</t>
  </si>
  <si>
    <t>FONDEF [17AL0007, 17I10094]; Universidad Autonoma de Chile, Programa de Doctorado en Ciencias Biomedicas</t>
  </si>
  <si>
    <t>FONDEF; Universidad Autonoma de Chile, Programa de Doctorado en Ciencias Biomedicas</t>
  </si>
  <si>
    <t>This work was supported by FONDEF grants ID17AL0007 and ID17I10094 and a doctoral fellowship from Universidad Autonoma de Chile, Programa de Doctorado en Ciencias Biomedicas.</t>
  </si>
  <si>
    <t>2576-098X</t>
  </si>
  <si>
    <t>MICROBIOL RESOUR ANN</t>
  </si>
  <si>
    <t>Microbiol. Resour. Ann.</t>
  </si>
  <si>
    <t>e00320-20</t>
  </si>
  <si>
    <t>10.1128/MRA.00320-20</t>
  </si>
  <si>
    <t>LR9VT</t>
  </si>
  <si>
    <t>WOS:000536043400017</t>
  </si>
  <si>
    <t>Lee, J; Hur, SD; Lim, HS; Jung, H</t>
  </si>
  <si>
    <t>Lee, Jeonghoon; Hur, Soon Do; Lim, Hyoun Soo; Jung, Hyejung</t>
  </si>
  <si>
    <t>Isotopic characteristics of snow and its meltwater over the Barton Peninsula, Antarctica</t>
  </si>
  <si>
    <t>ONE-DIMENSIONAL MODEL; KING-GEORGE ISLAND; SEASONAL SNOWPACK; ICE CORE; WATER; EVOLUTION; CLIMATE; SURFACE; VARIABILITY; DELTA-O-18</t>
  </si>
  <si>
    <t>The stable isotopic compositions of snow and meltwater are a very useful tool to investigate water provenances and to increase the accuracy of paleoclimate studies in glacial watershed systems. To better understand the factors that affect the isotopic compositions of snow and meltwater in the western Antarctic Peninsula, the isotopic compositions of snow/ice and meltwater from the Barton Peninsula in Antarctica were examined. The isotopic compositions of snow are more enriched than those of meltwater and the variability of the isotopic compositions decreases from snow to meltwater. The melting process changes the linear slope between two water isotopes, which is different from the meteoric water line. We observe that the isotopic compositions of snow are altered by tephra, which results in isotopically enriched snow that is covered by tephra. This tephra decreases the snow's albedo, and the increased energy that is absorbed by the snow surface increases the melting rate, which causes isotopic exchange between liquid water and ice. Hydrological processes, such as daily variations in the melting rate and contributions from groundwater/runoff to seawater, also affect the isotopic compositions of water over the Barton Peninsula. Our works imply that uncertainty caused by these variations should be considered when applying stable water isotopes in this area for water flowpath and paleoclimate study.</t>
  </si>
  <si>
    <t>[Lee, Jeonghoon; Jung, Hyejung] Ewha Womans Univ, Dept Sci Educ, Seoul 03760, South Korea; [Hur, Soon Do] Korea Polar Res Inst, Incheon 21990, South Korea; [Lim, Hyoun Soo] Pusan Natl Univ, Dept Geol Sci, Busan 46231, South Korea</t>
  </si>
  <si>
    <t>Ewha Womans University; Korea Polar Research Institute (KOPRI); Pusan National University</t>
  </si>
  <si>
    <t>Lee, J (corresponding author), Ewha Womans Univ, Dept Sci Educ, Seoul 03760, South Korea.</t>
  </si>
  <si>
    <t>jeonghoon.d.lee@gmail.com</t>
  </si>
  <si>
    <t>Lim, Hyoun Soo/AAC-5499-2022; Lee, Jeonghoon/E-8116-2010</t>
  </si>
  <si>
    <t>Lim, Hyoun Soo/0000-0002-2489-4470; Jung, Hyejung/0000-0003-0211-6501</t>
  </si>
  <si>
    <t>Polar Academic Program (PAP) from the Korea Polar Research Institute [PE20190]; [KIMST20190361]</t>
  </si>
  <si>
    <t>Polar Academic Program (PAP) from the Korea Polar Research Institute;</t>
  </si>
  <si>
    <t>This work was funded by a research grant (PE20190), the Polar Academic Program (PAP) from the Korea Polar Research Institute and a research grant from the Korean Ministry of Oceans and Fisheries (KIMST20190361). We appreciate two anonymous reviewers for valuable comments, which improve the quality of our manuscript.</t>
  </si>
  <si>
    <t>10.1016/j.coldregions.2020.102997</t>
  </si>
  <si>
    <t>LR4NV</t>
  </si>
  <si>
    <t>WOS:000535674500012</t>
  </si>
  <si>
    <t>Crosta, X; Shukla, SK; Ther, O; Ikehara, M; Yamane, M; Yokoyama, Y</t>
  </si>
  <si>
    <t>Crosta, Xavier; Shukla, Sunil Kumar; Ther, Olivier; Ikehara, Minoru; Yamane, Masako; Yokoyama, Yusuke</t>
  </si>
  <si>
    <t>Last Abundant Appearance Datum of Hemidiscus karstenii driven by climate change</t>
  </si>
  <si>
    <t>DIATOM FRAGILARIOPSIS-KERGUELENSIS; SEA-SURFACE TEMPERATURE; SOUTHERN-OCEAN SEDIMENTS; LATE QUATERNARY; INDIAN-OCEAN; GLACIAL MAXIMUM; ANTARCTIC ICE; ADELIE LAND; SECTOR; RECORD</t>
  </si>
  <si>
    <t>The Last Abundant Appearance Datum of the endemic Southern Ocean diatom Hemisdiscus karstenii Jouse is dated at around 190,000 years Before Present, which provides a robust and convenient biostratigraphic marker to Late Pleistocene paleoceanographic studies. However, no prior studies have sought to understand what processes may have driven H. karstenii to extinction. We here present the first morphometric investigation of H. karstenii over Marine Isotope Stage (MIS) 10 to 6 (355,000 years to 150,000 years). The combination of these data to records of H. karstenii absolute abundances, Fragilariopsis kerguelensis biometry and absolute abundances, and southern high-latitude air and ocean temperatures over the past 355,000 years suggests that H. karstenii populations reduced their mean size and productivity in response to the rapid drop in temperatures across the MIS 7 to MIS 6 glacial inception. This prolonged cooling event may have pushed H. karstenii to its adaptive limit until it could not sustain physiological viability. The repetitive occurrence of very cold events during the early MIS 6 may have additionally prevented surviving populations of H. karstenii from re-establishing abundant communities leading to extinction late in MIS 6.</t>
  </si>
  <si>
    <t>[Crosta, Xavier; Ther, Olivier] Univ Bordeaux, UMR 5805 EPOC, F-33615 Pessac, France; [Shukla, Sunil Kumar] Birbal Sahni Inst Paleosci, 53 Univ Rd, Lucknow 226007, Uttar Pradesh, India; [Ikehara, Minoru] Kochi Univ, Ctr Adv Marine Core Res, Kochi, Japan; [Yamane, Masako; Yokoyama, Yusuke] Univ Tokyo, Atmosphere &amp; Ocean Res Inst, Tokyo, Japan; [Yamane, Masako] Nagoya Univ, Inst Space Earth Environm Res, Nagoya, Aichi, Japan; [Yokoyama, Yusuke] Japan Agcy Marine Earth Sci &amp; Technol JAMSTEC, Biogeochem Program, Yokosuka, Kanagawa, Japan</t>
  </si>
  <si>
    <t>Universite de Bordeaux; Department of Science &amp; Technology (India); Birbal Sahni Institute of Palaeobotany (BSIP); Kochi University; University of Tokyo; Nagoya University; Japan Agency for Marine-Earth Science &amp; Technology (JAMSTEC)</t>
  </si>
  <si>
    <t>Crosta, X (corresponding author), Univ Bordeaux, UMR 5805 EPOC, F-33615 Pessac, France.</t>
  </si>
  <si>
    <t>xavier.crosta@u-bordeaux.fr</t>
  </si>
  <si>
    <t>Shukla, Sunil/GLR-0323-2022</t>
  </si>
  <si>
    <t>Shukla, Sunil/0000-0002-7517-5564; Ikehara, Minoru/0000-0002-2695-4713; Yamane, Masako/0000-0002-5063-0719</t>
  </si>
  <si>
    <t>SERB Overseas Postdoctoral Fellowship; JSPS KAKENHI [JP19340156, JP23244102, JP17H06318]; Grants-in-Aid for Scientific Research [20H00193] Funding Source: KAKEN</t>
  </si>
  <si>
    <t>SERB Overseas Postdoctoral Fellowship;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</si>
  <si>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are grateful to chief scientist Dr. Y. Nogi (National Institute of Polar Research), and the captain, crew, scientists and students of Cruise KH10-07 onboard R/V Hakuho-Maru in 2010. We are thankful to two anonymous reviewers, guest editor Reed Scherer and Marine Micropaleontology editor-in-chief Ric Jordan for their helpful comments and corrections. This work was funded by the SERB Overseas Postdoctoral Fellowship 2017 attributed to SKS to visit XC and the JSPS KAKENHI (Grants-in-Aid for Scientific Research) Grant Numbers JP19340156, JP23244102, JP17H06318 attributed to MI.</t>
  </si>
  <si>
    <t>10.1016/j.marmicro.2020.101861</t>
  </si>
  <si>
    <t>LR2OV</t>
  </si>
  <si>
    <t>WOS:000535536000006</t>
  </si>
  <si>
    <t>Warne, MT</t>
  </si>
  <si>
    <t>Warne, Mark T.</t>
  </si>
  <si>
    <t>The marine ostracod genus Tasmanocypris McKenzie, 1979 from the Neogene of southeastern Australia: Systematic and palaeoceanographical relationships, palaeoecology and palaeobiogeography</t>
  </si>
  <si>
    <t>Ostracoda; Paracypridinae; Tasmanocypris; Late Miocene; Antarctic Circumpolar Current; Bass Strait; Southeastern Australia</t>
  </si>
  <si>
    <t>GIPPSLAND BASIN; LEEUWIN CURRENT; THALASSOCYPRIDINE OSTRACODA; SOUTHERN AUSTRALIA; OTWAY BASIN; PLIOCENE; EVOLUTION; CRUSTACEA; ISLANDS; MIOCENE</t>
  </si>
  <si>
    <t>A new fossil paracypridine ostracod, Tasmanocypris lochardi sp.nov. is described from late Miocene shallow marine strata of southeastern Australia. It has morphological features similar to a number of modern southern Australian and southwest African Tasmanocypris species, here termed the dartnalli-group. This species group was likely present in early Cenozoic temperate, shallow seas around Antarctica. The first appearance of Tasmanocypris lochardi in late Miocene marine strata of the Bass Strait hinterland of SE Australia, equates to a late Miocene (9-7 Ma) intensification and northward latitudinal shift of the Antarctic Circumpolar Current (ACC). Late Miocene occurrences of Tasmanocypris lochardi in southeast Australia were likely associated with temperate eastward flows of the ACC north of the Subantarctic Front. During the early Pliocene, the warm Zeehan Current (aka Leeuwin Current) replaced the ACC as the dominant easterly flowing current across Bass Strait, and this 4.4 Ma palaeoceanographical event correlates with the temporary, but widespread disappearance of T. lochardi from southeast Australian marine waters. However, the presence of refugia populations of T. lochardi along the east Australian continental shelf between 4.4 and 3.4 Ma, likely enabled the brief re-establishment of T. lochardi in the east of Bass Strait during the late Pliocene (3.2-3.0 Ma). Tasmanocypris lochardi became permanently extinct in this region during the latest Pliocene to early Pleistocene ( &lt; 2.6 Ma), broadly correlating with the onset of the global Quaternary glaciation, and inception of the cold Bass Cascade winter current within Bass Strait.</t>
  </si>
  <si>
    <t>[Warne, Mark T.] Deakin Univ, Geelong, Vic, Australia; [Warne, Mark T.] Sch Life &amp; Environm Sci, Melbourne Campus,221 Burwood Highway, Burwood, Vic 3125, Australia; [Warne, Mark T.] Ctr Integrat Ecol, Melbourne Campus,221 Burwood Highway, Burwood, Vic 3125, Australia</t>
  </si>
  <si>
    <t>Deakin University</t>
  </si>
  <si>
    <t>Warne, MT (corresponding author), Deakin Univ, Geelong, Vic, Australia.;Warne, MT (corresponding author), Sch Life &amp; Environm Sci, Melbourne Campus,221 Burwood Highway, Burwood, Vic 3125, Australia.;Warne, MT (corresponding author), Ctr Integrat Ecol, Melbourne Campus,221 Burwood Highway, Burwood, Vic 3125, Australia.</t>
  </si>
  <si>
    <t>mwarne@deakin.edu.au</t>
  </si>
  <si>
    <t>Warne, Mark/I-1890-2016</t>
  </si>
  <si>
    <t>Warne, Mark/0000-0001-5456-191X</t>
  </si>
  <si>
    <t>Deakin University Faculty of Science, Engineering and the Built Environment; Deakin University School of Life and Environmental Sciences</t>
  </si>
  <si>
    <t>The author thanks Dr. Stephen Keable of the Australian Museum, Sydney for access to the type material of T. dartnalli. Museum Victoria staff, in particular Drs David Holloway and Rolf Schmidt are thanked for access to the museum's 'stratigraphic collections'. Ms. Selma Kumbaric and Ms. Sam Crook are thanked for access to fossil ostracod data from the Jemmys Point Formation, and Tambo River Formation of the Gippsland Basin. Dr. Peter Frenzel is thanked for discussions on the taxonomy of some South African paracypridine species. Dr. Nicholas Porch of Deakin University is thanked for the light microscope images presented in Fig. 3. Mr. John Ward and Ms. Tamara Camilleri of Deakin University assisted with SEM photography. Two reviewers and the editor, Professor Richard Jordan, are thanked for their constructive critisms of the original manuscript. An oral presentation at the 18th International Symposium in Ostracoda in part formed the basis for this paper. Funding from the Deakin University Faculty of Science, Engineering and the Built Environment, and School of Life and Environmental Sciences currently supports research work by Mark Warne.</t>
  </si>
  <si>
    <t>10.1016/j.marmicro.2020.101855</t>
  </si>
  <si>
    <t>WOS:000535536000001</t>
  </si>
  <si>
    <t>Turnbull, A; Malhi, N; Seger, A; Harwood, T; Jolley, J; Fitzgibbon, Q; Hallegraeff, G</t>
  </si>
  <si>
    <t>Turnbull, Alison; Malhi, Navreet; Seger, Andreas; Harwood, Tim; Jolley, Jessica; Fitzgibbon, Quinn; Hallegraeff, Gustaaf</t>
  </si>
  <si>
    <t>Paralytic shellfish toxin uptake, tissue distribution, and depuration in the Southern Rock Lobster Jasus edwardsii Hutton</t>
  </si>
  <si>
    <t>HARMFUL ALGAE</t>
  </si>
  <si>
    <t>PST analogues; Spiny lobster; Hepatopancreas; Toxicokinetics</t>
  </si>
  <si>
    <t>KARENIA-BREVIS BLOOMS; SPINY LOBSTER; LIQUID-CHROMATOGRAPHY; POSTMORTEM ANALYSIS; POISONING TOXINS; TRANSFORMATION; METABOLISM; BREVETOXIN; SAXITOXIN; EXPOSURE</t>
  </si>
  <si>
    <t>Up to 13.6 mg STX.2HCl equiv. kg(-1) of paralytic shellfish toxins (PST) have been found in the hepatopancreas of Southern Rock Lobster, Jasus edwardsii, on the east coast of Tasmania. Blooms of the toxic dinoflagellate Alexandrium catenella have been reported in this region since 2012. Experimental work was undertaken to improve the understanding of the uptake and depuration mechanisms involved. Adult male lobsters were fed highly toxic mussels (6 mg STX.2HCl equiv. kg(-1)) sourced from the impacted area. The apparent feed intake of the lobster was positively correlated to increasing PST levels in the hepatopancreas. Toxins accumulated rapidly in the hepatopancreas reaching a maximum of 9.0 mg STX.2HCl equiv. kg(-1), then depurated at a rate of 7% per day once toxic fed was removed. However, PST were not detected at significant levels in the haemolymph of these animals. Notable increases occurred in the relative amount of several PST analogues in the hepatopancreas, including GTX2&amp;3, C1&amp;2 and several decarbomoyl toxins in comparison to the profile observed in contaminated mussel feed. The concentration of PST in lobster antennal glands was two orders of magnitude lower than concentrations found in the hepatopancreas. This is the first report of PST in lobster antennal glands which, along with the gills, represent possible excretion routes for PST. Implications for biotoxin risk monitoring are: lobsters will continue to feed during bloom periods and high concentrations of PST can occur; animal collection should be frequent at the start of a bloom in case of a rapid accumulation of PST; and non-lethal sampling is not possible as haemolymph PST levels do not reflect what is in the hepatopancreas.</t>
  </si>
  <si>
    <t>[Turnbull, Alison; Malhi, Navreet; Seger, Andreas; Jolley, Jessica] South Australian Res &amp; Dev Inst, GPO Box 397, Adelaide, SA 5001, Australia; [Turnbull, Alison; Fitzgibbon, Quinn; Hallegraeff, Gustaaf] Univ Tasmania, Inst Marine &amp; Antarctic Studies, Private Bag 129, Hobart, Tas, Australia; [Harwood, Tim] Cawthron Inst, 98 Halifax St East, Nelson 7010, New Zealand</t>
  </si>
  <si>
    <t>South Australian Research &amp; Development Institute (SARDI); University of Tasmania</t>
  </si>
  <si>
    <t>Turnbull, A (corresponding author), Univ Tasmania, Inst Marine &amp; Antarctic Studies, Private Bag 129, Hobart, Tas, Australia.</t>
  </si>
  <si>
    <t>Alison.Turnbull@utas.edu.au</t>
  </si>
  <si>
    <t>Seger, Andreas/AAH-4093-2019; Hallegraeff, Gustaaf/C-8351-2013</t>
  </si>
  <si>
    <t>Seger, Andreas/0000-0001-7018-0455; Harwood, David/0000-0001-7222-5979; Hallegraeff, Gustaaf/0000-0001-8464-7343; Turnbull, Alison/0000-0001-5701-8728; Fitzgibbon, Quinn/0000-0002-1104-3052</t>
  </si>
  <si>
    <t>Southern Rocklobster Limited; Australian Seafood Cooperative Research Centre; Fisheries Research and Development Corporation; South Australian Research and Development Institute [FRDC 2017-051, FRDC 2017086]</t>
  </si>
  <si>
    <t>Southern Rocklobster Limited; Australian Seafood Cooperative Research Centre(Australian GovernmentDepartment of Industry, Innovation and ScienceCooperative Research Centres (CRC) Programme); Fisheries Research and Development Corporation; South Australian Research and Development Institute</t>
  </si>
  <si>
    <t>This research was funded by Southern Rocklobster Limited, the Australian Seafood Cooperative Research Centre, the Fisheries Research and Development Corporation and the South Australian Research and Development Institute [grant numbers FRDC 2017-051 and FRDC 2017086]. The funding bodies had no role in the study design; collection, analysis and interpretation of the data; writing of the report; or the decision to submit the work for publication. The authors wish to thank Elliot Brown, Geoff Holds and Jan Lee for technical support [CG].</t>
  </si>
  <si>
    <t>1568-9883</t>
  </si>
  <si>
    <t>1878-1470</t>
  </si>
  <si>
    <t>Harmful Algae</t>
  </si>
  <si>
    <t>10.1016/j.hal.2020.101818</t>
  </si>
  <si>
    <t>LP8UH</t>
  </si>
  <si>
    <t>WOS:000534592200005</t>
  </si>
  <si>
    <t>Lanabere, V; Dasso, S; Gulisano, AM; López, VE; Niemelä-Celeda, AE</t>
  </si>
  <si>
    <t>Lanabere, V; Dasso, S.; Gulisano, A. M.; Lopez, V. E.; Niemela-Celeda, A. E.</t>
  </si>
  <si>
    <t>Space weather service activities and initiatives at LAMP (Argentinean Space Weather Laboratory group)</t>
  </si>
  <si>
    <t>ADVANCES IN SPACE RESEARCH</t>
  </si>
  <si>
    <t>Space weather; Research to operations; The sun; The interplanetary medium; The magnetosphere; The ionosphere</t>
  </si>
  <si>
    <t>CORONAL MASS EJECTIONS; MAGNETIC STORMS; ECONOMIC-IMPACT; PROTON EVENTS; SOLAR; ERUPTIONS; DYNAMICS; PHASE; RATES</t>
  </si>
  <si>
    <t>Since more than one decade ago, several institutions started to offer a large variety of Operative Space Weather (SWx) products. This is of major importance because Space Weather events can affect aviation communications, global positioning systems, grid electric power, satellite technologies, and human health in space. The scientific potential on solar-terrestrial physics in Argentina motivated the creation of an interdisciplinary Laboratory of Space Weather in Argentina. The Argentinean Space Weather Laboratory (in Spanish 'Laboratorio Argentino de Meteorologia del esPacio', LAMP) was initiated in 2016, and it carries out daily monitoring of real-time information (space and ground-based instruments) on Space Weather. The information is synthesized on a weekly bulletin as a summary of the Space Weather conditions, and it is posted on a website (spaceweather.at.fcen.uba.ar). The analyzed information includes own data and of other centers that offer them publicly, and it is also analyzed and discussed later on, during monthly briefings. In particular, one of the regional products that is included in the briefing discussions and it was developed by LAMP in collaboration with INPE-EMBRACE, involves Vertical Total Electron Content (VTEC) maps in the Argentinean region. LAMP set up a Space Weather Laboratory in the Antarctic peninsula, in the Argentine Marambio base, where a Water Cherenkov radiation Detector (WCD) was installed during the Argentinean Antarctic campaign (January-March of 2019). This detector is the southern node of a Latin American Collaboration (LAGO, Latin American Giant Observatory), which is a network of WCDs installed throughout more than 10 Latin American countries. (C) 2019 COSPAR. Published by Elsevier Ltd. All rights reserved.</t>
  </si>
  <si>
    <t>[Lanabere, V; Dasso, S.; Lopez, V. E.; Niemela-Celeda, A. E.] Univ Buenos Aires, Fac Ciencias Exactas &amp; Nat, Dept Ciencias Atmosfera &amp; Oceanos, Intendente Guiraldes 2160,Ciudad Univ,C1428EGA, Buenos Aires, DF, Argentina; [Dasso, S.; Gulisano, A. M.] Univ Buenos Aires, Inst Astron &amp; Fis Espacio, CONICET, Intendente Guiraldes 2160,Ciudad Univ,C1428ZAA, Buenos Aires, DF, Argentina; [Dasso, S.; Gulisano, A. M.] Univ Buenos Aires, Fac Ciencias Exactas &amp; Nat, Dept Fis, Intendente Guiraldes 2160,Ciudad Univ,C1428EGA, Buenos Aires, DF, Argentina; [Gulisano, A. M.] Inst Antartico Argentino, Direcc Nacl Antartico, Av 25 Mayo 1143, RA-1650 San Martin, Buenos Aires, Argentina; [Lopez, V. E.] Serv Meteorol Nacl, Av Dorrego 4019,C1425GBE, Buenos Aires, DF, Argentina</t>
  </si>
  <si>
    <t>University of Buenos Aires; Instituto de Astronomia y Fisica del Espacio (IAFE); University of Buenos Aires; Consejo Nacional de Investigaciones Cientificas y Tecnicas (CONICET); University of Buenos Aires; Instituto Antartico Argentino</t>
  </si>
  <si>
    <t>Lanabere, V (corresponding author), Univ Buenos Aires, Fac Ciencias Exactas &amp; Nat, Dept Ciencias Atmosfera &amp; Oceanos, Intendente Guiraldes 2160,Ciudad Univ,C1428EGA, Buenos Aires, DF, Argentina.</t>
  </si>
  <si>
    <t>vlanabere@at.fcen.uba.ar</t>
  </si>
  <si>
    <t>Gulisano, AM/HTQ-2717-2023; Gulisano, Adriana M./AAD-9554-2021; Dasso, Sergio/AAY-2543-2020</t>
  </si>
  <si>
    <t>Gulisano, Adriana M./0000-0002-2234-4432; Dasso, Sergio/0000-0002-7680-4721; Lanabere, Vanina/0000-0003-2590-9627; Niemela, Antonio Esteban/0000-0002-3746-9246</t>
  </si>
  <si>
    <t>Argentinian grants UBACyT (UBA); Ministerio de Defensa, Argentina [PIDDEF 2014/8]</t>
  </si>
  <si>
    <t>Argentinian grants UBACyT (UBA); Ministerio de Defensa, Argentina</t>
  </si>
  <si>
    <t>The authors thank to the Embrace/INPE Program from MCTI. The authors also thank the institutions that provide real-time data from instruments in the Argentinean region: FACET-UNT/INGV, MPI/IAFE/OAFA, SMN/INTERMAGNET, IAA, and BU. The authors acknowledge partial support from the Argentinian grants UBACyT (UBA) and PIDDEF 2014/8 (Ministerio de Defensa, Argentina).</t>
  </si>
  <si>
    <t>0273-1177</t>
  </si>
  <si>
    <t>1879-1948</t>
  </si>
  <si>
    <t>ADV SPACE RES</t>
  </si>
  <si>
    <t>Adv. Space Res.</t>
  </si>
  <si>
    <t>MAY 1</t>
  </si>
  <si>
    <t>10.1016/j.asr.2019.08.016</t>
  </si>
  <si>
    <t>Engineering, Aerospace; Astronomy &amp; Astrophysics; Geosciences, Multidisciplinary; Meteorology &amp; Atmospheric Sciences</t>
  </si>
  <si>
    <t>Engineering; Astronomy &amp; Astrophysics; Geology; Meteorology &amp; Atmospheric Sciences</t>
  </si>
  <si>
    <t>LO3BT</t>
  </si>
  <si>
    <t>WOS:000533504800014</t>
  </si>
  <si>
    <t>Marshall, M</t>
  </si>
  <si>
    <t>Marshall, Michael</t>
  </si>
  <si>
    <t>Antarctic glacier at risk of unpredictable collapse</t>
  </si>
  <si>
    <t>REED BUSINESS INFORMATION LTD</t>
  </si>
  <si>
    <t>SUTTON</t>
  </si>
  <si>
    <t>QUADRANT HOUSE THE QUADRANT, SUTTON SM2 5AS, SURREY, ENGLAND</t>
  </si>
  <si>
    <t>LJ2OK</t>
  </si>
  <si>
    <t>WOS:000530009000014</t>
  </si>
  <si>
    <t>Tulloch, VJD; Turschwell, MP; Giffin, AL; Halpern, BS; Connolly, R; Griffiths, L; Frazer, M; Brown, CJ</t>
  </si>
  <si>
    <t>Tulloch, Vivitskaia J. D.; Turschwell, Mischa P.; Giffin, Alyssa L.; Halpern, Benjamin S.; Connolly, Rod; Griffiths, Laura; Frazer, Melanie; Brown, Christopher J.</t>
  </si>
  <si>
    <t>Linking threat maps with management to guide conservation investment</t>
  </si>
  <si>
    <t>Marine spatial planning; Anthropogenic pressures; Ecosystem-based management; Threat maps; Cumulative effects; Indicators</t>
  </si>
  <si>
    <t>MARINE PROTECTED AREAS; CLIMATE-CHANGE; INTEGRATED COASTAL; ECOSYSTEMS; IMPACTS</t>
  </si>
  <si>
    <t>Stressors to marine ecosystems are increasing, driven by human activities in the sea and on land, and climate change. Cumulative impact maps highlight regions affected by multiple human activities, but efficient conservation investment requires linking dominant pressures to management actions that best address the particular drivers of impacts. We rebuild cumulative impact maps by stressor type (climate change, marine and land) at a global scale to evaluate the expected effectiveness of various management strategies for all coastal territories. Average cumulative impact from non-marine stressors (climate and land) was double those of marine impacts at a national level. The greatest climate impacts by country were in the waters of Pacific Island and Antarctic territories; in the Caspian Sea region and East-Asia for land impacts; and in the waters of European, East-Asian and Caribbean countries for marine impacts. We developed a conservation-effectiveness indicator for the 10 worst-impacted countries in each of the three stressor categories. The indicator considered common management tools for each stressor category: ecosystem-based adaptation and disaster risk reduction (climate), marine protected areas (marine) and integrated coastal management (land). Key disparities were found between broad-scale management of marine ecosystems and the dominant stressors, with existing management in tropical island nations likely insufficient to address intense impacts from climate change. These countries also typically had low performance on governance indicators, suggesting challenges in implementing new mitigation. We highlight trade-offs in making decisions for stressor mitigation and offer strategic guidance on identifying locations to target management of marine, land, or climate impacts.</t>
  </si>
  <si>
    <t>[Tulloch, Vivitskaia J. D.; Turschwell, Mischa P.; Brown, Christopher J.] Griffith Univ Nathan, Australian Rivers Inst Coast &amp; Estuaries, Nathan, Qld 4111, Australia; [Giffin, Alyssa L.; Connolly, Rod; Griffiths, Laura] Griffith Univ, Sch Environm &amp; Sci, Australian Rivers Inst Coast &amp; Estuaries, Gold Coast, Qld 4222, Australia; [Halpern, Benjamin S.; Frazer, Melanie] Univ Calif Santa Barbara, Natl Ctr Ecol Anal &amp; Synth, Santa Barbara, CA 93101 USA; [Halpern, Benjamin S.] Univ Calif Santa Barbara, Bren Sch Environm Sci &amp; Management, Santa Barbara, CA 93106 USA; [Brown, Christopher J.] Griffith Univ, Sch Environm &amp; Sci, Nathan, Qld 4111, Australia</t>
  </si>
  <si>
    <t>Griffith University; Griffith University; Griffith University - Gold Coast Campus; National Center for Ecological Analysis &amp; Synthesis; University of California System; University of California Santa Barbara; University of California System; University of California Santa Barbara; Griffith University</t>
  </si>
  <si>
    <t>Tulloch, VJD (corresponding author), Univ British Columbia, Dept Forest &amp; Conservat Sci, Vancouver, BC, Canada.</t>
  </si>
  <si>
    <t>v.tulloch@ubc.ca</t>
  </si>
  <si>
    <t>Griffriths, Laura/JDW-4919-2023; Brown, Christopher J/G-4287-2011; Tulloch, Vivitskaia/GNH-4554-2022; Turschwell, Mischa P/A-5222-2014; Connolly, Rod/C-4094-2008</t>
  </si>
  <si>
    <t>Griffriths, Laura/0000-0001-8701-4373; Brown, Christopher J/0000-0002-7271-4091; Connolly, Rod/0000-0001-6223-1291; Turschwell, Mischa/0000-0002-6307-9604</t>
  </si>
  <si>
    <t>Australian Research Council [DE160101207, DP180103124]; The Global Wetlands Project; Australian Government Scholarship</t>
  </si>
  <si>
    <t>Australian Research Council(Australian Research Council); The Global Wetlands Project; Australian Government Scholarship(Australian Government)</t>
  </si>
  <si>
    <t>CJB was supported by a Discovery Early Career Researcher Award (DE160101207) from the Australian Research Council. CJB, RC and MPT were supported by a Discovery Project from the Australian Research Council (DP180103124). VJDT, CJB, MPT and RC were supported by The Global Wetlands Project. ALG and LG were the recipient of an Australian Government Scholarship.</t>
  </si>
  <si>
    <t>10.1016/j.biocon.2020.108527</t>
  </si>
  <si>
    <t>LN3ED</t>
  </si>
  <si>
    <t>WOS:000532824200019</t>
  </si>
  <si>
    <t>Levchenko, OV; Borisov, DG; Libina, NV</t>
  </si>
  <si>
    <t>Levchenko, O. V.; Borisov, D. G.; Libina, N. V.</t>
  </si>
  <si>
    <t>Contourites and Gravitites on the Rio Grande Rise, Southwest Atlantic Ocean (Seismoacoustic Data)</t>
  </si>
  <si>
    <t>LITHOLOGY AND MINERAL RESOURCES</t>
  </si>
  <si>
    <t>slope; geostrophic current; contourites; drift; gravitites</t>
  </si>
  <si>
    <t>SEISMIC FACIES; CIRCULATION; SOUTHERN; DEPOSITS; FEATURES; SYSTEMS; MARGIN</t>
  </si>
  <si>
    <t>Morphology of the Rio Grande Rise and the acoustic structure of different types of deposits in its uppermost sedimentary cover were discussed based on high-resolution seismoacoustic profiling of cruises #32 (2010) and #52 (2016) of R/V Akademik Ioffe. Slopes of the Rio Grande Rise are composed mainly of landslide deposits and gravitites, but contourite sedimentation is possible on its southern slope. Contourite sedimentary waves and, probably, small drifts are identified in the Cruzeiro do Sul Trough at the top of the Rio Grande Rise. Mixed gravitite-contourite sedimentary systems seem to be located at the foot of northern and southern slopes. The downslope density flows and the Antarctic Bottom Water (AABW) contourite current are responsible for the formation of these features.</t>
  </si>
  <si>
    <t>[Levchenko, O. V.; Borisov, D. G.; Libina, N. V.] Russian Acad Sci, Shirshov Inst Oceanol, Moscow 117997, Russia</t>
  </si>
  <si>
    <t>Levchenko, OV (corresponding author), Russian Acad Sci, Shirshov Inst Oceanol, Moscow 117997, Russia.</t>
  </si>
  <si>
    <t>olevses@mail.ru</t>
  </si>
  <si>
    <t>Libina, Nataliya/J-5144-2018; Borisov, Dmitrii/Y-9194-2019</t>
  </si>
  <si>
    <t>Borisov, Dmitrii/0000-0001-8109-6603</t>
  </si>
  <si>
    <t>Russian Science Foundation [18-17-00227, 0149-2019-0006]; Russian Science Foundation [18-17-00227] Funding Source: Russian Science Foundation</t>
  </si>
  <si>
    <t>Russian Science Foundation(Russian Science Foundation (RSF)); Russian Science Foundation(Russian Science Foundation (RSF))</t>
  </si>
  <si>
    <t>This work was supported by the Russian Science Foundation (project no. 18-17-00227, O.V. Levchenko and D.G. Borisov). Seismic geotraverses were accomplished under the State Task (theme no. 0149-2019-0006, N.V. Libina).</t>
  </si>
  <si>
    <t>0024-4902</t>
  </si>
  <si>
    <t>1608-3229</t>
  </si>
  <si>
    <t>LITHOL MINER RESOUR+</t>
  </si>
  <si>
    <t>Lithol. Miner. Resour.</t>
  </si>
  <si>
    <t>10.1134/S0024490220030037</t>
  </si>
  <si>
    <t>Geochemistry &amp; Geophysics; Geology; Mineralogy</t>
  </si>
  <si>
    <t>LM4FR</t>
  </si>
  <si>
    <t>WOS:000532206000001</t>
  </si>
  <si>
    <t>Amato, G; Vita, F; Gemelli, F; Tigano, V; Minciullo, PL; Gangemi, S</t>
  </si>
  <si>
    <t>Amato, Giuliana; Vita, Federica; Gemelli, Federica; Tigano, Valeria; Minciullo, Paola Lucia; Gangemi, Sebastiano</t>
  </si>
  <si>
    <t>Jellyfish anaphylaxis: A wide spectrum of sensitization routes</t>
  </si>
  <si>
    <t>ALLERGY AND ASTHMA PROCEEDINGS</t>
  </si>
  <si>
    <t>GAMMA-GLUTAMIC ACID; DELAYED CUTANEOUS REACTION; SEABATHERS ERUPTION; IRUKANDJI-SYNDROME; COLLAGEN; DERMATITIS; INGESTION; CONTACT; IDENTIFICATION; ENVENOMATION</t>
  </si>
  <si>
    <t>Background: Recent studies demonstrated that, in the past few years, the number of jellyfish species is increasing worldwide; this increase can be explained by environmental and climatic reasons. Contacts with jellyfish can cause acute and chronic effects, including allergic reactions. Although anaphylaxis caused by jellyfish is a rare event, repetitive stings during bathing as well as marine sports and job activities represent important risk factors that can increase the probability of sensitization. Recently, it was also pointed out the possibility of anaphylaxis caused by jellyfish ingestion. In these cases, the sensitization could also be related to previous stings. In cases in which there is no history of jellyfish contact or ingestion, it has been hypothesized that there is a sensitization to an unknown cross-reactive antigen. Objective: The purpose of this work was to collect and review published studies and cases of anaphylaxis associated with jellyfish. Methods: We performed a medical literature data base search, which included English language articles published until September 2019, by using the key words jellyfish associated with anaphylaxis or anaphylactic shock. Results: The results of our research showed that dangerous reactions can be caused both by contact and ingestion. Moreover, the latest changes in food habits, life style, and globalization could lead to a more frequent exposure to jellyfish both by contact and ingestion, and, consequently, to a higher probability of sensitization. Conclusion: Prospective studies and well-structured research are needed to better understand all the potential immunologic elements of jellyfish, to clarify its role in sensitization, and to avoid possible dangerous allergic reactions caused by cross-reactivity.</t>
  </si>
  <si>
    <t>[Amato, Giuliana; Vita, Federica; Tigano, Valeria; Minciullo, Paola Lucia; Gangemi, Sebastiano] Univ Messina, Sch &amp; Div Allergy &amp; Clin Immunol, Dept Clin &amp; Expt Med, Messina, Italy; [Gemelli, Federica] Univ Tasmania, Inst Marine &amp; Antarctic Studies, Hobart, Tas, Australia</t>
  </si>
  <si>
    <t>University of Messina; University of Tasmania</t>
  </si>
  <si>
    <t>Minciullo, PL (corresponding author), Policlin Univ G Martino, UOC Allergol &amp; Immunol Clin, Messina 98125, Italy.</t>
  </si>
  <si>
    <t>pminciullo@unime.it</t>
  </si>
  <si>
    <t>vita, Federica/HQF-9850-2023; gangemi, sebastiano/GLR-3109-2022</t>
  </si>
  <si>
    <t>gangemi, sebastiano/0000-0001-7001-6532</t>
  </si>
  <si>
    <t>OCEAN SIDE PUBLICATIONS INC</t>
  </si>
  <si>
    <t>PROVIDENCE</t>
  </si>
  <si>
    <t>95 PITMAN ST, PROVIDENCE, RI 02906 USA</t>
  </si>
  <si>
    <t>1088-5412</t>
  </si>
  <si>
    <t>1539-6304</t>
  </si>
  <si>
    <t>ALLERGY ASTHMA PROC</t>
  </si>
  <si>
    <t>Allergy Asthma Proc.</t>
  </si>
  <si>
    <t>10.2500/aap.2020.41.200014</t>
  </si>
  <si>
    <t>Allergy</t>
  </si>
  <si>
    <t>LK8GE</t>
  </si>
  <si>
    <t>WOS:000531097500005</t>
  </si>
  <si>
    <t>Dong, X; Wang, YT; Hou, SG; Ding, MH; Yin, BL; Zhang, YL</t>
  </si>
  <si>
    <t>Dong, Xu; Wang, Yetang; Hou, Shugui; Ding, Minghu; Yin, Baoling; Zhang, Yulun</t>
  </si>
  <si>
    <t>Robustness of the Recent Global Atmospheric Reanalyses for Antarctic Near-Surface Wind Speed Climatology</t>
  </si>
  <si>
    <t>Antarctica; Wind; Climatology; In situ atmospheric observations; Automatic weather stations; Reanalysis data</t>
  </si>
  <si>
    <t>MASS-BALANCE; VARIABILITY; PROJECT; FLOW; ICE</t>
  </si>
  <si>
    <t>Near-surface wind speed observations from 30 manned meteorological stations and 26 automatic weather stations over the Antarctic Ice Sheet are used to examine the robustness of wind speed climatology in six recent global reanalysis products: the Modern-Era Retrospective Analysis for Research and Applications, version 2 (MERRA-2), the Japan Meteorological Agency 55-Year Reanalysis (JRA-55), the Climate Forecast System Reanalysis (CFSR), the National Centers for Environmental Prediction-U.S. Department of Energy (DOE) Reanalysis 2 (NCEP2), and the European Centre for Medium-Range Weather Forecasts (ECMWF) interim reanalysis (ERA-Interim) and fifth-generation reanalysis (ERA5). Their skills for representing near-surface wind speeds vary by season, with better performance in summer than in winter. At the regional scale, all reanalysis datasets perform more poorly for the magnitude, but better for their year-to-year changes in wind regimes in the escarpment than the coastal and plateau regions. By comparison, ERA5 has the best performance for the monthly averaged wind speed magnitude and the interannual variability of the near-surface wind speed from 1979 onward. Intercomparison exhibits high and significant correlations for annual and seasonal wind speed Antarctic-wide averages from different datasets during their overlapping timespans (1980-2018), despite some regional disagreements between the different reanalyses. Furthermore, all of the reanalyses show positive trends of the annual and summer wind speeds for the 1980-2018 period, which are linked with positive polarity of the southern annular mode.</t>
  </si>
  <si>
    <t>[Dong, Xu; Wang, Yetang; Yin, Baoling] Shandong Normal Univ, Coll Geog &amp; Environm, Jinan, Peoples R China; [Hou, Shugui; Zhang, Yulun] Nanjing Univ, Sch Geog &amp; Oceanog Sci, Key Lab Coast &amp; Isl Dev, Minist Educ, Nanjing, Peoples R China; [Ding, Minghu] Chinese Acad Meteorol Sci, Inst Tibetan Plateau &amp; Polar Meteorol, Beijing, Peoples R China</t>
  </si>
  <si>
    <t>Shandong Normal University; Nanjing University; China Meteorological Administration; Chinese Academy of Meteorological Sciences (CAMS)</t>
  </si>
  <si>
    <t>Wang, YT (corresponding author), Shandong Normal Univ, Coll Geog &amp; Environm, Jinan, Peoples R China.</t>
  </si>
  <si>
    <t>yetangwang@sdnu.edu.cn</t>
  </si>
  <si>
    <t>Ding, Minghu/AFU-3600-2022</t>
  </si>
  <si>
    <t>Ding, Minghu/0000-0002-1142-6598; Hou, Shugui/0000-0002-0905-3542</t>
  </si>
  <si>
    <t>Outstanding Youth Fund of Shandong Provincial Universities [ZR2016JL030]; National Natural Science Foundation of China [41971081, 41576182]; Project for Outstanding Youth Innovation Team in the Universities of Shandong Province [2019KJH011]; Strategic Priority Research Program of the Chinese Academy of Sciences [XAD19070103]</t>
  </si>
  <si>
    <t>Outstanding Youth Fund of Shandong Provincial Universities; National Natural Science Foundation of China(National Natural Science Foundation of China (NSFC)); Project for Outstanding Youth Innovation Team in the Universities of Shandong Province; Strategic Priority Research Program of the Chinese Academy of Sciences(Chinese Academy of Sciences)</t>
  </si>
  <si>
    <t>This work was supported by the Outstanding Youth Fund of Shandong Provincial Universities (ZR2016JL030), the National Natural Science Foundation of China (41971081 and 41576182), the Project for Outstanding Youth Innovation Team in the Universities of Shandong Province (2019KJH011), and the Strategic Priority Research Program of the Chinese Academy of Sciences (XAD19070103). Thanks to the three anonymous reviewers for their constructive comments and suggestions to improve this paper.</t>
  </si>
  <si>
    <t>10.1175/JCLI-D-19-0648.1</t>
  </si>
  <si>
    <t>LL2VV</t>
  </si>
  <si>
    <t>WOS:000531415800001</t>
  </si>
  <si>
    <t>Kelly, R; Fleming, A; Mackay, M; García, C; Pecl, GT</t>
  </si>
  <si>
    <t>Kelly, Rachel; Fleming, Aysha; Mackay, Mary; Garcia, Carolina; Pecl, Gretta T.</t>
  </si>
  <si>
    <t>Social licence for marine protected areas</t>
  </si>
  <si>
    <t>Marine protected areas; Q-methodology; Social acceptability; Social licence; Stakeholder engagement</t>
  </si>
  <si>
    <t>IMPROVE CONSERVATION; COASTAL COMMUNITIES; SALMON AQUACULTURE; Q-METHODOLOGY; OPERATE; SCIENCE; MANAGEMENT; VALUES; SUBJECTIVITIES; PERCEPTIONS</t>
  </si>
  <si>
    <t>The marine environment is a shared public resource and successful marine conservation depends on stakeholder approval and support. The concept of social licence reflects community expectations and support of the use and management of natural resources, and is being increasingly applied in the marine context. Here, support and opposition to marine protected areas are investigated through the frame of social licence. This study explores the perceptions of key marine stakeholders from Tasmania, Australia to improve understanding on social licence for marine protected areas. A combination of Q-methodology and semi-structured interviews are applied to identify how social licence exists and can potentially be developed in practice. Two social perspectives are identified, 1) I use the ocean: MPAs are not the solution, and 2) No one listens: we need MPAs to protect the ocean, that reveal social licence is not a support/oppose outcome and that more nuanced understanding and dialogue around stakeholder engagement and perceptions of the ocean are required. These study outcomes are developed to provide a modern example of marine resource use debate, and to reveal novel insights that can advise marine managers, decision-makers, and stakeholders dealing with marine conflict and opposition in Australia and elsewhere.</t>
  </si>
  <si>
    <t>[Kelly, Rachel; Fleming, Aysha; Mackay, Mary; Pecl, Gretta T.] Univ Tasmania, Ctr Marine Socioecol, Hobart, Tas 7005, Australia; [Kelly, Rachel; Pecl, Gretta T.] Inst Marine &amp; Antarctic Studies, Hobart, Tas 7001, Australia; [Fleming, Aysha] CSIRO Land &amp; Water, Hobart, Tas 7001, Australia; [Mackay, Mary] CSIRO Oceans &amp; Atmosphere, Hobart, Tas 7001, Australia; [Garcia, Carolina] Univ Tasmania, Tasmanian Inst Agr, Hobart, Tas 7005, Australia</t>
  </si>
  <si>
    <t>University of Tasmania; University of Tasmania; Commonwealth Scientific &amp; Industrial Research Organisation (CSIRO); Commonwealth Scientific &amp; Industrial Research Organisation (CSIRO); University of Tasmania</t>
  </si>
  <si>
    <t>Kelly, R (corresponding author), Univ Tasmania, Ctr Marine Socioecol, Hobart, Tas 7005, Australia.</t>
  </si>
  <si>
    <t>r.kelly@utas.edu.au</t>
  </si>
  <si>
    <t>Pecl, Gretta/D-7267-2011; Fleming, Aysha/E-8753-2011</t>
  </si>
  <si>
    <t>Pecl, Gretta/0000-0003-0192-4339; Fleming, Aysha/0000-0001-9895-1928; Mackay, Mary/0000-0003-0175-4237; Garcia, Carolina/0000-0001-6524-600X</t>
  </si>
  <si>
    <t>ARC Future Fellowship</t>
  </si>
  <si>
    <t>ARC Future Fellowship(Australian Research Council)</t>
  </si>
  <si>
    <t>The authors would like to thank each of the marine stakeholders for their participation in the Q-method and interviews. We are grateful for your time and interest in this research. GP was supported by an ARC Future Fellowship.</t>
  </si>
  <si>
    <t>10.1016/j.marpol.2019.103782</t>
  </si>
  <si>
    <t>LG7DH</t>
  </si>
  <si>
    <t>WOS:000528256400026</t>
  </si>
  <si>
    <t>Kirkham, NR; Gjerde, KM; Wilson, AMW</t>
  </si>
  <si>
    <t>Kirkham, Nicholas R.; Gjerde, Kristina M.; Wilson, A. Meriwether W.</t>
  </si>
  <si>
    <t>DEEP-SEA mining: Policy options to preserve the last frontier - Lessons from Antarctica's mineral resource convention</t>
  </si>
  <si>
    <t>Deep-seabed mining; Antarctica; CRAMRA; Madrid protocol; Common heritage of mankind; Operationalized precautionary principle</t>
  </si>
  <si>
    <t>ENVIRONMENTAL-PROTECTION; HERITAGE; OCEAN</t>
  </si>
  <si>
    <t>Today the International Seabed Authority (ISA), through its member States, is in the process of developing regulations to govern deep-sea mineral mining in areas beyond national jurisdiction, with self-imposed regulatory deadlines of July 2020. Given the complexities of the ISA's dual responsibility to both develop and protect the seabed for all of humanity over time, this article explores to what extent the standards established in the 1988 Convention on the Regulation of Antarctic Mineral Resource Activities (CRAMRA) might guide the ISA through its paradoxical mandate. Principles embraced in CRAMRA include the need for: i) sufficient information to ensure informed decisions, ii) consideration of impacts on dependent and associated seabed ecosystems; iii) requirements for comprehensive and cumulative impact assessments; iv) assurances of technological capacity to monitor key environmental parameters and measure change; v) effective operating procedures for accident responses, and vi) priority use of the precautionary principle. These principles with regard to mineral resource regulation in the icy and fragile Antarctic frontier operationalize the precautionary approach and can generate valuable lessons for regulating the future deep-sea mining industry to protect the remote, dark and similarly fragile deep ocean frontier.</t>
  </si>
  <si>
    <t>[Kirkham, Nicholas R.; Wilson, A. Meriwether W.] Univ Edinburgh, Edinburgh, Midlothian, Scotland; [Gjerde, Kristina M.] Univ Edinburgh, IUCN, Edinburgh, Midlothian, Scotland</t>
  </si>
  <si>
    <t>University of Edinburgh; University of Edinburgh</t>
  </si>
  <si>
    <t>Kirkham, NR (corresponding author), Univ Edinburgh, Edinburgh, Midlothian, Scotland.</t>
  </si>
  <si>
    <t>kirkham.nicholas@gmail.com; kristina.gjerde@eip.com.pl; Meriwether.Wilson@ed.ac.uk</t>
  </si>
  <si>
    <t>10.1016/j.marpol.2020.103859</t>
  </si>
  <si>
    <t>WOS:000528256400029</t>
  </si>
  <si>
    <t>Trebilco, R; Melbourne-Thomas, J; Constable, AJ</t>
  </si>
  <si>
    <t>Trebilco, Rowan; Melbourne-Thomas, Jess; Constable, Andrew John</t>
  </si>
  <si>
    <t>The policy relevance of Southern Ocean food web structure: Implications of food web change for fisheries, conservation and carbon sequestration</t>
  </si>
  <si>
    <t>Ecosystem impacts of climate change; Ecosystem management; Ecosystem status and trends; Marine ecosystem assessment for the Southern Ocean; Science-policy; Southern Ocean ecosystems</t>
  </si>
  <si>
    <t>ZOOPLANKTON FECAL PELLETS; CLIMATE-CHANGE; ANTARCTIC PENINSULA; IRON FERTILIZATION; MARINE ECOSYSTEM; SALPS; MODEL; KRILL; SEA; PHYTOPLANKTON</t>
  </si>
  <si>
    <t>Southern Ocean food webs provide ecosystem services with significant global value including carbon sequestration, fisheries and the existence of iconic wildlife. These services are underpinned by different energetic pathways including those dominated by Antarctic krill, fishes and squids, or gelatinous zooplankton (salps). Climate change is likely to impact Southern Ocean food webs by affecting their foundations - both primary producer communities and ice habitats. However, the implications of these changes for ecosystem services - including wildlife populations, fisheries and carbon sequestration - are unclear, as are the implications for policy and management. Here, we use a generalised representation of Southern Ocean food webs and qualitative network modelling to investigate the consequences of five simple but plausible scenarios of future change for ecosystem services and the conservation of important taxa: (i) a shift in primary producer communities with decreasing large diatoms and increasing small flagellates; (ii) increasing salps; (iii) increase (recovery) of the Great whales; and unregulated and unsustainable fisheries for (iv) krill or (v) toothfish. Strikingly, our results suggest that increases in salps might not have negative consequences for ecosystem services and could enhance carbon export potential. Simulated increases in unregulated krill and toothfish fisheries affect predatory wildlife and could also reduce carbon export potential. Our results emphasise the important policy implications of understanding the structure and change of whole food webs, and highlight that improved quantitative understanding and modelling of the relative importance of different energy pathways will be important for developing robust management responses to climate change impacts.</t>
  </si>
  <si>
    <t>[Trebilco, Rowan; Melbourne-Thomas, Jess] CSIRO Oceans &amp; Atmosphere, Hobart, Tas, Australia; [Trebilco, Rowan; Melbourne-Thomas, Jess; Constable, Andrew John] Univ Tasmania, Antarctic Climate &amp; Ecosyst Cooperat Res Ctr, Hobart, Tas, Australia; [Trebilco, Rowan; Melbourne-Thomas, Jess] Univ Tasmania, Ctr Marine Socioecol, Hobart, Tas, Australia; [Constable, Andrew John] Dept Environm &amp; Energy, Australian Antarctic Div, Hobart, Tas, Australia</t>
  </si>
  <si>
    <t>Commonwealth Scientific &amp; Industrial Research Organisation (CSIRO); Antarctic Climate &amp; Ecosystems Cooperative Research Centre (ACE CRC); University of Tasmania; University of Tasmania; Australian Antarctic Division</t>
  </si>
  <si>
    <t>Trebilco, R (corresponding author), CSIRO Oceans &amp; Atmosphere, Battery Point, Tas 7004, Australia.</t>
  </si>
  <si>
    <t>rowan.trebilco@csiro.au</t>
  </si>
  <si>
    <t>Melbourne-Thomas, Jess/N-2437-2019; Trebilco, Rowan/I-5311-2012</t>
  </si>
  <si>
    <t>Melbourne-Thomas, Jess/0000-0001-6585-876X; Trebilco, Rowan/0000-0001-9712-8016</t>
  </si>
  <si>
    <t>Australian Government's Business Cooperative Research Centres Programme through the Antarctic Climate and Ecosystems Cooperative Research Centre (ACE CRC); Australian Antarctic Science Program [4343]; RJL Hawke Postdoctoral Fellowship</t>
  </si>
  <si>
    <t>Australian Government's Business Cooperative Research Centres Programme through the Antarctic Climate and Ecosystems Cooperative Research Centre (ACE CRC)(Australian GovernmentDepartment of Industry, Innovation and ScienceCooperative Research Centres (CRC) Programme); Australian Antarctic Science Program; RJL Hawke Postdoctoral Fellowship</t>
  </si>
  <si>
    <t>This work was supported by the Australian Government's Business Cooperative Research Centres Programme through the Antarctic Climate and Ecosystems Cooperative Research Centre (ACE CRC) and through the Australian Antarctic Science Program (Project 4343). RT was supported by the RJL Hawke Postdoctoral Fellowship.</t>
  </si>
  <si>
    <t>10.1016/j.marpol.2020.103832</t>
  </si>
  <si>
    <t>WOS:000528256400009</t>
  </si>
  <si>
    <t>Bezuidt, OKI; Lebre, PH; Pierneef, R; León-Sobrino, C; Adriaenssens, EM; Cowan, DA; Van de Peer, Y; Makhalanyane, TP</t>
  </si>
  <si>
    <t>Bezuidt, Oliver K., I; Lebre, Pedro Humberto; Pierneef, Rian; Leon-Sobrino, Carlos; Adriaenssens, Evelien M.; Cowan, Don A.; Van de Peer, Yves; Makhalanyane, Thulani P.</t>
  </si>
  <si>
    <t>Phages Actively Challenge Niche Communities in Antarctic Soils</t>
  </si>
  <si>
    <t>MSYSTEMS</t>
  </si>
  <si>
    <t>Antarctic soils; archaea; bacteria; hypoliths; phages; viromics</t>
  </si>
  <si>
    <t>MICROBIAL COMMUNITIES; FUNCTIONAL-CAPACITY; CLASSIFICATION; DIVERSITY; ECOLOGY; RESISTANCE; VIRUSES; HOT; MICROORGANISMS; COEVOLUTION</t>
  </si>
  <si>
    <t>By modulating the structure, diversity, and trophic outputs of microbial communities, phages play crucial roles in many biomes. In oligotrophic polar deserts, the effects of katabatic winds, constrained nutrients, and low water availability are known to limit microbial activity. Although phages may substantially govern trophic interactions in cold deserts, relatively little is known regarding the precise ecological mechanisms. Here, we provide the first evidence of widespread antiphage innate immunity in Antarctic environments using metagenomic sequence data from hypolith communities as model systems. In particular, immunity systems such as DISARM and BREX are shown to be dominant systems in these communities. Additionally, we show a direct correlation between the CRISPR-Cas adaptive immunity and the metavirome of hypolith communities, suggesting the existence of dynamic host-phage interactions. In addition to providing the first exploration of immune systems in cold deserts, our results suggest that phages actively challenge niche communities in Antarctic polar deserts. We provide evidence suggesting that the regulatory role played by phages in this system is an important determinant of bacterial host interactions in this environment. IMPORTANCE In Antarctic environments, the combination of both abiotic and biotic stressors results in simple trophic levels dominated by microbiomes. Although the past two decades have revealed substantial insights regarding the diversity and structure of microbiomes, we lack mechanistic insights regarding community interactions and how phages may affect these. By providing the first evidence of widespread antiphage innate immunity, we shed light on phage-host dynamics in Antarctic niche communities. Our analyses reveal several antiphage defense systems, including DISARM and BREX, which appear to dominate in cold desert niche communities. In contrast, our analyses revealed that genes which encode antiphage adaptive immunity were underrepresented in these communities, suggesting lower infection frequencies in cold edaphic environments. We propose that by actively challenging niche communities, phages play crucial roles in the diversification of Antarctic communities.</t>
  </si>
  <si>
    <t>[Bezuidt, Oliver K., I; Lebre, Pedro Humberto; Pierneef, Rian; Leon-Sobrino, Carlos; Cowan, Don A.; Van de Peer, Yves; Makhalanyane, Thulani P.] Univ Pretoria, Ctr Microbial Ecol &amp; Genom, Dept Biochem Genet &amp; Microbiol, Pretoria, South Africa; [Pierneef, Rian] Agr Res Council, Biotechnol Platform, Pretoria, South Africa; [Adriaenssens, Evelien M.] Quadram Inst Biosci, Norwich Res Pk, Norwich, Norfolk, England; [Van de Peer, Yves] Univ Ghent, Dept Plant Biotechnol &amp; Bioinformat, Ghent, Belgium; [Van de Peer, Yves] VIB, Ctr Plant Syst Biol, Ghent, Belgium</t>
  </si>
  <si>
    <t>University of Pretoria; Agricultural Research Council of South Africa; UK Research &amp; Innovation (UKRI); Biotechnology and Biological Sciences Research Council (BBSRC); Quadram Institute; Ghent University; Flanders Institute for Biotechnology (VIB)</t>
  </si>
  <si>
    <t>Makhalanyane, TP (corresponding author), Univ Pretoria, Ctr Microbial Ecol &amp; Genom, Dept Biochem Genet &amp; Microbiol, Pretoria, South Africa.</t>
  </si>
  <si>
    <t>Adriaenssens, Evelien/E-8004-2013; Makhalanyane, Thulani P./C-6815-2012; Van de Peer, Yves/AAE-7666-2019; Cowan, Donald A/E-3991-2012; Leon-Sobrino, Carlos/G-6868-2016</t>
  </si>
  <si>
    <t>Adriaenssens, Evelien/0000-0003-4826-5406; Makhalanyane, Thulani P./0000-0002-8173-1678; Van de Peer, Yves/0000-0003-4327-3730; Cowan, Donald A/0000-0001-8059-861X; Leon-Sobrino, Carlos/0000-0002-9079-2720; Pierneef, Rian/0000-0002-0619-0058; Bixirao Neto Marinho Lebre, Pedro Humberto/0000-0002-6483-0340; bezuidt, keoagile oliver/0000-0002-1690-9716</t>
  </si>
  <si>
    <t>National Research Foundation (NRF) [118981]; South African National Antarctic Program (SANAP) [110717]; University of Pretoria; Fulbright Visiting Scholar Program; Biotechnology and Biological Sciences Research Council (BBSRC); BBSRC Institute Strategic Program Gut Microbes and Health [BB/R012490/1, BBS/E/F/000PR10353, BBS/E/F/000PR10356]; BBSRC [BBS/E/F/000PR10353] Funding Source: UKRI</t>
  </si>
  <si>
    <t>National Research Foundation (NRF); South African National Antarctic Program (SANAP); University of Pretoria; Fulbright Visiting Scholar Program; Biotechnology and Biological Sciences Research Council (BBSRC)(UK Research &amp; Innovation (UKRI)Biotechnology and Biological Sciences Research Council (BBSRC)); BBSRC Institute Strategic Program Gut Microbes and Health(UK Research &amp; Innovation (UKRI)Biotechnology and Biological Sciences Research Council (BBSRC)); BBSRC(UK Research &amp; Innovation (UKRI)Biotechnology and Biological Sciences Research Council (BBSRC))</t>
  </si>
  <si>
    <t>We are grateful to the National Research Foundation (NRF) (grant ID 118981), the South African National Antarctic Program (SANAP 110717), and the University of Pretoria for funding. T.P.M. also wishes to acknowledge the Fulbright Visiting Scholar Program for providing sabbatical funding. E.M.A. gratefully acknowledges the support of the Biotechnology and Biological Sciences Research Council (BBSRC); this research was funded by the BBSRC Institute Strategic Program Gut Microbes and Health BB/R012490/1 and its constituent project(s) BBS/E/F/000PR10353 and BBS/E/F/000PR10356.</t>
  </si>
  <si>
    <t>2379-5077</t>
  </si>
  <si>
    <t>mSystems</t>
  </si>
  <si>
    <t>e00234-20</t>
  </si>
  <si>
    <t>10.1128/mSystems.00234-20</t>
  </si>
  <si>
    <t>LK7YW</t>
  </si>
  <si>
    <t>WOS:000531078500001</t>
  </si>
  <si>
    <t>López-Quirós, A; Sánchez-Navas, A; Nieto, F; Escutia, C</t>
  </si>
  <si>
    <t>Lopez-Quiros, Adrian; Sanchez-Navas, A.; Nieto, Fernando; Escutia, Carlota</t>
  </si>
  <si>
    <t>New insights into the nature of glauconite</t>
  </si>
  <si>
    <t>AMERICAN MINERALOGIST</t>
  </si>
  <si>
    <t>Glaucony; glauconite; interstratified glauconite-smectite; HRTEM; XRD</t>
  </si>
  <si>
    <t>TRANSMISSION ELECTRON-MICROSCOPY; LAYER ILLITE SMECTITE; CLAY-MINERALS; SEDIMENTS; FE; ORIGIN; DIAGENESIS; AUTHIGENESIS; MECHANISM; EVOLUTION</t>
  </si>
  <si>
    <t>Glauconite must be assessed as mica-rich mica-smectite R3 interstratified mineral, with the pure end-member mica also having intrinsic K-deficient chemical characteristics (K+ similar to 0.8 apfu). This assertion is in accordance with our X-ray diffraction (XRD) and high-resolution tranmission electron microscopy (HRTEM) studies and chemical analyses by electron probe microanalysis (EPMA) of mature glauconites in Cenozoic Antarctic sediments that indicate that: (1) It consists of a glauconite-smectite (R-3 ordered) mixed-layer silicate, composed mainly of mica-type layers (&gt;90%), but displaying slightly different proportions of Fe(III)-smectite layers (&lt;10%). (2) More mature glaucony grains are characterized by major K+ and Fe-VI(2+) (mica layers) and minor Fe-VI(3+) (smectite layers) content in the interstratified glauconite-smectite. (3) Potassium is stabilized at the interlayer site by the octahedrally coordinated Fe2+. (4) Microtexture of the glauconite crystals are comparable with those of other micas and illite minerals, with straight, defect-free lattice fringes of similar to 10 angstrom spacings glauconite packets characteristic of mica with minor interstratified poorly crystalline smectite layers. In addition, our new findings give insights into the glauconitization process and at the same time investigate the potassium-deficient character of the dioctahedral mica glauconite. These findings show that glauconite crystallizes by a layer-growth mechanism at the expense of a poorly crystalline smectite precursor and that smectiteto-glauconite transformations are accompanied by a gradually higher octahedral charge deficiency (Fe2+/Fe3+) stabilized by K+ uptake into the interlayer sheet.</t>
  </si>
  <si>
    <t>[Lopez-Quiros, Adrian; Sanchez-Navas, A.; Nieto, Fernando; Escutia, Carlota] Univ Granada, Inst Andaluz Ciencias Tierra, CSIC, Granada 18100, Spain; [Sanchez-Navas, A.; Nieto, Fernando] Univ Granada, Dept Mineral &amp; Petrol, Granada 18071, Spain</t>
  </si>
  <si>
    <t>University of Granada; Consejo Superior de Investigaciones Cientificas (CSIC); CSIC - Instituto Andaluz de Ciencias de la Tierra (IACT); University of Granada</t>
  </si>
  <si>
    <t>López-Quirós, A (corresponding author), Univ Granada, Inst Andaluz Ciencias Tierra, CSIC, Granada 18100, Spain.</t>
  </si>
  <si>
    <t>alquiros@iact.ugr-csic.es</t>
  </si>
  <si>
    <t>López Quirós, Adrián/K-6513-2017; Nieto, Fernando/L-5377-2013; Escutia, Carlota/B-8614-2015</t>
  </si>
  <si>
    <t>López Quirós, Adrián/0000-0002-7522-2834; Nieto, Fernando/0000-0001-6250-056X; Escutia, Carlota/0000-0002-4932-8619</t>
  </si>
  <si>
    <t>Spanish Ministry of Science and Innovation - European Union through FEDER funds [CTM2014-60451-C2-1-P, CTM2017-89711-C2-1-P]; Spanish Ministry of Science and Innovation</t>
  </si>
  <si>
    <t>Spanish Ministry of Science and Innovation - European Union through FEDER funds; Spanish Ministry of Science and Innovation(Spanish Government)</t>
  </si>
  <si>
    <t>Funding for this research was provided by the Spanish Ministry of Science and Innovation (grants CTM2014-60451-C2-1-P and CTM2017-89711-C2-1-P) co-funded by the European Union through FEDER funds. The corresponding author acknowledges a FPI fellowship of the Spanish Ministry of Science and Innovation.</t>
  </si>
  <si>
    <t>MINERALOGICAL SOC AMER</t>
  </si>
  <si>
    <t>CHANTILLY</t>
  </si>
  <si>
    <t>3635 CONCORDE PKWY STE 500, CHANTILLY, VA 20151-1125 USA</t>
  </si>
  <si>
    <t>0003-004X</t>
  </si>
  <si>
    <t>1945-3027</t>
  </si>
  <si>
    <t>AM MINERAL</t>
  </si>
  <si>
    <t>Am. Miner.</t>
  </si>
  <si>
    <t>10.2138/am-2020-7341</t>
  </si>
  <si>
    <t>LK1ZE</t>
  </si>
  <si>
    <t>WOS:000530656700008</t>
  </si>
  <si>
    <t>Anderson, CB; Tagliaferro, M; Fisk, A; Rosemond, AD; Sanchez, ML; Arts, MT</t>
  </si>
  <si>
    <t>Anderson, Christopher B.; Tagliaferro, Marina; Fisk, Aaron; Rosemond, Amy D.; Sanchez, Marisol L.; Arts, Michael T.</t>
  </si>
  <si>
    <t>Fatty acids elucidate sub-Antarctic stream benthic food web dynamics invaded by the North American beaver (Castor canadensis)</t>
  </si>
  <si>
    <t>Basal resources; Benthic macroinvertebrates; Biological invasion; PUFA; Exotic species; Lipid analysis; Patagonia</t>
  </si>
  <si>
    <t>NET-SPINNING CADDISFLIES; TIERRA-DEL-FUEGO; ORGANIC-MATTER; FRESH-WATER; CAPE HORN; ECOSYSTEM FUNCTION; INVASIVE BEAVERS; TROPHIC MARKERS; TRINITY BAY; BIOMARKERS</t>
  </si>
  <si>
    <t>Despite being remote, polar and sub-polar regions are increasingly threatened by global ecological change. For instance, South America's sub-Antarctic forest ecoregion is considered one of the world's last wilderness areas and a global reference site for pre-Industrial Revolution nutrient cycles. Nonetheless, the North American beaver (Castor canadensis) was introduced to Tierra del Fuego in 1946 and, as an invasive ecosystem engineer, has transformed the ecology of regional watersheds. Beavers' engineering activities transform forested streams (FS) into beaver ponds (BP), where there is greater light and primary production (allochthonous organic matter) and, consequently, increased basal resource quality. To investigate this, we analyzed algal, diatom, fungal and bacterial fatty acid (FA) biomarkers in three basal resource categories (biofilm, very fine benthic organic matter, coarse benthic organic matter) and benthic consumers from four functional feeding groups (FFG). The amphipod Hyalella spp. was chosen as an indicator species due to its abundance and biomass in both habitats. Hyalella spp. had higher proportions of algal and bacterial FA in BP than FS. In FS, Hyalella spp. (gatherer) and Gigantodax spp. (filterer, Diptera) had greater contributions of higher quality FA (higher in polyunsaturated FA), while Rheochorema magallanicum (predator, Trichoptera) and Meridialaris spp. (scraper, Ephemeroptera) showed lower quality monounsaturated and saturated FA. All FFGs showed evidence of microbial FA and had higher levels of autochthonous FA biomarkers than their food resources. Scrapers had the greatest proportion of autochthonous FA. These data provide new insights into the utilization of basal resources by stream consumers in sub-Antarctic streams and how beavers modify these ecosystems.</t>
  </si>
  <si>
    <t>[Anderson, Christopher B.; Tagliaferro, Marina] Consejo Nacl Invest Cient &amp; Tecn, Ctr Austral Invest Cient CADIC, Houssay 200, RA-9410 Ushuaia, Argentina; [Anderson, Christopher B.] Univ Nacl Tierra Fuego UNTDF, Inst Ciencias Polares Ambiente &amp; Recursos Nat ICP, Fuegia Basket 251, RA-9410 Ushuaia, Argentina; [Fisk, Aaron] Univ Windsor, Great Lakes Inst Environm Res, Windsor, ON N9B 3P4, Canada; [Rosemond, Amy D.] Univ Georgia, Odum Sch Ecol, Athens, GA 30602 USA; [Sanchez, Marisol L.] Univ North Texas, Dept Biol Sci, Denton, TX 76203 USA; [Arts, Michael T.] Ryerson Univ, Dept Chem &amp; Biol, Toronto, ON M5B 2K3, Canada</t>
  </si>
  <si>
    <t>Consejo Nacional de Investigaciones Cientificas y Tecnicas (CONICET); University of Windsor; University System of Georgia; University of Georgia; University of North Texas System; University of North Texas Denton; Toronto Metropolitan University</t>
  </si>
  <si>
    <t>Tagliaferro, M (corresponding author), Consejo Nacl Invest Cient &amp; Tecn, Ctr Austral Invest Cient CADIC, Houssay 200, RA-9410 Ushuaia, Argentina.</t>
  </si>
  <si>
    <t>azulmarinita@gmail.com</t>
  </si>
  <si>
    <t>Anderson, Christopher/V-4882-2019; Barros, Maria/JQC-8835-2023; Tagliaferro, Marina/M-6560-2015; Rosemond, Amy/I-2688-2018</t>
  </si>
  <si>
    <t>Anderson, Christopher/0000-0001-8120-5689; Tagliaferro, Marina/0000-0002-8795-3802; Rosemond, Amy/0000-0003-4299-9353</t>
  </si>
  <si>
    <t>10.1007/s00300-020-02644-z</t>
  </si>
  <si>
    <t>LK4GY</t>
  </si>
  <si>
    <t>WOS:000530820100003</t>
  </si>
  <si>
    <t>Perron, MMG; Proemse, BC; Strzelec, M; Gault-Ringold, M; Boyd, PW; Rodriguez, ES; Paull, B; Bowie, AR</t>
  </si>
  <si>
    <t>Perron, Morgane M. G.; Proemse, Bernadette C.; Strzelec, Michal; Gault-Ringold, Melanie; Boyd, Philip W.; Rodriguez, Estrella Sanz; Paull, Brett; Bowie, Andrew R.</t>
  </si>
  <si>
    <t>Origin, transport and deposition of aerosol iron to Australian coastal waters</t>
  </si>
  <si>
    <t>Labile iron; Dust; Anthropogenic pollutants; Bushfire; Solubility; Southern hemisphere</t>
  </si>
  <si>
    <t>TRANSFORM INFRARED-SPECTROSCOPY; ATMOSPHERIC DEPOSITION; ENRICHMENT FACTORS; BIOAVAILABLE IRON; ELEMENTAL RATIOS; VEGETATION FIRES; EMISSION FACTORS; MINERAL DUST; TRACE-METALS; DRY SEASON</t>
  </si>
  <si>
    <t>Australia is a major source of Fe-laden dust to the anemic marine phytoplankton in the Southern Ocean and to Southern Hemisphere (SH) low latitudes diazotrophic bacteria. However, the paucity of observations and laboratory experiments on SH aerosols biases model predictions of atmospheric Fe deposition to the southern oceans and the subsequent response of ocean productivity. As a result of an extensive shipboard aerosol sampling effort, this study presents laboratory measurements of aerosol Fe concentrations, solubilities and fluxes and analysis of chemical tracers, highlighting the large heterogeneity between aerosol Fe sources in 5 coastal regions around Australia. While dust-sourced high Fe loadings and low Fe solubilities (5%) aerosols dominate the atmospheric burden of the western coasts of Australia, much lower Fe concentrations but greater Fe solubilities (10.5% and 13%) were measured in aerosols along the east coast which was attributed to solubility-enhancing atmospheric reactions with anthropogenic pollutants. Surprisingly high aerosol Fe solubilities (&gt;20%) in northern Australia aerosols were associated with direct emissions or atmospheric reactions with bushfire emissions at tropical latitudes, which accounted for 49% of the total (sum) atmospheric dry deposition flux of labile Fe measured across the continent's surrounding seawaters in this study.</t>
  </si>
  <si>
    <t>[Perron, Morgane M. G.; Proemse, Bernadette C.; Strzelec, Michal; Boyd, Philip W.; Bowie, Andrew R.] Univ Tasmania, Inst Marine &amp; Antarctic Studies, Battery Point, Tas, Australia; [Gault-Ringold, Melanie; Boyd, Philip W.; Bowie, Andrew R.] Univ Tasmania, Antarctic Climate &amp; Ecosyst CRC, Battery Point, Tas, Australia; [Proemse, Bernadette C.; Rodriguez, Estrella Sanz; Paull, Brett] Univ Tasmania, Australian Ctr Res Separat Sci ACROSS, Sch Nat Sci, Sandy Bay, Tas 7001, Australia</t>
  </si>
  <si>
    <t>Perron, MMG (corresponding author), 20 Castray Esplanade, Battery Point, Tas 7004, Australia.</t>
  </si>
  <si>
    <t>morgane.perron@utas.edu.au</t>
  </si>
  <si>
    <t>paull, brett/AAO-8366-2020; Perron, Morgane/HHS-1241-2022; Boyd, Philip W/J-7624-2014; Bowie, Andrew/C-8677-2013</t>
  </si>
  <si>
    <t>paull, brett/0000-0001-6373-6582; Bowie, Andrew/0000-0002-5144-7799; Perron, Morgane/0000-0001-5424-7138; Sanz Rodriguez, Estrella/0000-0003-3443-6382</t>
  </si>
  <si>
    <t>Australian Research Council Future Fellowship [FT130100037]; Antarctic Climate and Ecosystems Cooperative Research Centre (ACE CRC)</t>
  </si>
  <si>
    <t>Australian Research Council Future Fellowship(Australian Research Council); Antarctic Climate and Ecosystems Cooperative Research Centre (ACE CRC)(Australian GovernmentDepartment of Industry, Innovation and ScienceCooperative Research Centres (CRC) Programme)</t>
  </si>
  <si>
    <t>This work was supported by an Australian Research Council Future Fellowship (FT130100037 to A.R.B.) and through the Antarctic Climate and Ecosystems Cooperative Research Centre (ACE CRC).</t>
  </si>
  <si>
    <t>10.1016/j.atmosenv.2020.117432</t>
  </si>
  <si>
    <t>LJ2XA</t>
  </si>
  <si>
    <t>WOS:000530031400010</t>
  </si>
  <si>
    <t>Yu, FQH; Wang, HL; Jiang, XM; Lu, T; Xue, CH</t>
  </si>
  <si>
    <t>Yu, Fanqianhui; Wang, Huiling; Jiang, Xiaoming; Lu, Tao; Xue, Changhu</t>
  </si>
  <si>
    <t>A new multistage counter current extraction method of removing fluoride from defatted Antarctic krill powder</t>
  </si>
  <si>
    <t>JOURNAL OF FOOD PROCESSING AND PRESERVATION</t>
  </si>
  <si>
    <t>EUPHAUSIA-SUPERBA; L-TYROSINE</t>
  </si>
  <si>
    <t>This study aims to find an efficient acid extraction method to remove fluoride from defatted krill powder. Considering the effects of acid species, concentration, temperature, extraction time, solvent volume on the defluoridation efficiency, and final product yield, a new multistage counter current extraction method was developed. The optimum reaction condition was obtained by adding 10 ml of 0.3 M HCl to 1 g defatted krill powder and extracting for four stages, each stage was lasting for 60 min. After this process, fluoride content per dry weight of the final product was remarkably reduced to &lt;5 mg/kg, defluoridation efficiency was 99.70%, and water consumption was minimized. Fourier transform infrared spectroscopy also indicated a decrease in the amount of fluorine, and basic chemical composition measurement indicated krill protein was not damaged during this process. Therefore, these results could be used as theoretical guidance for removing fluoride in practical application. Practical applications Defatted Antarctic krill powder is a cheap by-product after krill oil extraction, but it contains both high-quality protein and high concentration of fluoride. The toxicity of fluoride in krill powder makes it not be allowed as food resource. So, a new counter current extraction method was developed to defluorinate from defatted krill powder, which was an easy and cheap process, but high defluoridation efficiency with low water consumption. It has been successfully applied to the food pilot base, and it would help to obtain the safe defatted Antarctic krill powder in krill industry.</t>
  </si>
  <si>
    <t>[Yu, Fanqianhui; Wang, Huiling; Jiang, Xiaoming; Xue, Changhu] Ocean Univ China, Coll Food Sci &amp; Engn, Qingdao 266003, Peoples R China; [Lu, Tao] Shandong Univ Sci &amp; Technol, Dept Mech &amp; Elect Engn, Qingdao, Peoples R China; [Xue, Changhu] Qingdao Natl Lab Marine Sci &amp; Technol, Lab Marine Drugs &amp; Biol Prod, Qingdao, Peoples R China</t>
  </si>
  <si>
    <t>Ocean University of China; Shandong University of Science &amp; Technology; Laoshan Laboratory</t>
  </si>
  <si>
    <t>Xue, CH (corresponding author), Ocean Univ China, Coll Food Sci &amp; Engn, Qingdao 266003, Peoples R China.</t>
  </si>
  <si>
    <t>xuech@ouc.edu.cn</t>
  </si>
  <si>
    <t>Jiang, Xiaoming/AES-5733-2022; Yu, Fanqianhui/AAY-4756-2020</t>
  </si>
  <si>
    <t>Jiang, Xiaoming/0000-0002-1444-6121;</t>
  </si>
  <si>
    <t>0145-8892</t>
  </si>
  <si>
    <t>1745-4549</t>
  </si>
  <si>
    <t>J FOOD PROCESS PRES</t>
  </si>
  <si>
    <t>J. Food Process Preserv.</t>
  </si>
  <si>
    <t>e14437</t>
  </si>
  <si>
    <t>10.1111/jfpp.14437</t>
  </si>
  <si>
    <t>LI0XV</t>
  </si>
  <si>
    <t>WOS:000529210800026</t>
  </si>
  <si>
    <t>Báez, AD; Báez, W; Caselli, AT; Martini, MA; Sommer, CA</t>
  </si>
  <si>
    <t>Baez, Alejandro D.; Baez, Walter; Caselli, Alberto T.; Martini, Mateo A.; Sommer, Carlos A.</t>
  </si>
  <si>
    <t>The glaciovolcanic evolution of the Copahue volcano, Andean Southern Volcanic Zone, Argentina-Chile</t>
  </si>
  <si>
    <t>JOURNAL OF VOLCANOLOGY AND GEOTHERMAL RESEARCH</t>
  </si>
  <si>
    <t>Glaciovolcanism; Volcano-ice interaction; Caviahue-Copahue volcanic complex; Late Pleistocene</t>
  </si>
  <si>
    <t>SOUTHWESTERN BRITISH-COLUMBIA; CHEMICAL CLASSIFICATION; RADIOCARBON CHRONOLOGY; REYKJANES PENINSULA; FACIES ANALYSIS; MOUNT-RAINIER; LAVA; ICELAND; COMPLEX; RIDGE</t>
  </si>
  <si>
    <t>Glaciovolcanism produces distinctive features that are useful paleoclimate proxies for the distribution of past ice sheets and glacier extent. The Copahue volcano located in the Andean Southern Volcanic Zone. Argentina-Chile, is an active composite volcano known to have glaciovolcanic features such as lava bodies with glassy margins and anomalous cooling fractures. However, the emplacement conditions of these products and the influence of Pleistocene glaciations on the evolution of the Copahue volcano remains poorly understood. In this contribution, we propose a model for glaciovolcanic evolution of the Copahue volcano based on the analysis, interpretation, and mapping of its products. Ten lithofacies are described on the eastern flank of Copahue volcano exhibiting several examples of glaciovolcanism. The evolution of the Copahue volcano can be divided into two main sequences: the Ancient Sequence (S1) and the Young Sequence (S2), separated by a major erosive phase. The S1 (early-middle Pleistocene-late Pleistocene) consists of an initial subaerial effusive stage followed by a major glaciovolcanic stage, during which a thick ice cap existed and the edifice grew beneath an englacial lake with the eventual formation of a lava-fed delta. The S2 (late Pleistocene-Present) is defined by mainly effusive activity during periods of glacial advance and retreat recorded by an alternation of unconfined subaerial lavas and ice-confined lavas. The evolution of the Copahue volcano therefore indicates two glaciations in the Copahue-Caviahue area during the late Pleistocene, in contrast to a single glaciation. Based on the glacial history in the area we associate the first glaciation with the end of Marine Isotope Stage 3 (57-29 ka) and/or the Last Glacial Maximum period (26.5-19.0 ka), and the second less-extensive glacial period with the Antarctic Cold Reversal (14.5-12.9 ka). (C) 2020 Elsevier B.V. All rights reserved.</t>
  </si>
  <si>
    <t>[Baez, Alejandro D.; Caselli, Alberto T.] Univ Nacl Rio Negro, Inst Invest Paleobiol &amp; Geol, Viedma, Rio Negro, Argentina; [Baez, Alejandro D.; Caselli, Alberto T.] Consejo Nacl Invest Cient &amp; Tecn CONICET, Inst Invest Paleobiol &amp; Geol, Viedma, Rio Negro, Argentina; [Baez, Walter] Univ Nacl Salta, CONICET, IBIGEO, Av Bolivia 5150,A4400FVY, Salta, Argentina; [Martini, Mateo A.] Univ Chile, Nucleo Milenio Paleoclima, Santiago, Chile; [Martini, Mateo A.] Pontificia Univ Catolica Chile, Inst Geog, Santiago, Chile; [Martini, Mateo A.] UNC, Ctr Invest Ciencias Tierra CICTERRA, CONICET, Fac Ciencios Exactas Fis &amp; Nat, Cordoba, Argentina; [Sommer, Carlos A.] Univ Fed Rio Grande do Sul UFRGS, Av Bento Goncalves 9500,15001, BR-91501970 Porto Alegre, RS, Brazil</t>
  </si>
  <si>
    <t>Consejo Nacional de Investigaciones Cientificas y Tecnicas (CONICET); Universidad de Chile; Pontificia Universidad Catolica de Chile; Consejo Nacional de Investigaciones Cientificas y Tecnicas (CONICET); National University of Cordoba; Universidade Federal do Rio Grande do Sul</t>
  </si>
  <si>
    <t>Báez, AD (corresponding author), Univ Nacl Rio Negro, Inst Invest Paleobiol &amp; Geol, Viedma, Rio Negro, Argentina.</t>
  </si>
  <si>
    <t>adbaez@unrn.edu.ar</t>
  </si>
  <si>
    <t>Martini, Mateo/ABF-3602-2020; Sommer, Carlos A/Q-9077-2018</t>
  </si>
  <si>
    <t>Martini, Mateo/0000-0003-1704-9313; Sommer, Carlos A/0000-0001-8696-7084; Baez, Alejandro David/0000-0003-3346-0591</t>
  </si>
  <si>
    <t>Universidad Nacional de Rio Negro [PI UNRN 2017 40 A 618]</t>
  </si>
  <si>
    <t>Universidad Nacional de Rio Negro</t>
  </si>
  <si>
    <t>This work was supported by Universidad Nacional de Rio Negro (project PI UNRN 2017 40 A 618). We thank Agostina Chiodi and Shanaka de Silva for the English writing assistance, as well as Gerardo Barion and Enzo Martinez for their help during fieldwork. We also acknowledge Jose Luis Macias for editorial handling, and Benjamin Edwards, James Kelly Russell and an anonymous reviewer for their helpful comments that have substantially improved this paper.</t>
  </si>
  <si>
    <t>0377-0273</t>
  </si>
  <si>
    <t>1872-6097</t>
  </si>
  <si>
    <t>J VOLCANOL GEOTH RES</t>
  </si>
  <si>
    <t>J. Volcanol. Geotherm. Res.</t>
  </si>
  <si>
    <t>10.1016/j.jvolgeores.2020.106866</t>
  </si>
  <si>
    <t>LI9LQ</t>
  </si>
  <si>
    <t>WOS:000529798300005</t>
  </si>
  <si>
    <t>Deng, ZC; Han, XB; Chen, CL; Wang, H; Ma, BB; Zhang, DD; Zhang, ZC; Zhang, CF</t>
  </si>
  <si>
    <t>Deng, Zhaochao; Han, Xibin; Chen, Chunlei; Wang, Heng; Ma, Bingbing; Zhang, Dongdong; Zhang, Zhichao; Zhang, Chunfang</t>
  </si>
  <si>
    <t>The distribution characteristics of polychlorinated biphenyls (PCBs) in the surface sediments of Ross Sea and Drake Passage, Antarctica: A 192 congeners analysis</t>
  </si>
  <si>
    <t>Antarctica; PCBs; Sediment; Distribution characteristic</t>
  </si>
  <si>
    <t>PERSISTENT ORGANIC POLLUTANTS; WINTER QUARTERS BAY; KING GEORGE ISLAND; CONTAMINATION; POLYCHLOROBIPHENYLS; ATMOSPHERE; SOILS; POPS; PHYTOPLANKTON; PESTICIDES</t>
  </si>
  <si>
    <t>A total of 23 sediment samples are collected from Ross Sea and Drake Passage to investigate the distribution characteristics of polychlorinated biphenyls (PCBs) in the Antarctic marine sediments. Over 51 kinds of PCBs are detected through exhaustive searches using multiple reaction monitoring system. The results show that the concentration of individual PCB congener and total PCBs vary greatly among sampling sites, ranging from not detected to 49.75 ng g(-1) and 3.77 to 246.86 ng g(-1), respectively. The average PCBs level in Ross Sea is ten times higher than that in Drake Passage. Two different homologues, hexa- and tetra-CBs, give high contributions to SPCBs level in most samples from Ross Sea and Drake Passage, respectively. Our results support that the marine sediments might be an important sink for PCBs. Besides, the biological pump and the primary productivity might be responsible for the distribution differences of PCBs between Ross Sea and Drake Passage.</t>
  </si>
  <si>
    <t>[Deng, Zhaochao; Chen, Chunlei; Ma, Bingbing; Zhang, Dongdong; Zhang, Chunfang] Zhejiang Univ, Ocean Coll, Inst Marine Biol &amp; Pharmacol, Zhoushan 316021, Zhejiang, Peoples R China; [Han, Xibin] Minist Nat Resources, Inst Oceanog 2, Hangzhou 310012, Zhejiang, Peoples R China; [Han, Xibin] State Ocean Adm, Key Lab Submarine Geosci, Hangzhou 310012, Zhejiang, Peoples R China; [Wang, Heng; Zhang, Zhichao] Zhoushan City Ctr Dis Control &amp; Prevent, Zhoushan 316021, Zhejiang, Peoples R China; [Zhang, Chunfang] Guangxi Key Lab Theory &amp; Technol Environm Pollut, Guilin 541006, Guangxi, Peoples R China</t>
  </si>
  <si>
    <t>Zhejiang University; Ministry of Natural Resources of the People's Republic of China</t>
  </si>
  <si>
    <t>Zhang, CF (corresponding author), Zhejiang Univ, Ocean Coll, Inst Marine Biol &amp; Pharmacol, Zhoushan 316021, Zhejiang, Peoples R China.</t>
  </si>
  <si>
    <t>zhangcf@zju.edu.cn</t>
  </si>
  <si>
    <t>Deng, Zhaochao/ABI-2340-2020; Zhang, Chunfang/S-9132-2016; wang, heng/IRZ-1686-2023</t>
  </si>
  <si>
    <t>National Natural Science Foundation of China [41977269]; Research Funds of the Guangxi Key Laboratory of Theory and Technology for Environmental Pollution Control [1801K011]; Natural Science Foundation of Guangxi Province [2018GXNSFAA138202]</t>
  </si>
  <si>
    <t>National Natural Science Foundation of China(National Natural Science Foundation of China (NSFC)); Research Funds of the Guangxi Key Laboratory of Theory and Technology for Environmental Pollution Control; Natural Science Foundation of Guangxi Province(National Natural Science Foundation of Guangxi Province)</t>
  </si>
  <si>
    <t>We are very grateful to the officers, crew, and technical personnel on board the R/V XUELONG icebreaker for their outstanding support during the 29th Chinese National Antarctic Research Expedition and the sediment sample Repository of Polar Research Institute of China for providing the sediment samples. We are very grateful to X.K., Li for his kind help during PCBs extraction. This study was supported by National Natural Science Foundation of China (No. 41977269), by the Research Funds of the Guangxi Key Laboratory of Theory and Technology for Environmental Pollution Control (1801K011), and by the Natural Science Foundation of Guangxi Province (2018GXNSFAA138202).</t>
  </si>
  <si>
    <t>10.1016/j.marpolbul.2020.111043</t>
  </si>
  <si>
    <t>LG6JW</t>
  </si>
  <si>
    <t>WOS:000528205900018</t>
  </si>
  <si>
    <t>Kelly, A; Lannuzel, D; Rodemann, T; Meiners, KM; Auman, HJ</t>
  </si>
  <si>
    <t>Kelly, A.; Lannuzel, D.; Rodemann, T.; Meiners, K. M.; Auman, H. J.</t>
  </si>
  <si>
    <t>Microplastic contamination in east Antarctic sea ice</t>
  </si>
  <si>
    <t>Microplastics; Marine debris; Land-fast sea ice; East Antarctica; Southern Ocean; Plastic pollution</t>
  </si>
  <si>
    <t>MARINE-ENVIRONMENT; SEDIMENTS; IMAGE; FTIR</t>
  </si>
  <si>
    <t>The durability of plastics in the marine environment has led to concerns regarding the pervasiveness of this debris in remote polar habitats. Microplastic (MP) enrichment in East Antarctic sea ice was measured in one ice core sampled from coastal land-fast sea ice. The core was processed and filtered material was analyzed using micro Fourier-Transform Infrared (mu FTIR) spectroscopy. 96 MP particles were identified, averaging 11.71 particles L-1. The most common MP polymers (polyethylene, polypropylene, and polyamide) were consistent with those most frequently represented in the majority of marine MP studies. Sea-ice MP concentrations were positively related with chlorophyll a, suggesting living biomass could assist in incorporating MPs in sea ice. Our preliminary results indicate that sea ice has the potential to serve as a reservoir for MP debris in the Southern Ocean, which may have consequences for Southern Ocean food webs and biogeochemistry.</t>
  </si>
  <si>
    <t>[Kelly, A.; Lannuzel, D.; Auman, H. J.] Univ Tasmania, Inst Marine &amp; Antarctic Studies, Private Bag 129, Hobart, Tas 7001, Australia; [Meiners, K. M.] Univ Tasmania, Australian Antarctic Program Partnership, Private Bag 80, Hobart, Tas 7001, Australia; [Rodemann, T.] Univ Tasmania, Cent Sci Lab, Private Bag 74, Hobart, Tas 7001, Australia; [Meiners, K. M.] Australian Antarctic Div, Dept Agr Water &amp; Environm, 203 Channel Highway, Kingston, Tas 7050, Australia</t>
  </si>
  <si>
    <t>University of Tasmania; University of Tasmania; University of Tasmania; Australian Antarctic Division</t>
  </si>
  <si>
    <t>Kelly, A (corresponding author), Univ Tasmania, Inst Marine &amp; Antarctic Studies, Private Bag 129, Hobart, Tas 7001, Australia.</t>
  </si>
  <si>
    <t>anna.kelly@utas.edu.au</t>
  </si>
  <si>
    <t>; lannuzel, delphine/J-7937-2014; Auman, Heidi/J-2418-2013</t>
  </si>
  <si>
    <t>Kelly, Anna/0000-0002-3087-9605; lannuzel, delphine/0000-0001-6154-1837; Rodemann, Thomas/0000-0003-2356-1153; Auman, Heidi/0000-0002-3749-7554</t>
  </si>
  <si>
    <t>Australian Antarctic Science Project [3026]; University of Tasmania 2018 MAM Seed Grant</t>
  </si>
  <si>
    <t>Australian Antarctic Science Project; University of Tasmania 2018 MAM Seed Grant</t>
  </si>
  <si>
    <t>Ice-core sampling was supported through Australian Antarctic Science Project [grant #3026]. Analyses and mu FTIR spectroscopy were supported through a University of Tasmania 2018 MAM Seed Grant.</t>
  </si>
  <si>
    <t>10.1016/j.marpolbul.2020.111130</t>
  </si>
  <si>
    <t>WOS:000528205900077</t>
  </si>
  <si>
    <t>Ma, J; Song, JM; Li, XG; Yuan, HM; Li, N; Duan, LQ; Wang, QD</t>
  </si>
  <si>
    <t>Ma, Jun; Song, Jinming; Li, Xuegang; Yuan, Huamao; Li, Ning; Duan, Liqin; Wang, Qidong</t>
  </si>
  <si>
    <t>The change of nutrient situation in the Prydz Bay waters along longitude 73°E, Antarctica, in the context of global environmental change</t>
  </si>
  <si>
    <t>Spatial and temporal distribution; Nutrient; 73 degrees E; Prydz Bay; Antarctica</t>
  </si>
  <si>
    <t>SEA-ICE PRODUCTION; SOUTHERN-OCEAN; PHYTOPLANKTON BIOMASS; ROSS SEA; SUMMER; RATIOS; CARBON; IRON; PRODUCTIVITY; VARIABILITY</t>
  </si>
  <si>
    <t>The spatial and temporal characteristics of nutrient concentrations and their influencing factors along longitude 73 degrees E in Prydz Bay were explored. Nutrient concentrations gradually increased from the continental shelf to the open ocean in summer surface water, and the stable environment in the bay, the chlorophyll a and the ice melting were responsible for this distribution characteristic. There was also clear annual variation of nutrients in the surface water. Average concentrations of nutrients showed the highest values in 2010, while they were the lowest in 2009, which may be influenced by El Nino. In the vertical distribution, there were close relationships between chlorophyll a PO4-P, SiO3-Si, S, and NO3-N depths respectively. Moreover, the variation of water masses also influenced the distribution of nutrients. Overall, the spatial and temporal characteristics of nutrients were closely related to environmental change, and especially to the ice melting in the Prydz Bay.</t>
  </si>
  <si>
    <t>[Ma, Jun; Song, Jinming; Li, Xuegang; Yuan, Huamao; Li, Ning; Duan, Liqin; Wang, Qidong] Chinese Acad Sci, Inst Oceanol, CAS Key Lab Marine Ecol &amp; Environm Sci, Qingdao 266071, Peoples R China; [Song, Jinming; Li, Xuegang; Yuan, Huamao; Li, Ning; Duan, Liqin; Wang, Qidong] Qingdao Natl Lab Marine Sci &amp; Technol, Funct Lab Marine Ecol &amp; Environm Sci, Qingdao 266237, Peoples R China; [Ma, Jun; Song, Jinming; Li, Xuegang; Yuan, Huamao; Li, Ning; Duan, Liqin; Wang, Qidong] Univ Chinese Acad Sci, Beijing 100049, Peoples R China; [Ma, Jun; Song, Jinming; Li, Xuegang; Yuan, Huamao; Li, Ning; Duan, Liqin; Wang, Qidong] Chinese Acad Sci, Ctr Ocean Megasci, Qingdao 266071, Peoples R China</t>
  </si>
  <si>
    <t>Chinese Academy of Sciences; Institute of Oceanology, CAS; Laoshan Laboratory; Chinese Academy of Sciences; University of Chinese Academy of Sciences, CAS; Chinese Academy of Sciences</t>
  </si>
  <si>
    <t>Song, JM; Li, XG (corresponding author), Chinese Acad Sci, Inst Oceanol, CAS Key Lab Marine Ecol &amp; Environm Sci, Qingdao 266071, Peoples R China.</t>
  </si>
  <si>
    <t>jmsong@qdio.ac.cn; lixuegang@qdio.ac.cn</t>
  </si>
  <si>
    <t>Li, Ning/I-3417-2012</t>
  </si>
  <si>
    <t>Li, Ning/0000-0003-1684-4454; Ma, Jun/0000-0001-7589-7535; Yuan, Huamao/0000-0003-2014-619X</t>
  </si>
  <si>
    <t>Chinese National Antarctic &amp; Arctic Data Centre (CN-NADC); National Earth System Science Data Sharing Infrastructure; National Science &amp; Technology Infrastructure of China; National Key Research and Development Program [2017YFA0603204]; National Natural Science Foundation of China [91958103]; Strategic Priority Research Program of the Chinese Academy of Sciences [XDA19060401]</t>
  </si>
  <si>
    <t>Chinese National Antarctic &amp; Arctic Data Centre (CN-NADC); National Earth System Science Data Sharing Infrastructure; National Science &amp; Technology Infrastructure of China; National Key Research and Development Program; National Natural Science Foundation of China(National Natural Science Foundation of China (NSFC)); Strategic Priority Research Program of the Chinese Academy of Sciences(Chinese Academy of Sciences)</t>
  </si>
  <si>
    <t>This work received data support from Chinese National Antarctic &amp; Arctic Data Centre (CN-NADC), National Earth System Science Data Sharing Infrastructure, and National Science &amp; Technology Infrastructure of China (http://www.chinare.org.cn).This work was funded by the Strategic Priority Research Program of the Chinese Academy of Sciences (No. XDA19060401), the National Key Research and Development Program (No. 2017YFA0603204), and the National Natural Science Foundation of China (No. 91958103).</t>
  </si>
  <si>
    <t>10.1016/j.marpolbul.2020.111071</t>
  </si>
  <si>
    <t>WOS:000528205900042</t>
  </si>
  <si>
    <t>Pilcher, N; Gaw, S; Eisert, R; Horton, TW; Gormley, AM; Cole, TL; Lyver, PO</t>
  </si>
  <si>
    <t>Pilcher, Natalie; Gaw, Sally; Eisert, Regina; Horton, Travis W.; Gormley, Andrew M.; Cole, Theresa L.; Lyver, Phil O'B</t>
  </si>
  <si>
    <t>Latitudinal, sex and inter-specific differences in mercury and other trace metal concentrations in Adelie and Emperor penguins in the Ross Sea, Antarctica</t>
  </si>
  <si>
    <t>Adelie penguins; Contaminants; Emperor penguins; Ross Sea; Stable isotope ratios; Trace elements</t>
  </si>
  <si>
    <t>STABLE-ISOTOPES; APTENODYTES-FORSTERI; SPRINGTIME DEPLETION; MINAMATA CONVENTION; PYGOSCELIS-ADELIAE; SEASONAL-VARIATION; TEMPORAL VARIATION; TROPHIC POSITION; DIVING BEHAVIOR; VICTORIA-LAND</t>
  </si>
  <si>
    <t>We sought to determine mercury (Hg) and other trace metal concentrations in Adelie (Pygoscelis adeliae) and emperor penguin (Aptenodytes forsteri) breast feathers from the Ross Sea, Antarctica, and relate those concentrations to the trophic position and the habitats in which each of these species forage. Adelie penguin feathers from the southern Ross Sea colonies were higher in Hg than those sampled further north in the Ross Sea, potentially due to greater exposure to local sources, such as volcanism. Female Adelie penguins had lower feather total Hg concentrations than males. This may reflect female penguin's capacity to eliminate Hg through the egg development and laying process, or the larger and/or older prey items that male birds can consume, reflected by their higher trophic position. Emperor penguins have higher Hg concentrations than Adelie penguins which is also partially explained by Adelie penguins feeding at lower trophic levels than emperor penguins.</t>
  </si>
  <si>
    <t>[Pilcher, Natalie; Gaw, Sally] Univ Canterbury, Sch Phys &amp; Chem Sci, Christchurch, New Zealand; [Eisert, Regina] Univ Canterbury, Dept Geog, Gateway Antarctica, Christchurch, New Zealand; [Horton, Travis W.] Univ Canterbury, Dept Geol, Christchurch, New Zealand; [Gormley, Andrew M.; Lyver, Phil O'B] Manaaki Whenua Landcare Res, POB 69040, Lincoln 7640, New Zealand; [Cole, Theresa L.] Univ Copenhagen, Dept Biol, DK-2100 Copenhagen, Denmark</t>
  </si>
  <si>
    <t>University of Canterbury; University of Canterbury; University of Canterbury; Landcare Research - New Zealand; University of Copenhagen</t>
  </si>
  <si>
    <t>Lyver, PO (corresponding author), Manaaki Whenua Landcare Res, POB 69040, Lincoln 7640, New Zealand.</t>
  </si>
  <si>
    <t>lyverp@landcareresearch.co.nz</t>
  </si>
  <si>
    <t>Gormley, Andrew M/C-5145-2011</t>
  </si>
  <si>
    <t>Horton, Travis/0000-0003-0558-2970; Cole, Theresa/0000-0002-0197-286X</t>
  </si>
  <si>
    <t>Ministry of Business, Innovation and Employment's Science and Innovation Group (Strategic Science Investment Funding for Crown Research Institutes); New Zealand Antarctic Research Institute; University of Canterbury; New Zealand Post</t>
  </si>
  <si>
    <t>The Ministry of Business, Innovation and Employment's Science and Innovation Group (Strategic Science Investment Funding for Crown Research Institutes) and New Zealand Antarctic Research Institute funded this research. New Zealand Post and University of Canterbury funded post-graduate student scholarships.</t>
  </si>
  <si>
    <t>10.1016/j.marpolbul.2020.111047</t>
  </si>
  <si>
    <t>WOS:000528205900022</t>
  </si>
  <si>
    <t>Schmid, M; Fernández, PA; Gaitán-Espitia, JD; Virtue, P; Leal, PP; Revill, AT; Nichols, PD; Hurd, CL</t>
  </si>
  <si>
    <t>Schmid, Matthias; Fernandez, Pamela A.; Gaitan-Espitia, Juan Diego; Virtue, Patti; Leal, Pablo P.; Revill, Andrew T.; Nichols, Peter D.; Hurd, Catriona L.</t>
  </si>
  <si>
    <t>Stress due to low nitrate availability reduces the biochemical acclimation potential of the giant kelp Macrocystis pyrifera to high temperature</t>
  </si>
  <si>
    <t>Seaweed; Fatty acids; Lipids; Thermal stress; Nutrients; Macrocystis pyrifera</t>
  </si>
  <si>
    <t>FATTY-ACID; MEMBRANE-LIPIDS; PLANT ADAPTATION; SEASONAL-CHANGES; CLIMATE-CHANGE; GROWTH; PHAEOPHYCEAE; UNSATURATION; MACROALGAE; TOLERANCE</t>
  </si>
  <si>
    <t>The performance and survival of macroalgae is largely determined by their ability to adjust to varying environmental conditions. In this study, we investigated the short-term response of the giant kelp Macrocystis pyrifera to varying temperatures (6, 17 and 24 degrees C) and low and high nitrate conditions (5 mu M and 80 mu M nitrate) on lipid and fatty acid levels. Results revealed that M. pyrifera was able to rapidly adjust to varying temperatures by changing the saturation level of the fatty acid composition at low and high nitrate conditions. On a lipid level, we observed interactive effects of temperature and nutrient conditions. Under high nitrate conditions, M. pyrifera maintained the same lipid profile. However, under low nitrate and high temperature conditions, an increase in free fatty acids (FFA) was observed, indicative of lipid degeneration at high temperatures. Results show that low nitrogen concentrations can magnify the negative effects of short term temperature stress in the giant kelp M. pyrifera. Our findings indicate that under rapid warming events, local nitrate availability might be a decisive factor for the acclimation potential of M. pyrifera.</t>
  </si>
  <si>
    <t>[Schmid, Matthias; Fernandez, Pamela A.; Virtue, Patti; Nichols, Peter D.; Hurd, Catriona L.] Univ Tasmania, Inst Marine &amp; Antarctic Studies, 20 Castray Esplanade, Hobart, Tas 7004, Australia; [Fernandez, Pamela A.] Univ Los Lagos, Ctr I Mar, Camino Chinquihue Km 6,Casilla 557, Puerto Montt, Chile; [Fernandez, Pamela A.] Univ Los Lagos, CeBiB, Camino Chinquihue Km 6,Casilla 557, Puerto Montt, Chile; [Gaitan-Espitia, Juan Diego] Univ Hong Kong, Swire Inst Marine Sci, Hong Kong, Peoples R China; [Gaitan-Espitia, Juan Diego] Univ Hong Kong, Sch Biol Sci, Hong Kong, Peoples R China; [Leal, Pablo P.] Inst Fomento Pesquero IFOP, Dept Repoblac &amp; Cult, Balmaceda 252,Casilla 665, Puerto Montt, Chile; [Virtue, Patti; Revill, Andrew T.; Nichols, Peter D.] CSIRO Oceans &amp; Atmosphere, GPO Box 1538, Hobart, Tas 7001, Australia</t>
  </si>
  <si>
    <t>University of Tasmania; Universidad de Los Lagos; Universidad de Los Lagos; University of Hong Kong; University of Hong Kong; Instituto de Fomento Pesquero (Valparaiso); Commonwealth Scientific &amp; Industrial Research Organisation (CSIRO)</t>
  </si>
  <si>
    <t>Schmid, M (corresponding author), Univ Tasmania, Inst Marine &amp; Antarctic Studies, 20 Castray Esplanade, Hobart, Tas 7004, Australia.</t>
  </si>
  <si>
    <t>Matthias.schmid@utas.edu.au</t>
  </si>
  <si>
    <t>Leal, Pablo P./N-3927-2019; Gaitan-Espitia, Juan Diego/A-9945-2012; Nichols, Peter D/C-5128-2011; Revill, Andrew T/B-8733-2011; Fernandez, Pamela/AAX-1676-2021; Hurd, Catriona/J-2411-2013</t>
  </si>
  <si>
    <t>Leal, Pablo P./0000-0002-7616-1850; Gaitan-Espitia, Juan Diego/0000-0001-8781-5736; Fernandez, Pamela/0000-0003-3122-0084; Hurd, Catriona/0000-0001-9965-4917</t>
  </si>
  <si>
    <t>Deutsche Forschungsgemeinschaft, Germany (DFG) [SCHM 3335/1-1]; Research Grants Council of Hong Kong [ECS 27124318]</t>
  </si>
  <si>
    <t>Deutsche Forschungsgemeinschaft, Germany (DFG)(German Research Foundation (DFG)); Research Grants Council of Hong Kong(Hong Kong Research Grants Council)</t>
  </si>
  <si>
    <t>' This work was supported by funding through the Deutsche Forschungsgemeinschaft, Germany (DFG, grant ID: SCHM 3335/1-1) granted to the first author. JDGE was supported by the Research Grants Council (ECS 27124318) of Hong Kong.</t>
  </si>
  <si>
    <t>10.1016/j.algal.2020.101895</t>
  </si>
  <si>
    <t>NS2UI</t>
  </si>
  <si>
    <t>WOS:000572122100013</t>
  </si>
  <si>
    <t>Núñez-Montero, K; Quezada-Solís, D; Khalil, ZG; Capon, RJ; Andreote, FD; Barrientos, L</t>
  </si>
  <si>
    <t>Nunez-Montero, Kattia; Quezada-Solis, Damian; Khalil, Zeinab G.; Capon, Robert J.; Andreote, Fernando D.; Barrientos, Leticia</t>
  </si>
  <si>
    <t>Genomic and Metabolomic Analysis of Antarctic Bacteria Revealed Culture and Elicitation Conditions for the Production of Antimicrobial Compounds</t>
  </si>
  <si>
    <t>BIOMOLECULES</t>
  </si>
  <si>
    <t>metabolomics; antibiotics discovery; secondary metabolites; cold-adapted bacteria; genome mining; silent gene clusters</t>
  </si>
  <si>
    <t>BIOSYNTHETIC GENE CLUSTERS; SECONDARY METABOLISM; NATURAL-PRODUCTS; MICROBIAL COMMUNITIES; MOLECULAR NETWORKING; DRUG DISCOVERY; SP NOV.; MARINE; SEQUENCE; TOOL</t>
  </si>
  <si>
    <t>Concern about finding new antibiotics against drug-resistant pathogens is increasing every year. Antarctic bacteria have been proposed as an unexplored source of bioactive metabolites; however, most biosynthetic gene clusters (BGCs) producing secondary metabolites remain silent under common culture conditions. Our work aimed to characterize elicitation conditions for the production of antibacterial secondary metabolites from 34 Antarctic bacterial strains based on MS/MS metabolomics and genome mining approaches. Bacterial strains were cultivated under different nutrient and elicitation conditions, including the addition of lipopolysaccharide (LPS), sodium nitroprusside (SNP), and coculture. Metabolomes were obtained by HPLC-QTOF-MS/MS and analyzed through molecular networking. Antibacterial activity was determined, and seven strains were selected for genome sequencing and analysis. Biosynthesis pathways were activated by all the elicitation treatments, which varies among strains and dependents of culture media. Increased antibacterial activity was observed for a few strains and addition of LPS was related with inhibition of Gram-negative pathogens. Antibiotic BGCs were found for all selected strains and the expressions of putative actinomycin, carotenoids, and bacillibactin were characterized by comparison of genomic and metabolomic data. This work established the use of promising new elicitors for bioprospection of Antarctic bacteria and highlights the importance of new -omics comparative approaches for drug discovery.</t>
  </si>
  <si>
    <t>[Nunez-Montero, Kattia; Quezada-Solis, Damian; Barrientos, Leticia] Univ La Frontera, Ctr Excellence Translat Med, Lab Mol Appl Biol, Ave Alemania 0458, Temuco 4810296, Chile; [Nunez-Montero, Kattia; Barrientos, Leticia] Univ La Frontera, Sci &amp; Technol Bioresource Nucleus BIOREN, Temuco 4811230, Chile; [Nunez-Montero, Kattia] Inst Tecnol Costa Rica, Dept Biol, Biotechnol Invest Ctr, Cartago 1597050, Costa Rica; [Khalil, Zeinab G.; Capon, Robert J.] Univ Queensland, Inst Mol Biosci, St Lucia, Qld 4072, Australia; [Andreote, Fernando D.] Univ Sao Paulo, Luiz de Queiroz Coll Agr, Dept Soil Sci, BR-13418900 Piracicaba, SP, Brazil</t>
  </si>
  <si>
    <t>Universidad de La Frontera; Universidad de La Frontera; Instituto Tecnologico de Costa Rica; University of Queensland; Universidade de Sao Paulo</t>
  </si>
  <si>
    <t>Barrientos, L (corresponding author), Univ La Frontera, Ctr Excellence Translat Med, Lab Mol Appl Biol, Ave Alemania 0458, Temuco 4810296, Chile.;Barrientos, L (corresponding author), Univ La Frontera, Sci &amp; Technol Bioresource Nucleus BIOREN, Temuco 4811230, Chile.</t>
  </si>
  <si>
    <t>k.nunez03@ufromail.cl; d.quezada02@ufromail.cl; z.khalil@imb.uq.edu.au; r.capon@imb.uq.edu.au; fdandreo@gmail.com; leticia.barrientos@ufrontera.cl</t>
  </si>
  <si>
    <t>Andreote, Fernando Dini/B-8499-2012; Barrientos, Leticia/R-6205-2017; Núñez-Montero, Kattia/AAM-6767-2021; Capon, Rob/G-9238-2012; Khalil, Zeinab/J-2150-2014</t>
  </si>
  <si>
    <t>Barrientos, Leticia/0000-0002-5344-054X; Núñez-Montero, Kattia/0000-0002-8629-5107; Capon, Rob/0000-0002-8341-7754; Khalil, Zeinab/0000-0002-9285-1720; Quezada-Solis, Damian/0000-0001-5254-4307</t>
  </si>
  <si>
    <t>INSTITUTO ANTARTICO CHILENO (INACH) [INACH RT_14-12, DG_01-19]; UNIVERSIDAD DE LA FRONTERA [DI19-0079]; NETWORK FOR EXTREME ENVIRONMENTS RESEARCH [NXR17-0003]; CONICYT [CONICYT-PFCHA/Doctorado Nacional/2017-21170263]</t>
  </si>
  <si>
    <t>INSTITUTO ANTARTICO CHILENO (INACH); UNIVERSIDAD DE LA FRONTERA; NETWORK FOR EXTREME ENVIRONMENTS RESEARCH; CONICYT(Comision Nacional de Investigacion Cientifica y Tecnologica (CONICYT))</t>
  </si>
  <si>
    <t>This research was funded by the INSTITUTO ANTARTICO CHILENO (INACH), grants INACH RT_14-12 and DG_01-19; UNIVERSIDAD DE LA FRONTERA, grant DI19-0079; NETWORK FOR EXTREME ENVIRONMENTS RESEARCH, grant NXR17-0003; CONICYT, grant CONICYT-PFCHA/Doctorado Nacional/2017-21170263 for K.N-M.</t>
  </si>
  <si>
    <t>2218-273X</t>
  </si>
  <si>
    <t>Biomolecules</t>
  </si>
  <si>
    <t>10.3390/biom10050673</t>
  </si>
  <si>
    <t>ME9ZV</t>
  </si>
  <si>
    <t>WOS:000545013700010</t>
  </si>
  <si>
    <t>Yamauchi, A; Arai, T; Kondo, H; Sasaki, YC; Tsuda, S</t>
  </si>
  <si>
    <t>Yamauchi, Akari; Arai, Tatsuya; Kondo, Hidemasa; Sasaki, Yuji C.; Tsuda, Sakae</t>
  </si>
  <si>
    <t>An Ice-Binding Protein from an Antarctic Ascomycete Is Fine-Tuned to Bind to Specific Water Molecules Located in the Ice Prism Planes</t>
  </si>
  <si>
    <t>ice-binding protein; antifreeze protein; ascomycete; thermal hysteresis; fluorescence-based ice plane affinity; polygonal waters</t>
  </si>
  <si>
    <t>HYPERACTIVE ANTIFREEZE PROTEIN; FREEZING RESISTANCE; DYNAMICS; CRYSTAL; SITE; MECHANISM; NETWORK</t>
  </si>
  <si>
    <t>Many microbes that survive in cold environments are known to secrete ice-binding proteins (IBPs). The structure-function relationship of these proteins remains unclear. A microbial IBP denoted AnpIBP was recently isolated from a cold-adapted fungus, Antarctomyces psychrotrophicus. The present study identified an orbital illumination (prism ring) on a globular single ice crystal when soaked in a solution of fluorescent AnpIBP, suggesting that AnpIBP binds to specific water molecules located in the ice prism planes. In order to examine this unique ice-binding mechanism, we carried out X-ray structural analysis and mutational experiments. It appeared that AnpIBP is made of 6-ladder beta-helices with a triangular cross section that accompanies an ice-like water network on the ice-binding site. The network, however, does not exist in a defective mutant. AnpIBP has a row of four unique hollows on the IBS, where the distance between the hollows (14.7 angstrom) is complementary to the oxygen atom spacing of the prism ring. These results suggest the structure of AnpIBP is fine-tuned to merge with the ice-water interface of an ice crystal through its polygonal water network and is then bound to a specific set of water molecules constructing the prism ring to effectively halt the growth of ice.</t>
  </si>
  <si>
    <t>[Yamauchi, Akari; Kondo, Hidemasa; Tsuda, Sakae] Hokkaido Univ, Grad Sch Life Sci, Sapporo, Hokkaido 0600810, Japan; [Arai, Tatsuya; Sasaki, Yuji C.] Univ Tokyo, Grad Sch Frontier Sci, Kashiwa, Chiba 2778561, Japan; [Kondo, Hidemasa; Tsuda, Sakae] Natl Inst Adv Ind Sci &amp; Technol, Bioprod Res Inst, Sapporo, Hokkaido 0628517, Japan; [Sasaki, Yuji C.; Tsuda, Sakae] Natl Inst Adv Ind Sci &amp; Technol, OPERANDO Open Innovat Lab, Tsukuba, Ibaraki 3058563, Japan</t>
  </si>
  <si>
    <t>Hokkaido University; University of Tokyo; National Institute of Advanced Industrial Science &amp; Technology (AIST); National Institute of Advanced Industrial Science &amp; Technology (AIST)</t>
  </si>
  <si>
    <t>Yamauchi, A; Tsuda, S (corresponding author), Hokkaido Univ, Grad Sch Life Sci, Sapporo, Hokkaido 0600810, Japan.;Tsuda, S (corresponding author), Natl Inst Adv Ind Sci &amp; Technol, Bioprod Res Inst, Sapporo, Hokkaido 0628517, Japan.;Tsuda, S (corresponding author), Natl Inst Adv Ind Sci &amp; Technol, OPERANDO Open Innovat Lab, Tsukuba, Ibaraki 3058563, Japan.</t>
  </si>
  <si>
    <t>akari.yamauchi.jp@gmail.com; t.arai@edu.k.u-tokyo.ac.jp; h.kondo@aist.go.jp; ycsasaki@edu.k.u-tokyo.ac.jp; s.tsuda@aist.go.jp</t>
  </si>
  <si>
    <t>Arai, Tatsuya/GXW-1299-2022; Yamauchi, Akari/JQJ-0083-2023; Kondo, Hidemasa/M-7465-2018; Tsuda, Sakae/M-2756-2018; SASAKI, Yuji C./N-6880-2016</t>
  </si>
  <si>
    <t>Yamauchi, Akari/0000-0002-8973-4443; Kondo, Hidemasa/0000-0003-2799-1775; Tsuda, Sakae/0000-0002-1399-0619; Arai, Tatsuya/0000-0002-2328-9519; SASAKI, Yuji C./0000-0003-3403-237X</t>
  </si>
  <si>
    <t>KAKENHI from Japan Society for the Promotion of Science (JSPS) [19H02529, 19K22989]; Grants-in-Aid for Scientific Research [19H02529, 19K22989] Funding Source: KAKEN</t>
  </si>
  <si>
    <t>KAKENHI from Japan Society for the Promotion of Science (JSPS)(Ministry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</si>
  <si>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supported by KAKENHI grant numbers 19H02529 and 19K22989 from Japan Society for the Promotion of Science (JSPS).</t>
  </si>
  <si>
    <t>10.3390/biom10050759</t>
  </si>
  <si>
    <t>WOS:000545013700096</t>
  </si>
  <si>
    <t>Bottos, EM; Laughlin, DC; Herbold, CW; Lee, CK; McDonald, IR; Cary, SC</t>
  </si>
  <si>
    <t>Bottos, Eric M.; Laughlin, Daniel C.; Herbold, Craig W.; Lee, Charles K.; McDonald, Ian R.; Cary, S. Craig</t>
  </si>
  <si>
    <t>Abiotic factors influence patterns of bacterial diversity and community composition in the Dry Valleys of Antarctica</t>
  </si>
  <si>
    <t>Antarctica; Dry Valleys; abiotic drivers; soil</t>
  </si>
  <si>
    <t>VICTORIA LAND; SOIL BIODIVERSITY; BIOTIC INTERACTIONS; GLOBAL PATTERNS; BETA-DIVERSITY; FUNGAL; BIOGEOGRAPHY; GRADIENT; PH; BIOGEOCHEMISTRY</t>
  </si>
  <si>
    <t>The Dry Valleys of Antarctica are a unique ecosystem of simple trophic structure, where the abiotic factors that influence soil bacterial communities can be resolved in the absence of extensive biotic interactions. This study evaluated the degree to which aspects of topographic, physicochemical and spatial variation explain patterns of bacterial richness and community composition in 471 soil samples collected across a 220 square kilometer landscape in Southern Victoria Land. Richness was most strongly influenced by physicochemical soil properties, particularly soil conductivity, though significant trends with several topographic and spatial variables were also observed. Structural equation modeling (SEM) supported a final model in which variation in community composition was best explained by physicochemical variables, particularly soil water content, and where the effects of topographic variation were largely mediated through their influence on physicochemical variables. Community dissimilarity increased with distance between samples, and though most of this variation was explained by topographic and physicochemical variation, a small but significant relationship remained after controlling for this environmental variation. As the largest survey of terrestrial bacterial communities of Antarctica completed to date, this work provides fundamental knowledge of the Dry Valleys ecosystem, and has implications globally for understanding environmental factors that influence bacterial distributions.</t>
  </si>
  <si>
    <t>[Bottos, Eric M.; Laughlin, Daniel C.; Herbold, Craig W.; Lee, Charles K.; McDonald, Ian R.; Cary, S. Craig] Univ Waikato, Sch Sci, Private Bag 3105, Hamilton 3240, New Zealand; [Bottos, Eric M.; Herbold, Craig W.; Lee, Charles K.; McDonald, Ian R.; Cary, S. Craig] Univ Waikato, Int Ctr Terr Antarctic Res, Private Bag 3105, Hamilton 3240, New Zealand; [Bottos, Eric M.] Thompson Rivers Univ, Dept Biol Sci, Kamloops, BC, Canada; [Herbold, Craig W.] Univ Vienna, Div Microbial Ecol, Ctr Microbiol &amp; Environm Syst Sci, Vienna, Austria; [Laughlin, Daniel C.] Univ Wyoming, Dept Bot, Laramie, WY 82071 USA</t>
  </si>
  <si>
    <t>University of Waikato; University of Waikato; University of Vienna; University of Wyoming</t>
  </si>
  <si>
    <t>Cary, SC (corresponding author), Univ Waikato, Sch Sci, Private Bag 3105, Hamilton 3204, New Zealand.</t>
  </si>
  <si>
    <t>caryc@waikato.ac.nz</t>
  </si>
  <si>
    <t>Laughlin, Daniel C/G-8855-2012; lee, charles/AAW-6627-2021; Lee, Charles/AAC-9417-2019; Herbold, Craig William/S-4397-2018; LI, WEI/ISS-1208-2023; McDonald, Ian R/A-4851-2008</t>
  </si>
  <si>
    <t>lee, charles/0000-0001-6906-4895; Lee, Charles/0000-0002-6562-4733; Herbold, Craig William/0000-0003-3479-0197; McDonald, Ian R/0000-0002-4847-6492; Cary, Stephen/0000-0002-2876-2387</t>
  </si>
  <si>
    <t>Foundation for Research, Science and Technology of New Zealand; National Science Foundation [ANT 0739648]; New Zealand Marsden Fund [UOW1003]</t>
  </si>
  <si>
    <t>Foundation for Research, Science and Technology of New Zealand(New Zealand Foundation for Research, Science and Technology); National Science Foundation(National Science Foundation (NSF)); New Zealand Marsden Fund(Royal Society of New ZealandMarsden Fund (NZ))</t>
  </si>
  <si>
    <t>This research was supported through awards from the Foundation for Research, Science and Technology of New Zealand and the National Science Foundation (ANT 0739648) to SCC, and an award from the New Zealand Marsden Fund (UOW1003) to CKL. Logistics support for the field seasons was provided by Antarctica New Zealand. We especially thank the many researchers who were involved in the New Zealand Terrestrial Antarctic Biocomplexity Survey (nzTABS) for their time and commitment to this work.</t>
  </si>
  <si>
    <t>fiaa042</t>
  </si>
  <si>
    <t>10.1093/femsec/fiaa042</t>
  </si>
  <si>
    <t>WOS:000537387400005</t>
  </si>
  <si>
    <t>Alder-Rangel, A; Idnurm, A; Brand, AC; Brown, AJP; Gorbushina, A; Kelliher, CM; Campos, CB; Levin, DE; Bell-Pedersen, D; Dadachova, E; Bauer, FF; Gadd, GM; Braus, GH; Braga, GUL; Brancini, GTP; Walker, GM; Druzhinina, I; Pócsi, I; Dijksterhuis, J; Aguirre, J; Hallsworth, JE; Schumacher, J; Wong, KH; Selbmann, L; Corrochano, LM; Kupiec, M; Momany, M; Molin, M; Requena, N; Yarden, O; Cordero, RJB; Fischer, R; Pascon, RC; Mancinelli, RL; Emri, T; Basso, TO; Rangel, DEN</t>
  </si>
  <si>
    <t>Alder-Rangel, Alene; Idnurm, Alexander; Brand, Alexandra C.; Brown, Alistair J. P.; Gorbushina, Anna; Kelliher, Christina M.; Campos, Claudia B.; Levin, David E.; Bell-Pedersen, Deborah; Dadachova, Ekaterina; Bauer, Florian F.; Gadd, Geoffrey M.; Braus, Gerhard H.; Braga, Gilberto U. L.; Brancini, Guilherme T. P.; Walker, Graeme M.; Druzhinina, Irina; Pocsi, Istvan; Dijksterhuis, Jan; Aguirre, Jesus; Hallsworth, John E.; Schumacher, Julia; Wong, Koon Ho; Selbmann, Laura; Corrochano, Luis M.; Kupiec, Martin; Momany, Michelle; Molin, Mikael; Requena, Natalia; Yarden, Oded; Cordero, Radames J. B.; Fischer, Reinhard; Pascon, Renata C.; Mancinelli, Rocco L.; Emri, Tamas; Basso, Thiago O.; Rangel, Drauzio E. N.</t>
  </si>
  <si>
    <t>The Third International Symposium on Fungal Stress - ISFUS</t>
  </si>
  <si>
    <t>Agricultural mycology; Fungal stress mechanisms and responses; Industrial mycology; Medical mycology</t>
  </si>
  <si>
    <t>MESSENGER-RNA TRANSLATION; GENOME-WIDE SCREEN; METARHIZIUM-ANISOPLIAE; CANDIDA-GLABRATA; SACCHAROMYCES-CEREVISIAE; METABOLIC COMPENSATION; PHOTODYNAMIC TREATMENT; SECONDARY METABOLISM; MYCELIAL GROWTH; GENE-EXPRESSION</t>
  </si>
  <si>
    <t>Stress is a normal part of life for fungi, which can survive in environments considered inhospitable or hostile for other organisms. Due to the ability of fungi to respond to, survive in, and transform the environment, even under severe stresses, many researchers are exploring the mechanisms that enable fungi to adapt to stress. The International Symposium on Fungal Stress (ISFUS) brings together leading scientists from around the world who research fungal stress. This article discusses presentations given at the third ISFUS, held in Sao Jose dos Campos, Sao Paulo, Brazil in 2019, thereby summarizing the state-of-the-art knowledge on fungal stress, a field that includes microbiology, agriculture, ecology, biotechnology, medicine, and astrobiology. (C) 2020 British Mycological Society. Published by Elsevier Ltd. All rights reserved.</t>
  </si>
  <si>
    <t>[Alder-Rangel, Alene] Alders English Serv, Sao Jose Dos Campos, SP, Brazil; [Idnurm, Alexander] Univ Melbourne, Sch BioSci, Melbourne, Vic, Australia; [Brand, Alexandra C.; Brown, Alistair J. P.] Univ Exeter, Med Res Council, Ctr Med Mycol, Exeter, Devon, England; [Gorbushina, Anna; Schumacher, Julia] Bundesanstalt Mat Forsch &amp; Prufung Mat &amp; Environm, Berlin, Germany; [Kelliher, Christina M.] Geisel Sch Med Dartmouth, Dept Mol &amp; Syst Biol, Hanover, NH USA; [Campos, Claudia B.] Univ Fed Sao Paulo, Dept Ciencia &amp; Tecnol, Sao Jose Dos Campos, SP, Brazil; [Levin, David E.] Boston Univ, Goldman Sch Dent Med, Boston, MA 02215 USA; [Bell-Pedersen, Deborah] Texas A&amp;M Univ, Dept Biol, Ctr Biol Clocks Res, College Stn, TX 77843 USA; [Dadachova, Ekaterina] Univ Saskatchewan, Coll Pharm &amp; Nutr, Saskatoon, SK, Canada; [Bauer, Florian F.] Stellenbosch Univ, Inst Wine Biotechnol, Dept Viticulture &amp; Oenol, Matieland, South Africa; [Gadd, Geoffrey M.] Univ Dundee, Sch Life Sci, Geomicrobiol Grp, Dundee, Scotland; [Braus, Gerhard H.] Georg August Univ Gottingen, Inst Microbiol &amp; Genet, Dept Mol Microbiol &amp; Genet, Gottingen, Germany; [Braus, Gerhard H.] Georg August Univ Gottingen, Goettingen Ctr Mol Biosci, Gottingen, Germany; [Braga, Gilberto U. L.; Brancini, Guilherme T. P.] Univ Sao Paulo, Fac Ciencias Farmaceut Ribeirao Preto, Ribeirao Preto, SP, Brazil; [Walker, Graeme M.] Abertay Univ, Sch Appl Sci, Dundee, Scotland; [Druzhinina, Irina] Nanjing Agr Univ, Nanjing, Peoples R China; [Pocsi, Istvan; Emri, Tamas] Univ Debrecen, Dept Mol Biotechnol &amp; Microbiol, Debrecen, Hungary; [Dijksterhuis, Jan] Westerdijk Fungal Biodivers Inst, Utrecht, Netherlands; [Aguirre, Jesus] Univ Nacl Autonoma Mexico, Inst Fisiol Celular, Dept Biol Celular &amp; Desarrollo, Mexico City, DF, Mexico; [Hallsworth, John E.] Queens Univ Belfast, Sch Biol Sci, Inst Global Food Secur, Belfast, Antrim, North Ireland; [Wong, Koon Ho] Univ Macau, Fac Hlth Sci, Ave Univ, Taipa, Macau, Peoples R China; [Selbmann, Laura] Univ Tuscia, Dept Ecol &amp; Biol Sci, Viterbo, Italy; [Selbmann, Laura] Italian Natl Antarctic Museum MNA, Mycol Sect, Genoa, Italy; [Corrochano, Luis M.] Univ Seville, Dept Genet, Seville, Spain; [Kupiec, Martin] Tel Aviv Univ, Sch Mol Cell Biol &amp; Biotechnol, Tel Aviv, Israel; [Momany, Michelle] Univ Georgia, Fungal Biol Grp, Athens, GA 30602 USA; [Momany, Michelle] Univ Georgia, Plant Biol Dept, Athens, GA 30602 USA; [Molin, Mikael] Chalmers Univ Technol, Dept Biol &amp; Biol Engn, Gothenburg, Sweden; [Requena, Natalia] Karlsruhe Inst Technol KIT, Mol Phytopathol Dept, Karlsruhe, Germany; [Yarden, Oded] Hebrew Univ Jerusalem, Robert H Smith Fac Agr Food &amp; Environm, Dept Plant Pathol &amp; Microbiol, IL-7610001 Rehovot, Israel; [Cordero, Radames J. B.] Johns Hopkins Bloomberg Sch Publ Hlth, Dept Mol Microbiol &amp; Immunol, Baltimore, MD 21205 USA; [Fischer, Reinhard] Karlsruhe Inst Technol KIT, Dept Microbiol, Karlsruhe, Germany; [Pascon, Renata C.] Univ Fed Sao Paulo, Biol Sci Dept, Diadema, SP, Brazil; [Mancinelli, Rocco L.] NASA, Ames Res Ctr, Moffett Field, CA 94035 USA; [Basso, Thiago O.] Univ Sao Paulo, Dept Chem Engn, Escola Politecn, Sao Paulo, SP, Brazil; [Rangel, Drauzio E. N.] Univ Brasil, Sao Paulo, SP, Brazil</t>
  </si>
  <si>
    <t>Melbourne Genomics Health Alliance; University of Melbourne; University of Exeter; UK Research &amp; Innovation (UKRI); Medical Research Council UK (MRC); Dartmouth College; Universidade Federal de Sao Paulo (UNIFESP); Boston University; Texas A&amp;M University System; Texas A&amp;M University College Station; University of Saskatchewan; Stellenbosch University; University of Dundee; University of Gottingen; University of Gottingen; Universidade de Sao Paulo; University of Abertay Dundee; Nanjing Agricultural University; University of Debrecen; Universidad Nacional Autonoma de Mexico; Queens University Belfast; University of Macau; Tuscia University; University of Sevilla; Tel Aviv University; University System of Georgia; University of Georgia; University System of Georgia; University of Georgia; Chalmers University of Technology; Helmholtz Association; Karlsruhe Institute of Technology; Hebrew University of Jerusalem; Johns Hopkins University; Johns Hopkins Bloomberg School of Public Health; Helmholtz Association; Karlsruhe Institute of Technology; Universidade Federal de Sao Paulo (UNIFESP); National Aeronautics &amp; Space Administration (NASA); NASA Ames Research Center; Universidade de Sao Paulo; Universidade Brasil</t>
  </si>
  <si>
    <t>Rangel, DEN (corresponding author), Univ Brasil, Sao Paulo, SP, Brazil.</t>
  </si>
  <si>
    <t>drauzio@live.com</t>
  </si>
  <si>
    <t>Schumacher, Julia/B-9142-2019; Idnurm, Alexander/AAC-9614-2019; Fischer, Reinhard/I-1220-2016; Yarden, Oded/ABR-9071-2022; Druzhinina, Irina S./AAK-7054-2021; Cordero, Radamés JB/F-6912-2011; Braga, Gilberto/C-1315-2012; Brancini, Guilherme T. P./S-2568-2016; Gorbushina, Anna/ABH-1999-2020; Bauer, Florian/A-1078-2013; Selbmann, Laura/L-3056-2013; Alder-Rangel, Alene Estelle/ABC-9841-2021; Gadd, Geoffrey/AAS-6971-2021; Braus, Gerhard H/G-3999-2012; Pascon, Renata/E-1494-2012; Wong, Koon/AAH-3021-2020; Campos, Claudia B.L./I-4802-2018; Dijksterhuis, Jan/AAQ-3652-2020; Aguirre, Jesus/G-9976-2013; Rangel, Drauzio EN/N-4448-2018; Yarden, Oded/J-5988-2012; Mancinelli, Rocco/L-8971-2016; Basso, Thiago Olitta/H-9312-2012; Idnurm, Alexander/GPX-9055-2022; Requena, Natalia/I-4738-2016; Corrochano Pelaez, Luis Maria/F-5720-2010; Hallsworth, John E./K-7876-2013; Kelliher, Christina/N-3801-2018; Brand, Alexandra/P-7493-2018</t>
  </si>
  <si>
    <t>Fischer, Reinhard/0000-0002-6704-2569; Druzhinina, Irina S./0000-0003-2821-5268; Cordero, Radamés JB/0000-0002-3026-7094; Braga, Gilberto/0000-0002-4787-4704; Gorbushina, Anna/0000-0001-7685-7797; Bauer, Florian/0000-0001-5764-4542; Selbmann, Laura/0000-0002-8967-3329; Pascon, Renata/0000-0001-9902-9396; Wong, Koon/0000-0002-9264-5118; Dijksterhuis, Jan/0000-0002-2649-1704; Aguirre, Jesus/0000-0002-7847-9379; Rangel, Drauzio EN/0000-0001-7188-100X; Basso, Thiago Olitta/0000-0001-7765-4297; Idnurm, Alexander/0000-0001-5995-7040; Schumacher, Julia/0000-0001-9120-9675; Requena, Natalia/0000-0001-5406-0015; Corrochano Pelaez, Luis Maria/0000-0002-6282-6567; Hallsworth, John E./0000-0001-6797-9362; Kelliher, Christina/0000-0002-4554-1818; Walker, Graeme/0000-0001-6438-6182; Levin, David/0000-0003-0696-2860; , Oded/0000-0002-4722-535X; Brand, Alexandra/0000-0002-7381-131X</t>
  </si>
  <si>
    <t>FAPESP [2018/20571-6, 2016/11386-5, 2011/51298-4, 2016/14542-8, 2018/17172-2, 2010/06374-1, 2013/50518-6, 2014/01229-4, 2017/22669-0]; CAPES [88881.289327/2018-01]; Australian Research Council [LP170100548]; Australian Grains Research and Development Corporation [UM00051]; Wellcome Trust [206412/Z/17/Z, 097377]; Royal Society [UF130579]; UK Medical Research Council [MR/N006364/1]; MRC Centre for Medical Mycology [MR/N006364/2]; Deutsche Forschungsgemeinschaft (DFG) [GO 897/13-1]; German Federal Ministry of Economics and Energy (BMWi) [0325716F]; U.S. National Institutes of Health (NIH) [F32 GM128252, R35 GM118021, R35 GM118022]; Brazilian National Council for Scientific and Technological Development (CNPq); Coordenacao de Aperfeicoamento de Pessoal de Nivel Superior (CAPES); NIH [R01 GM48533-25, GM R35 GM126966, GM R01 GM058529]; Defense Threat Reduction Agency, USA [HDTRA-17-1-0020]; National Research Foundation of South Africa (NRF) [SARChI Grant) [83471]; UK Natural Environment Research Council [NE/M010910/1, NE/M011275/1]; Deutsche Forschungsgemeinschaft (DFG); Fundacao de Amparo a Pesquisa do Estado de Sao Paulo (FAPESP) [2016/113865, 2015/24305-0]; CNPq [425998/2018-5, 307738/2018-3, PQ1D 308436/2014-8, PQ1D 302100/2018-0, PQ2 304816/2017-5]; Chinese Ministry of Science and Technology [973 Programme] [2015CB150500]; Natural, Science Foundation of Jiangsu Province [BK20160726]; Austrian Science Foundation (FWF) [P25613-B20]; European Social Fund [EFOP3.6.1-16-2016-00022]; European Union [EFOP3.6.1-16-2016-00022]; National Research, Development and Innovation Office of Hungary [K100464, K112181, K119494, NN 125671]; Higher Education Institutional Excellence Programme of the Ministry of Innovation and Technology in Hungary, within University of Debrecen [NKFIH1150-6/2019]; TiFN in The Netherlands, a public - private partnership on precompetitive research in food and nutrition; CONACYT grants Investigacion en Fronteras de la Ciencia [2015-I-319]; CONACYT-DFG [277869]; PAPIIT-UNAM [IN200719, IV200519]; UK Biotechnology and Biological Sciences Research Council (BBSRC) [BBF003471]; Department of Education and Learning (DEL, Northern Ireland); Department of Agriculture, Environment and Rural Affairs (DAERA, Northern Ireland); Science and Technology Development Fund, Macau SAR [FDCT.085.2014.A2]; Research and Development Administration Office of the University of Macau [MYRG201600211-FHS]; Italian National Program for Antarctic Research (PNRA); Italian Antarctic National Museum (MNA); European Regional Development Fund; Spanish Ministerio de Ciencia, Innovacion y Universidades [BIO2015-67148-R, RTI2018-098636-B-I00]; Israel Cancer Research Fund; Minerva Center for in-lab evolution; Israel Science Foundation; Regulation of spore dormancy in pathogenic fungi on Experiment.com; University of Georgia President's Interdisciplinary Seed Grant Program; Swedish Research Council VR; Cancerfonden; Foundation Olle Engkvist byggmastare; Foundation Carl Tryggers stiftelse; DFG [DFG Re1556/7-1, DFG Fi459/19-1]; NASA [NNX12AD05A, 80NSSC18K0751]; Australian Research Council [LP170100548] Funding Source: Australian Research Council; NASA [NNX12AD05A, 52868] Funding Source: Federal RePORTER; Royal Society [UF130579] Funding Source: Royal Society; MRC [MR/N006364/2, MR/M026663/1, MR/N006364/1, MR/M026663/2] Funding Source: UKRI; Wellcome Trust [206412/Z/17/Z] Funding Source: Wellcome Trust</t>
  </si>
  <si>
    <t>FAPESP(Fundacao de Amparo a Pesquisa do Estado de Sao Paulo (FAPESP)); CAPES(Coordenacao de Aperfeicoamento de Pessoal de Nivel Superior (CAPES)); Australian Research Council(Australian Research Council); Australian Grains Research and Development Corporation(Grains R&amp;D Corp); Wellcome Trust(Wellcome Trust); Royal Society(Royal Society); UK Medical Research Council(UK Research &amp; Innovation (UKRI)Medical Research Council UK (MRC)); MRC Centre for Medical Mycology(UK Research &amp; Innovation (UKRI)Medical Research Council UK (MRC)); Deutsche Forschungsgemeinschaft (DFG)(German Research Foundation (DFG)); German Federal Ministry of Economics and Energy (BMWi); U.S. National Institutes of Health (NIH)(United States Department of Health &amp; Human ServicesNational Institutes of Health (NIH) - USA); Brazilian National Council for Scientific and Technological Development (CNPq)(Conselho Nacional de Desenvolvimento Cientifico e Tecnologico (CNPQ)); Coordenacao de Aperfeicoamento de Pessoal de Nivel Superior (CAPES)(Coordenacao de Aperfeicoamento de Pessoal de Nivel Superior (CAPES)); NIH(United States Department of Health &amp; Human ServicesNational Institutes of Health (NIH) - USA); Defense Threat Reduction Agency, USA(United States Department of DefenseDefense Threat Reduction Agency); National Research Foundation of South Africa (NRF) [SARChI Grant); UK Natural Environment Research Council(UK Research &amp; Innovation (UKRI)Natural Environment Research Council (NERC)); Deutsche Forschungsgemeinschaft (DFG)(German Research Foundation (DFG)); Fundacao de Amparo a Pesquisa do Estado de Sao Paulo (FAPESP)(Fundacao de Amparo a Pesquisa do Estado de Sao Paulo (FAPESP)); CNPq(Conselho Nacional de Desenvolvimento Cientifico e Tecnologico (CNPQ)); Chinese Ministry of Science and Technology [973 Programme]; Natural, Science Foundation of Jiangsu Province(Natural Science Foundation of Jiangsu Province); Austrian Science Foundation (FWF)(Austrian Science Fund (FWF)); European Social Fund(European Social Fund (ESF)); European Union(European Union (EU)); National Research, Development and Innovation Office of Hungary(National Research, Development &amp; Innovation Office (NRDIO) - Hungary); Higher Education Institutional Excellence Programme of the Ministry of Innovation and Technology in Hungary, within University of Debrecen; TiFN in The Netherlands, a public - private partnership on precompetitive research in food and nutrition; CONACYT grants Investigacion en Fronteras de la Ciencia; CONACYT-DFG(German Research Foundation (DFG)); PAPIIT-UNAM(Programa de Apoyo a Proyectos de Investigacion e Innovacion Tecnologica (PAPIIT)Universidad Nacional Autonoma de Mexico); UK Biotechnology and Biological Sciences Research Council (BBSRC)(UK Research &amp; Innovation (UKRI)Biotechnology and Biological Sciences Research Council (BBSRC)); Department of Education and Learning (DEL, Northern Ireland); Department of Agriculture, Environment and Rural Affairs (DAERA, Northern Ireland); Science and Technology Development Fund, Macau SAR; Research and Development Administration Office of the University of Macau; Italian National Program for Antarctic Research (PNRA); Italian Antarctic National Museum (MNA); European Regional Development Fund(European Union (EU)); Spanish Ministerio de Ciencia, Innovacion y Universidades(Spanish Government); Israel Cancer Research Fund; Minerva Center for in-lab evolution; Israel Science Foundation(Israel Science Foundation); Regulation of spore dormancy in pathogenic fungi on Experiment.com; University of Georgia President's Interdisciplinary Seed Grant Program; Swedish Research Council VR(Swedish Research Council); Cancerfonden(Swedish Cancer Society); Foundation Olle Engkvist byggmastare; Foundation Carl Tryggers stiftelse; DFG(German Research Foundation (DFG)); NASA(National Aeronautics &amp; Space Administration (NASA)); Australian Research Council(Australian Research Council); NASA(National Aeronautics &amp; Space Administration (NASA)); Royal Society(Royal Society); MRC(UK Research &amp; Innovation (UKRI)Medical Research Council UK (MRC)); Wellcome Trust(Wellcome Trust)</t>
  </si>
  <si>
    <t>This manuscript is part of the special issue Fungal Adaptation to Hostile Challenges arising from the third International Symposium on Fungal Stress - ISFUS, which is supported by FAPESP 2018/20571-6 and CAPES 88881.289327/2018-01.; This work was supported by grants from the following funders identified by the author's initials. AI - The Australian Research Council [LP170100548] and Australian Grains Research and Development Corporation [UM00051]; ACB &amp; AJPB - The Wellcome Trust [206412/Z/17/Z] and [097377], Royal Society [UF130579], UK Medical Research Council [MR/N006364/1], The MRC Centre for Medical Mycology [MR/N006364/2]; AG - The Deutsche Forschungsgemeinschaft (DFG) [GO 897/13-1] and The German Federal Ministry of Economics and Energy (BMWi) [0325716F]; CMK - The U.S. National Institutes of Health (NIH) [F32 GM128252], [R35 GM118021], [R35 GM118022]; CBC - The Brazilian National Council for Scientific and Technological Development (CNPq) and The Coordenacao de Aperfeicoamento de Pessoal de Nivel Superior (CAPES); DEL - The NIH [R01 GM48533-25]; DBP - The NIH [GM R35 GM126966], [GM R01 GM058529]; ED - The Defense Threat Reduction Agency, USA [HDTRA-17-1-0020]; FFB e The National Research Foundation of South Africa (NRF) [SARChI Grant UID 83471]; GMG - The UK Natural Environment Research Council [NE/M010910/1 (TeaSe)] and [NE/M011275/1 (COG3)]; GHB - The Deutsche Forschungsgemeinschaft (DFG); GTPB - Fundacao de Amparo a Pesquisa do Estado de Sao Paulo (FAPESP) [2016/113865], [2015/24305-0]; GULB - The FAPESP [2016/11386-5] and The CNPq [425998/2018-5], [307738/2018-3]; ID - The Chinese Ministry of Science and Technology [973 Programme, 2015CB150500], The Natural, Science Foundation of Jiangsu Province [BK20160726], and The Austrian Science Foundation (FWF) [P25613-B20]; IP - The European Union and the European Social Fund [EFOP3.6.1-16-2016-00022], The National Research, Development and Innovation Office of Hungary [K100464], [K112181], [K119494], and The Higher Education Institutional Excellence Programme [NKFIH1150-6/2019] of the Ministry of Innovation and Technology in Hungary, within the framework of the Biotechnology thematic programme of the University of Debrecen; TE - The National Research, Development and Innovation Office of Hungary [K112181], [NN 125671]; JD - Organized by and executed under the auspices of TiFN in The Netherlands, a public - private partnership on precompetitive research in food and nutrition; JA - JA - CONACYT grants Investigacion en Fronteras de la Ciencia [2015-I-319], CONACYT-DFG [277869], and PAPIIT-UNAM grants [IN200719], [IV200519]; JEH - The UK Biotechnology and Biological Sciences Research Council (BBSRC) [BBF003471]; The Department of Education and Learning (DEL, Northern Ireland), and the Department of Agriculture, Environment and Rural Affairs (DAERA, Northern Ireland; KHW - The Science and Technology Development Fund, Macau SAR [FDCT.085.2014.A2] and the Research and Development Administration Office of the University of Macau [MYRG201600211-FHS]; LS - The Italian National Program for Antarctic Research (PNRA) and the Italian Antarctic National Museum (MNA); LMC - The European Regional Development Fund and the Spanish Ministerio de Ciencia, Innovacion y Universidades [BIO2015-67148-R and RTI2018-098636-B-I00]; MK - The Israel Cancer Research Fund, the Minerva Center for in-lab evolution, and the Israel Science Foundation; MMomany - Regulation of spore dormancy in pathogenic fungi on Experiment.; com and University of Georgia President's Interdisciplinary Seed Grant Program; MMolin - The Swedish Research Council VR, Cancerfonden, the Foundation Olle Engkvist byggmastare, and the Foundation Carl Tryggers stiftelse; NR - The DFG [DFG Re1556/7-1]; OY - The Israel Science Foundation; RF - The DFG [DFG Fi459/19-1]; RCP - The FAPESP [2011/51298-4], [2016/14542-8]; RLM - The NASA Cooperative agreement [NNX12AD05A] and NASA Grant [80NSSC18K0751]; TOB - The FAPESP [2018/17172-2]; DENR - The FAPESP [2010/06374-1], [2013/50518-6], [2014/01229-4], [2017/22669-0], and the CNPq [PQ1D 308436/2014-8], [PQ1D 302100/2018-0], [PQ2 304816/2017-5].</t>
  </si>
  <si>
    <t>10.1016/j.funbio.2020.02.007</t>
  </si>
  <si>
    <t>WOS:000532395600001</t>
  </si>
  <si>
    <t>Johnson, NC; Amaya, DJ; Ding, QH; Kosaka, Y; Tokinaga, H; Xie, SP</t>
  </si>
  <si>
    <t>Johnson, Nathaniel C.; Amaya, Dillon J.; Ding, Qinghua; Kosaka, Yu; Tokinaga, Hiroki; Xie, Shang-Ping</t>
  </si>
  <si>
    <t>Multidecadal modulations of key metrics of global climate change</t>
  </si>
  <si>
    <t>Global warming slowdown; Climate change metrics; Pacific decadal variability; Atlantic multidecadal variability; Polar amplification; Warm Arctic/cold continents; Hadley cell expansion</t>
  </si>
  <si>
    <t>ARCTIC SEA-ICE; PACIFIC DECADAL OSCILLATION; MEAN SURFACE-TEMPERATURE; EXTREME EL-NINO; TROPICAL PACIFIC; INTERNAL VARIABILITY; CLOUD FEEDBACK; WARMING HIATUS; COLD WINTERS; TROPOSPHERIC CIRCULATION</t>
  </si>
  <si>
    <t>Widespread public and scientific interest in the recent global warming hiatus and related multidecadal climate variability stimulated a surge in our understanding of key metrics of global climate change. While seeking explanations for the nearly steady global mean temperature from late 1990s through the early 2010s, the scientific community also grappled with concomitant and seemingly inconsistent changes in other metrics. For example, over that period, Arctic sea ice experienced a rapid decline but Antarctic sea ice expanded slightly, summertime warm extremes continued to rise without evidence of a pause, and the expanding Hadley cell trend maintained its course. In this article, we review recent advances in understanding the multidecadal variability of these metrics of global climate change, focusing on how internal multidecadal variability may reconcile differences between projected and recently observed trends and apparent inconsistencies between recent trends in some metrics. We emphasize that the impacts of global scale, naturally occurring patterns on multidecadal timescales, most notably the Pacific and Atlantic Multidecadal Variability, tend to be more regionally heterogeneous than those of radiatively forced change, which weakens the relationship between local climate impacts and global mean temperature on multidecadal timescales. We conclude this review with a summary of current challenges and opportunities for progress.</t>
  </si>
  <si>
    <t>[Johnson, Nathaniel C.] Princeton Univ, Atmospher &amp; Ocean Sci Program, Princeton, NJ 08540 USA; [Johnson, Nathaniel C.] NOAA, Geophys Fluid Dynam Lab, Princeton, NJ 08540 USA; [Amaya, Dillon J.; Xie, Shang-Ping] Univ Calif San Diego, Scripps Inst Oceanog, La Jolla, CA 92093 USA; [Ding, Qinghua] Univ Calif Santa Barbara, Dept Geog, Santa Barbara, CA 93106 USA; [Ding, Qinghua] Univ Calif Santa Barbara, Earth Res Inst, Santa Barbara, CA 93106 USA; [Kosaka, Yu] Univ Tokyo, Res Ctr Adv Sci &amp; Technol, Meguro Ku, 4-6-1 Komaba, Tokyo 1538904, Japan; [Tokinaga, Hiroki] Kyushu Univ, Res Inst Appl Mech, Kasuga, Fukuoka 8168580, Japan</t>
  </si>
  <si>
    <t>National Oceanic Atmospheric Admin (NOAA) - USA; Princeton University; National Oceanic Atmospheric Admin (NOAA) - USA; University of California System; University of California San Diego; Scripps Institution of Oceanography; University of California System; University of California Santa Barbara; University of California System; University of California Santa Barbara; University of Tokyo; Kyushu University</t>
  </si>
  <si>
    <t>Johnson, NC (corresponding author), Princeton Univ, NOAA, Geophys Fluid Dynam Lab, Forrestal Campus,201 Forrestal Rd, Princeton, NJ 08540 USA.</t>
  </si>
  <si>
    <t>Nathaniel.Johnson@noaa.gov</t>
  </si>
  <si>
    <t>Kosaka, Yu/C-2792-2009; Xie, Shang-Ping/C-1254-2009; Johnson, Nathaniel C/L-8045-2015</t>
  </si>
  <si>
    <t>Kosaka, Yu/0000-0001-5575-4668; Xie, Shang-Ping/0000-0002-3676-1325;</t>
  </si>
  <si>
    <t>NOAA, U.S. Department of Commerce [NA18OAR4320123]; National Science Foundation [AGS -1637450]; NSF's Polar Programs [OPP-1744598]; NOAA's Climate Program Office [NA18OAR4310424, NA19OAR4310281]; Japan Ministry of Education, Culture, Sports, Science and Technology through the Integrated Research Program for Advancing Climate Models and the Arctic Challenge for Sustainability project; Japan Science and Technology Agency through Belmont Forum CRA InterDec; Japan Society for the Promotion of Science (JSPS) KAKENHI Grants [18H01278, 19H01964, 19H05703]; JSPS KAKENHI Grants [18H03726, 19H05704, 18H01281]; Grants-in-Aid for Scientific Research [18H01281, 18H01278, 19H05703, 19H01964] Funding Source: KAKEN</t>
  </si>
  <si>
    <t>NOAA, U.S. Department of Commerce(National Oceanic Atmospheric Admin (NOAA) - USA); National Science Foundation(National Science Foundation (NSF)); NSF's Polar Programs; NOAA's Climate Program Office(National Oceanic Atmospheric Admin (NOAA) - USA); Japan Ministry of Education, Culture, Sports, Science and Technology through the Integrated Research Program for Advancing Climate Models and the Arctic Challenge for Sustainability project(Ministry of Education, Culture, Sports, Science and Technology, Japan (MEXT)); Japan Science and Technology Agency through Belmont Forum CRA InterDec; Japan Society for the Promotion of Science (JSPS) KAKENHI Grants; JSPS KAKENHI Grants; Grants-in-Aid for Scientific Research(Ministry of Education, Culture, Sports, Science and Technology, Japan (MEXT)Japan Society for the Promotion of ScienceGrants-in-Aid for Scientific Research (KAKENHI))</t>
  </si>
  <si>
    <t>We thank Drs. Liwei Jia and Hiroyuki Murakami for helpful comments on an earlier version of the manuscript as well as Dr. Aixue Hu and an anonymous reviewer for constructive comments that improved this manuscript. N.C.J. is supported by award NA18OAR4320123 from the NOAA, U.S. Department of Commerce. D.J.A. and S.-P.X. are supported by the National Science Foundation (AGS -1637450). Q.-H. D. is supported by NSF's Polar Programs (OPP-1744598) and NOAA's Climate Program Office (NA18OAR4310424 and NA19OAR4310281). Y.K. is supported by the Japan Ministry of Education, Culture, Sports, Science and Technology through the Integrated Research Program for Advancing Climate Models and the Arctic Challenge for Sustainability project, by the Japan Science and Technology Agency through Belmont Forum CRA InterDec, and by Japan Society for the Promotion of Science (JSPS) KAKENHI Grants 18H01278, 19H01964, and 19H05703. H.T. is supported by JSPS KAKENHI Grants 18H03726 and 19H05704. H.T. and Y.K. are also supported by JSPS KAKENHI 18H01281. Shang-Min Long of Hohai University provided Fig. 5.</t>
  </si>
  <si>
    <t>10.1016/j.gloplacha.2020.103149</t>
  </si>
  <si>
    <t>LE1YB</t>
  </si>
  <si>
    <t>WOS:000526519000004</t>
  </si>
  <si>
    <t>Donohoe, A; Dawson, E; McMurdie, L; Battisti, DS; Rhines, A</t>
  </si>
  <si>
    <t>Donohoe, Aaron; Dawson, Eliza; McMurdie, Lynn; Battisti, David S.; Rhines, Andy</t>
  </si>
  <si>
    <t>Seasonal Asymmetries in the Lag between Insolation and Surface Temperature</t>
  </si>
  <si>
    <t>Atmosphere-land interaction; Atmosphere-ocean interaction; Climatology; Cloud radiative effects; Temperature; Climate records</t>
  </si>
  <si>
    <t>ANNUAL CYCLE; CLIMATE; VARIABILITY; CLOUDS; PHASE</t>
  </si>
  <si>
    <t>We analyze the temporal structure of the climatological seasonal cycle in surface air temperature across the globe. We find that, over large regions of Earth, the seasonal cycle of surface temperature departs from an annual harmonic: the duration of fall and spring differ by as much as 2 months. We characterize this asymmetry by the metric ASYM, defined as the phase lag of the seasonal maximum temperature relative to the summer solstice minus the phase lag of the seasonal minimum temperature relative to winter solstice. We present a global analysis of ASYM from weather station data and atmospheric reanalysis and find that ASYM is well represented in the reanalysis. ASYM generally features positive values over land and negative values over the ocean, indicating that spring has a longer duration over the land domain whereas fall has a longer duration over the ocean. However, ASYM also features more positive values over North America compared to Europe and negative values in the polar regions over ice sheets and sea ice. Understanding the root cause of the climatological ASYM will potentially further our understanding of controls on the seasonal cycle of temperature and its future/past changes. We explore several candidate mechanisms to explain the spatial structure of ASYM including 1) modification of the seasonal cycle of surface solar radiation by the seasonal evolution of cloud thickness, 2) differences in the seasonal cycle of the atmospheric boundary layer depth over ocean and over land, and 3) temperature advection by the seasonally evolving atmospheric circulation.</t>
  </si>
  <si>
    <t>[Donohoe, Aaron] Univ Washington, Appl Phys Lab, Polar Sci Ctr, Seattle, WA 98105 USA; [Dawson, Eliza] Stanford Univ, Palo Alto, CA 94304 USA; [McMurdie, Lynn; Battisti, David S.] Univ Washington, Dept Atmospher Sci, Seattle, WA 98195 USA; [Rhines, Andy] Netflix, Los Gatos, CA USA</t>
  </si>
  <si>
    <t>University of Washington; University of Washington Seattle; Stanford University; University of Washington; University of Washington Seattle; Netflix, Inc.</t>
  </si>
  <si>
    <t>Battisti, David S/A-3340-2013; Keyes, Dennis/AAZ-9285-2021</t>
  </si>
  <si>
    <t>McMurdie, Lynn/0000-0002-5342-0960</t>
  </si>
  <si>
    <t>NSF Antarctic Program [PLR 1643436]</t>
  </si>
  <si>
    <t>NSF Antarctic Program</t>
  </si>
  <si>
    <t>We thank Duo Chan for providing ocean weather ship data and Robert Hahn and Dennis D'Amico for assistance with Camp Muir temperature data. AD's work was partially funded by the NSF Antarctic Program Grant PLR 1643436.</t>
  </si>
  <si>
    <t>10.1175/JCLI-D-19-0329.1</t>
  </si>
  <si>
    <t>LL2VJ</t>
  </si>
  <si>
    <t>WOS:000531414600001</t>
  </si>
  <si>
    <t>Carroll, EL; Ott, PH; McMillan, LF; Vernazzani, BG; Neveceralova, P; Vermeulen, E; Gaggiotti, OE; Andriolo, A; Baker, CS; Bamford, C; Best, P; Cabrera, E; Calderan, S; Chirife, A; Fewster, RM; Flores, PAC; Frasier, T; Freitas, TRO; Groch, K; Hulva, P; Kennedy, A; Leaper, R; Leslie, MS; Moore, M; Oliveira, L; Seger, J; Stepien, EN; Valenzuela, LO; Zerbini, A; Jackson, JA</t>
  </si>
  <si>
    <t>Carroll, Emma L.; Ott, Paulo H.; McMillan, Louise F.; Vernazzani, Barbara Galletti; Neveceralova, Petra; Vermeulen, Els; Gaggiotti, Oscar E.; Andriolo, Artur; Baker, C. Scott; Bamford, Connor; Best, Peter; Cabrera, Elsa; Calderan, Susannah; Chirife, Andrea; Fewster, Rachel M.; Flores, Paulo A. C.; Frasier, Timothy; Freitas, Thales R. O.; Groch, Karina; Hulva, Pavel; Kennedy, Amy; Leaper, Russell; Leslie, Matthew S.; Moore, Michael; Oliveira, Larissa; Seger, Jon; Stepien, Emilie N.; Valenzuela, Luciano O.; Zerbini, Alexandre; Jackson, Jennifer A.</t>
  </si>
  <si>
    <t>Genetic Diversity and Connectivity of Southern Right Whales (Eubalaena australis) Found in the Brazil and Chile-Peru Wintering Grounds and the South Georgia (Islas Georgias del Sur) Feeding Ground</t>
  </si>
  <si>
    <t>JOURNAL OF HEREDITY</t>
  </si>
  <si>
    <t>population structure; connectivity; migration; gene flow</t>
  </si>
  <si>
    <t>MEGAPTERA-NOVAEANGLIAE; HUMPBACK WHALES; POPULATION-STRUCTURE; RELATIVE ABUNDANCE; STABLE-ISOTOPES; SITE FIDELITY; BIOPSY SYSTEM; ATLANTIC; MOVEMENTS; DIFFERENTIATION</t>
  </si>
  <si>
    <t>As species recover from exploitation, continued assessments of connectivity and population structure are warranted to provide information for conservation and management. This is particularly true in species with high dispersal capacity, such as migratory whales, where patterns of connectivity could change rapidly. Here we build on a previous long-term, large-scale collaboration on southern right whales (Eubalaena australis) to combine new (n(new)) and published (n(pub)) mitochondrial (mtDNA) and microsatellite genetic data from all major wintering grounds and, uniquely, the South Georgia (Islas Georgias del Sur: SG) feeding grounds. Specifically, we include data from Argentina (n(pub) mtDNA/microsatellite = 208/46), Brazil (n(new) mtDNA/microsatellite = 50/50), South Africa (n(new) mtDNA/microsatellite = 66/77, n(pub) mtDNA/microsatellite = 350/47), Chile-Peru (n(new) mtDNA/microsatellite = 1/1), the Indo-Pacific (n pub mtDNA/microsatellite = 769/126), and SG (n(pub) mtDNA/microsatellite = 8/0, n(new) mtDNA/microsatellite = 3/11) to investigate the position of previously unstudied habitats in the migratory network: Brazil, SG, and Chile-Peru. These new genetic data show connectivity between Brazil and Argentina, exemplified by weak genetic differentiation and the movement of 1 genetically identified individual between the South American grounds. The single sample from Chile-Peru had an mtDNA haplotype previously only observed in the Indo-Pacific and had a nuclear genotype that appeared admixed between the Indo-Pacific and South Atlantic, based on genetic clustering and assignment algorithms.The SG samples were clearly South Atlantic and were more similar to the South American than the South African wintering grounds. This study highlights how international collaborations are critical to provide context for emerging or recovering regions, like the SG feeding ground, as well as those that remain critically endangered, such as Chile-Peru.</t>
  </si>
  <si>
    <t>[Carroll, Emma L.] Univ Auckland, Sch Biol Sci, Auckland, New Zealand; [Carroll, Emma L.; Gaggiotti, Oscar E.] Univ St Andrews, Sch Biol, St Andrews, Fife, Scotland; [Ott, Paulo H.] Grp Estudos Mamiferos Aquat Rio Grande Sul, Torres, RS, Brazil; [Ott, Paulo H.; Oliveira, Larissa] Univ Estadual Rio Grande do Sul, Osorio, RS, Brazil; [McMillan, Louise F.] Victoria Univ Wellington, Sch Math &amp; Stat, POB 600, Wellington, New Zealand; [Vernazzani, Barbara Galletti; Cabrera, Elsa] Ctr Conservac Cetacea, Casilla 19178 Correo 19, Santiago, Chile; [Neveceralova, Petra; Hulva, Pavel] Charles Univ Prague, Fac Sci, Dept Zool, Prague, Czech Republic; [Neveceralova, Petra] Ivanhoe Sea Safaris, 83 Vyfer Str, Gansbaai, South Africa; [Neveceralova, Petra] Dyer Isl Conservat Trust, Great White House, Kleinbaai, Gansbaai, South Africa; [Vermeulen, Els] Univ Pretoria, Mammal Res Inst, Dept Zool &amp; Entomol, Whale Unit, Hatfield, South Africa; [Andriolo, Artur] Univ Fed Juiz de Fora, Inst Ciencias Biol, Dept Zool, Campus Univ, BR-36036900 Juiz De Fora, MG, Brazil; [Andriolo, Artur] Inst Aqualie, Juiz De Fora, MG, Brazil; [Baker, C. Scott] Oregon State Univ, Marine Mammal Inst, Newport, OR USA; [Baker, C. Scott] Oregon State Univ, Dept Fisheries &amp; Wildlife, Newport, OR USA; [Bamford, Connor; Jackson, Jennifer A.] British Antarctic Survey, High Cross,Madingley Rd, Cambridge CB3 0ET, England; [Bamford, Connor] Univ Southampton, Univ Rd, Southampton SO17 1BJ, Hants, England; [Calderan, Susannah] Scottish Assoc Marine Sci, Oban, Argyll, Scotland; [Chirife, Andrea] Univ Andres Bello, Inst Ciencias Biomed ICB, Santiago, Chile; [Fewster, Rachel M.] Univ Auckland, Dept Stat, Auckland, New Zealand; [Flores, Paulo A. C.] MMA, ICMBio, Area Protecao Ambiental Environm Protect Area Anh, Florianopolis, SC, Brazil; [Frasier, Timothy] St Marys Univ, Dept Biol, Halifax, NS B3H 3C3, Canada; [Freitas, Thales R. O.] Univ Fed Rio Grande do Sul UFRGS, Programa Posgrad Genet &amp; Biol Mol, Porto Alegre, RS, Brazil; [Groch, Karina] Inst Australis, BR-88780000 Imbituba, SC, Brazil; [Hulva, Pavel] Univ Ostrava, Dept Biol &amp; Ecol, Ostrava, Czech Republic; [Kennedy, Amy; Zerbini, Alexandre] NOAA, Marine Mammal Lab, Lab Alaska Fisheries Sci Ctr, Natl Marine Fisheries Serv, 7600 Sand Point Way NE, Seattle, WA 98115 USA; [Leaper, Russell] IFAW, 87-90 Albert Embankment, London SE1 7UD, England; [Leslie, Matthew S.] Swarthmore Coll, Dept Biol, 500 Coll Ave, Swarthmore, PA 19081 USA; [Moore, Michael] Woods Hole Oceanog Inst, Dept Biol, Woods Hole, MA 02543 USA; [Oliveira, Larissa] Univ Vale Rio dos Sinos, Ctr Ciencias Saude, Lab Ecol Mamiferos, Ave Unisinos 950 Cristo Rei, BR-93022000 Sao Leopoldo, RS, Brazil; [Seger, Jon; Valenzuela, Luciano O.] Univ Utah, Sch Biol Sci, Salt Lake City, UT USA; [Stepien, Emilie N.] Aarhus Univ, Dept Biosci, Sect Marine Mammal Res, Aarhus, Denmark; [Valenzuela, Luciano O.] UNCPBA, Lab Ecol Evolut Humana, CONICET, Quequen, Buenos Aires, Argentina; [Valenzuela, Luciano O.] Inst Conservac Ballenas, RA-1429 Buenos Aires, DF, Argentina; [Zerbini, Alexandre] Marine Ecol &amp; Telemetry Res, Seabeck, WA USA; [Zerbini, Alexandre] Univ Washington, Joint Inst Study Atmosphere &amp; Ocean, John M Wallace Hall,3737 Brooklyn Ave NE, Seattle, WA 98195 USA</t>
  </si>
  <si>
    <t>University of Auckland; University of St Andrews; Universidade Estadual do Rio Grande do Sul (UERGS); Victoria University Wellington; Charles University Prague; University of Pretoria; Universidade Federal de Juiz de Fora; Oregon State University; Oregon State University; UK Research &amp; Innovation (UKRI); Natural Environment Research Council (NERC); NERC British Antarctic Survey; University of Southampton; UHI Millennium Institute; Universidad Andres Bello; University of Auckland; Saint Marys University - Canada; Universidade Federal do Rio Grande do Sul; University of Ostrava; National Oceanic Atmospheric Admin (NOAA) - USA; Swarthmore College; Woods Hole Oceanographic Institution; Universidade do Vale do Rio dos Sinos (Unisinos); Utah System of Higher Education; University of Utah; Aarhus University; Consejo Nacional de Investigaciones Cientificas y Tecnicas (CONICET); University of Washington; University of Washington Seattle</t>
  </si>
  <si>
    <t>Carroll, EL (corresponding author), Univ Auckland, Sch Biol Sci, Auckland, New Zealand.;Carroll, EL (corresponding author), Univ St Andrews, Sch Biol, St Andrews, Fife, Scotland.</t>
  </si>
  <si>
    <t>carrollemz@gmail.com</t>
  </si>
  <si>
    <t>Gaggiotti, Oscar E/G-2459-2010; Vermeulen, Els/AAW-2716-2020; Jackson, Jennifer A/E-7997-2013; Kennedy, Amy S./O-9947-2017; Carroll, Emma/U-9133-2019; Zerbini, Alexandre/ABH-3916-2020; McMillan, Louise/AAV-5302-2020; Ott, Paulo Henrique/IWE-1400-2023; Neveceralova, Petra/S-7837-2017</t>
  </si>
  <si>
    <t>Gaggiotti, Oscar E/0000-0003-1827-1493; Vermeulen, Els/0000-0002-3667-1290; Carroll, Emma/0000-0003-3193-7288; Zerbini, Alexandre/0000-0002-9776-6605; McMillan, Louise/0000-0002-0536-8563; Neveceralova, Petra/0000-0003-0823-3311; Jackson, Jennifer/0000-0003-4158-1924; Stepien, Emilie Nicoline/0000-0002-5857-4301; Bamford, Connor/0000-0002-5732-7237; Valenzuela, Luciano/0000-0002-5024-6581</t>
  </si>
  <si>
    <t>EU BEST 2.0 medium grant [1594]; UK DARWIN PLUS grant [057]; World Wildlife Fund [GB107301]; Brazilian National Research Council (CNPq) [144064/98-7, 146609/1999-9]; Charles University Grant Agency [1140217]; Rutherford Discovery Fellowship from the Royal Society of New Zealand; Natural Environment Research Council; NERC [bas0100035] Funding Source: UKRI</t>
  </si>
  <si>
    <t>EU BEST 2.0 medium grant; UK DARWIN PLUS grant; World Wildlife Fund; Brazilian National Research Council (CNPq)(Conselho Nacional de Desenvolvimento Cientifico e Tecnologico (CNPQ)); Charles University Grant Agency; Rutherford Discovery Fellowship from the Royal Society of New Zealand(Royal Society of New Zealand); Natural Environment Research Council(UK Research &amp; Innovation (UKRI)Natural Environment Research Council (NERC)); NERC(UK Research &amp; Innovation (UKRI)Natural Environment Research Council (NERC))</t>
  </si>
  <si>
    <t>This work was supported by the EU BEST 2.0 medium grant 1594 and UK DARWIN PLUS grant 057 and additional funding from the World Wildlife Fund GB107301. The collection of the Chile-Peru sample was supported by the Global Greengrants Fund and the Pacific Whale Foundation. The collection of the Brazilian samples was supported through grants by the Brazilian National Research Council to Paulo H. Ott (CNPq proc. no 144064/98-7) and Paulo A.C. Flores (CNPq proc. no 146609/1999-9) and with support from the World Wildlife Fund (WWF-Brazil). The collection of the South African samples was supported by the Global Greengrants Fund, the Pacific Whale Foundation and Charles University Grant Agency (1140217). E.L.C. was partially supported by a Rutherford Discovery Fellowship from the Royal Society of New Zealand. This study forms part of the Ecosystems component of the British Antarctic Survey Polar Sciences for Planet Earth Programme, funded by the Natural Environment Research Council.</t>
  </si>
  <si>
    <t>0022-1503</t>
  </si>
  <si>
    <t>1465-7333</t>
  </si>
  <si>
    <t>J HERED</t>
  </si>
  <si>
    <t>J. Hered.</t>
  </si>
  <si>
    <t>10.1093/jhered/esaa010</t>
  </si>
  <si>
    <t>Evolutionary Biology; Genetics &amp; Heredity</t>
  </si>
  <si>
    <t>NN8RQ</t>
  </si>
  <si>
    <t>Green Published, Green Accepted, Green Submitted, hybrid</t>
  </si>
  <si>
    <t>WOS:000569054800002</t>
  </si>
  <si>
    <t>Frank, TD; James, NP; Shultis, AI</t>
  </si>
  <si>
    <t>Frank, Tracy D.; James, Noel P.; Shultis, Aaron, I</t>
  </si>
  <si>
    <t>LACK OF SYNSEDIMENTARY CHEMICAL ALTERATION IN POLAR CARBONATES (ROSS SEA, ANTARCTICA): RESOLUTION OF A CONUNDRUM</t>
  </si>
  <si>
    <t>JOURNAL OF SEDIMENTARY RESEARCH</t>
  </si>
  <si>
    <t>PERMIAN HIGH-LATITUDE; PALEOZOIC ICE-AGE; MCMURDO SOUND; NEW-ZEALAND; HETEROZOAN CARBONATES; PARMEENER SUPERGROUP; MARINE ENVIRONMENTS; CONTINENTAL-SHELF; DISSOLUTION; TEMPERATURE</t>
  </si>
  <si>
    <t>Although rare in space and time, skeletal carbonates deposited on polar shelves hold great potential for improving understanding of the oceanography of the high latitudes. Low temperatures, low carbonate saturation states, and strong seasonality govern not only the nature of carbonate communities, but also how their deposits translate into the rock record. To understand the effects of early seafloor processes on preservation, we investigated late Quaternary carbonates recovered in piston cores from the Ross Sea, Antarctica. Sediments are unconsolidated skeletal gravels and sands that mantle areas of the outer shelf swept by strong bottom currents. Deposits are dominated locally by either stylasterine hydrocorals, barnacles, or bryozoans, which comprise assemblages with strong similarities to modern benthic communities. Radiocarbon ages indicate that carbonate factories were most prolific during the lead-up to the Last Glacial Maximum (Tartanian), when sediment input was minimized, and have been mostly dormant since. Results show that synsedimentary alteration is not substantially different in the temperate and polar realms with the significant exception of chemical diagenesis. As is common in temperate deposits, skeletal grains undergo disarticulation, fracturing, abrasion, and intense bioerosion. By contrast, cementation is absent and rare aragonite grains arc preserved, indicating that taphonomic loss is not as prevalent as in temperate deposits. Primary skeletal microstructures and stable-isotope compositions are preserved, indicating that chemical alteration of grains is negligible. The preservation of aragonite in polar settings is herein attributed to low rates of organic-matter burial and very low temperatures, which strongly limit microbial activity. These factors allow interstitial waters to remain weakly supersaturated with respect to aragonite. Comparison with Permian analogs indicates that lithification is delayed until deposits reach burial depths at which chemical compaction proceeds. The ultimate end product is limestone with prominent compaction features and a tightly packed fabric. Calcitic skeletal material can retain primary geochemical compositions through the lithification process, although growth of burial cement in intraparticle porosity complicates selective sampling of unaltered material. In providing a cold-water end member for the spectrum of synsedimentary diagenetic processes, results highlight specific differences that should be accounted for when interpreting the deposits of polar, cold-water carbonate systems.</t>
  </si>
  <si>
    <t>[Frank, Tracy D.; Shultis, Aaron, I] Univ Nebraska, Dept Earth &amp; Atmospher Sci, Lincoln, NE 68588 USA; [James, Noel P.] Queens Univ, Dept Geol Sci &amp; Geol Engn, Kingston, ON K7L 3N6, Canada</t>
  </si>
  <si>
    <t>University of Nebraska System; University of Nebraska Lincoln; Queens University - Canada</t>
  </si>
  <si>
    <t>Frank, TD (corresponding author), Univ Nebraska, Dept Earth &amp; Atmospher Sci, Lincoln, NE 68588 USA.</t>
  </si>
  <si>
    <t>National Science Foundation [EAR0645504]; Natural Sciences and an Engineering Research Council of Canada Discovery Grant</t>
  </si>
  <si>
    <t>National Science Foundation(National Science Foundation (NSF)); Natural Sciences and an Engineering Research Council of Canada Discovery Grant</t>
  </si>
  <si>
    <t>This research was supported by National Science Foundation Grant EAR0645504 to TDF and a Natural Sciences and an Engineering Research Council of Canada Discovery Grant to NPJ. We thank S. Wise and others at the Antarctic Marine Geological Research Facility at Florida State University for access to cores and assistance with sampling. We thank Eric Hiatt and two anonymous reviewers for comments and suggestions that improved this paper.</t>
  </si>
  <si>
    <t>SEPM-SOC SEDIMENTARY GEOLOGY</t>
  </si>
  <si>
    <t>TULSA</t>
  </si>
  <si>
    <t>6128 EAST 38TH ST, STE 308, TULSA, OK 74135-5814 USA</t>
  </si>
  <si>
    <t>1527-1404</t>
  </si>
  <si>
    <t>1938-3681</t>
  </si>
  <si>
    <t>J SEDIMENT RES</t>
  </si>
  <si>
    <t>J. Sediment. Res.</t>
  </si>
  <si>
    <t>10.2110/jsr.2020.26</t>
  </si>
  <si>
    <t>MD8QS</t>
  </si>
  <si>
    <t>WOS:000544233400001</t>
  </si>
  <si>
    <t>Ha, TM; Kim, DC; Sohn, JH; Yim, JH; Oh, H</t>
  </si>
  <si>
    <t>Ha, Tran Minh; Kim, Dong-Cheol; Sohn, Jae Hak; Yim, Joung Han; Oh, Hyuncheol</t>
  </si>
  <si>
    <t>Anti-Inflammatory and Protein Tyrosine Phosphatase 1B Inhibitory Metabolites from the Antarctic Marine-Derived Fungal Strain Penicillium glabrum SF-7123</t>
  </si>
  <si>
    <t>marine-derived fungi; anti-inflammation; anti-neuroinflammation; PTP1B</t>
  </si>
  <si>
    <t>NF-KAPPA-B; INFLAMMATION; ACID; PHOSPHORYLATION; PATHWAY</t>
  </si>
  <si>
    <t>A chemical investigation of the marine-derived fungal strain Penicillium glabrum (SF-7123) revealed a new citromycetin (polyketide) derivative (1) and four known secondary fungal metabolites, i.e, neuchromenin (2), asterric acid (3), myxotrichin C (4), and deoxyfunicone (5). The structures of these metabolites were identified primarily by extensive analysis of their spectroscopic data, including NMR and MS data. Results from the initial screening of anti-inflammatory effects showed that 2, 4, and 5 possessed inhibitory activity against the excessive production of nitric oxide (NO) in lipopolysaccharide (LPS)-stimulated BV2 microglial cells, with IC50 values of 2.7 mu M, 28.1 mu M, and 10.6 mu M, respectively. Compounds 2, 4, and 5 also inhibited the excessive production of NO, with IC50 values of 4.7 mu M, 41.5 mu M, and 40.1 mu M, respectively, in LPS-stimulated RAW264.7 macrophage cells. In addition, these compounds inhibited LPS-induced overproduction of prostaglandin E-2 in both cellular models. Further investigation of the most active compound (2) revealed that these anti-inflammatory effects were associated with a suppressive effect on the over-expression of inducible nitric oxide synthase and cyclooxygenase-2. Finally, we showed that the anti-inflammatory effects of compound 2 were mediated via the downregulation of inflammation-related pathways such as those dependent on nuclear factor kappa B and p38 mitogen-activated protein kinase in LPS-stimulated BV2 and RAW264.7 cells. In the evaluation of the inhibitory effects of the isolated compounds on protein tyrosine phosphate 1B (PTP1B) activity, compound 4 was identified as a noncompetitive inhibitor of PTP1B, with an IC50 value of 19.2 mu M, and compound 5 was shown to inhibit the activity of PTP1B, with an IC50 value of 24.3 mu M, by binding to the active site of the enzyme. Taken together, this study demonstrates the potential value of marine-derived fungal isolates as a bioresource for bioactive compounds.</t>
  </si>
  <si>
    <t>[Ha, Tran Minh; Kim, Dong-Cheol; Oh, Hyuncheol] Wonkwang Univ, Coll Pharm, Inst Pharmaceut Res &amp; Dev, Iksan 54538, South Korea; [Sohn, Jae Hak] Silla Univ, Coll Med &amp; Life Sci, Busan 46958, South Korea; [Yim, Joung Han] KORDI, Korea Polar Res Inst, 7-50 Songdo Dong, Incheon 21990, South Korea</t>
  </si>
  <si>
    <t>Wonkwang University; Silla University; Korea Polar Research Institute (KOPRI); Korea Institute of Ocean Science &amp; Technology (KIOST)</t>
  </si>
  <si>
    <t>Oh, H (corresponding author), Wonkwang Univ, Coll Pharm, Inst Pharmaceut Res &amp; Dev, Iksan 54538, South Korea.;Yim, JH (corresponding author), KORDI, Korea Polar Res Inst, 7-50 Songdo Dong, Incheon 21990, South Korea.</t>
  </si>
  <si>
    <t>minhha19@outlook.com; kimman07@hanmail.net; jhsohn@silla.ac.kr; jhyim@kopri.re.kr; hoh@wku.ac.kr</t>
  </si>
  <si>
    <t>Korea Polar Research Institute [PE20010]</t>
  </si>
  <si>
    <t>Korea Polar Research Institute(Korea Polar Research Institute of Marine Research Placement (KOPRI))</t>
  </si>
  <si>
    <t>This work was supported by a grant from the Korea Polar Research Institute (PE20010).</t>
  </si>
  <si>
    <t>10.3390/md18050247</t>
  </si>
  <si>
    <t>LZ2AX</t>
  </si>
  <si>
    <t>WOS:000541031900039</t>
  </si>
  <si>
    <t>Chipperfield, MP; Hossaini, R; Montzka, SA; Reimann, S; Sherry, D; Tegtmeier, S</t>
  </si>
  <si>
    <t>Chipperfield, Martyn P.; Hossaini, Ryan; Montzka, Stephen A.; Reimann, Stefan; Sherry, David; Tegtmeier, Susann</t>
  </si>
  <si>
    <t>Renewed and emerging concerns over the production and emission of ozone-depleting substances</t>
  </si>
  <si>
    <t>DISINFECTION BY-PRODUCTS; SHORT-LIVED SUBSTANCES; STRATOSPHERIC CHLORINE; BROMOFORM EMISSIONS; UPPER TROPOSPHERE; ORGANIC BROMINE; ANTARCTIC OZONE; METHYL-BROMIDE; CLIMATE-CHANGE; BALLAST WATER</t>
  </si>
  <si>
    <t>New, non-compliant emissions of ozone-depleting substances and very short-lived substances challenge the continued success of the Montreal Protocol, and, thereby, the timescale for the recovery of the ozone layer. This Review discusses recent trends in anthropogenic and natural ozone-depleting substance and very short-lived substance emissions, and examines their potential impact on atmospheric ozone concentrations. Stratospheric ozone depletion, first observed in the 1980s, has been caused by the increased production and use of substances such as chlorofluorocarbons (CFCs), halons and other chlorine-containing and bromine-containing compounds, collectively termed ozone-depleting substances (ODSs). Following controls on the production of major, long-lived ODSs by the Montreal Protocol, the ozone layer is now showing initial signs of recovery and is anticipated to return to pre-depletion levels in the mid-to-late twenty-first century, likely 2050-2060. These return dates assume widespread compliance with the Montreal Protocol and, thereby, continued reductions in ODS emissions. However, recent observations reveal increasing emissions of some controlled (for example, CFC-11, as in eastern China) and uncontrolled substances (for example, very short-lived substances (VSLSs)). Indeed, the emissions of a number of uncontrolled VSLSs are adding significant amounts of ozone-depleting chlorine to the atmosphere. In this Review, we discuss recent emissions of both long-lived ODSs and halogenated VSLSs, and how these might lead to a delay in ozone recovery. Continued improvements in observational tools and modelling approaches are needed to assess these emerging challenges to a timely recovery of the ozone layer.</t>
  </si>
  <si>
    <t>[Chipperfield, Martyn P.] Univ Leeds, Sch Earth &amp; Environm, Leeds, W Yorkshire, England; [Hossaini, Ryan] Univ Lancaster, Lancaster Environm Ctr, Lancaster, England; [Montzka, Stephen A.] NOAA, Global Monitoring Lab, Boulder, CO USA; [Reimann, Stefan] Swiss Fed Labs Mat Sci &amp; Technol, Empa, Dubendorf, Switzerland; [Sherry, David] Nolan Sherry &amp; Associates NSA, Kingston Upon Thames, Surrey, England; [Tegtmeier, Susann] Univ Saskatchewan, Inst Space &amp; Atmospher Studies, Saskatoon, SK, Canada</t>
  </si>
  <si>
    <t>University of Leeds; Lancaster University; National Oceanic Atmospheric Admin (NOAA) - USA; Swiss Federal Institutes of Technology Domain; Swiss Federal Laboratories for Materials Science &amp; Technology (EMPA); University of Saskatchewan</t>
  </si>
  <si>
    <t>Chipperfield, MP (corresponding author), Univ Leeds, Sch Earth &amp; Environm, Leeds, W Yorkshire, England.</t>
  </si>
  <si>
    <t>M.Chipperfield@leeds.ac.uk</t>
  </si>
  <si>
    <t>Hossaini, Ryan/F-7134-2015; Tegtmeier, Susann/HIA-0554-2022; Chipperfield, Martyn/H-6359-2013; montzka, stephen/V-6162-2019; Reimann, Stefan/A-2327-2009</t>
  </si>
  <si>
    <t>Chipperfield, Martyn/0000-0002-6803-4149; montzka, stephen/0000-0002-9396-0400; Reimann, Stefan/0000-0002-9885-7138; Hossaini, Ryan/0000-0003-2395-6657</t>
  </si>
  <si>
    <t>Natural Environment Research Council (NERC) Sources and Impacts of Short-Lived Anthropogenic Chlorine (SISLAC) [NE/R001782/1]; NERC Independent Research Fellowship [NE/N014375/1]; NERC [NE/R001782/1, NE/R016518/1, NE/N014375/1, NE/R004927/1] Funding Source: UKRI</t>
  </si>
  <si>
    <t>Natural Environment Research Council (NERC) Sources and Impacts of Short-Lived Anthropogenic Chlorine (SISLAC)(UK Research &amp; Innovation (UKRI)Natural Environment Research Council (NERC)); NERC Independent Research Fellowship(UK Research &amp; Innovation (UKRI)Natural Environment Research Council (NERC)); NERC(UK Research &amp; Innovation (UKRI)Natural Environment Research Council (NERC))</t>
  </si>
  <si>
    <t>The authors thank S. Dhomse (University of Leeds) for the data provided in Fig. 6. M.P.C. and R.H. acknowledge support through the Natural Environment Research Council (NERC) Sources and Impacts of Short-Lived Anthropogenic Chlorine (SISLAC) grant NE/R001782/1. R.H. is supported by a NERC Independent Research Fellowship (NE/N014375/1).</t>
  </si>
  <si>
    <t>10.1038/s43017-020-0048-8</t>
  </si>
  <si>
    <t>SA6YJ</t>
  </si>
  <si>
    <t>WOS:000649447300006</t>
  </si>
  <si>
    <t>Lowry, DP; Golledge, NR; Bertler, NAN; Jones, RS; McKay, R; Stutz, J</t>
  </si>
  <si>
    <t>Lowry, Daniel P.; Golledge, Nicholas R.; Bertler, Nancy A. N.; Jones, R. Selwyn; McKay, Robert; Stutz, Jamey</t>
  </si>
  <si>
    <t>Geologic controls on ice sheet sensitivity to deglacial climate forcing in the Ross Embayment, Antarctica</t>
  </si>
  <si>
    <t>QUATERNARY SCIENCE ADVANCES</t>
  </si>
  <si>
    <t>Quaternary; Deglaciation; Antarctica; Ice sheet modeling; Geomorphology; Glacial; Paleoclimate</t>
  </si>
  <si>
    <t>PLEISTOCENE-HOLOCENE RETREAT; GROUNDING-LINE RETREAT; MODEL PISM-PIK; SEA-LEVEL; WEST ANTARCTICA; STREAM-B; PART 1; SYSTEM; DRIVEN; TEMPERATURE</t>
  </si>
  <si>
    <t>The role of external forcings in the deglacial ice sheet evolution of the Ross Embayment, Antarctica's largest catchment, continues to be a highly contested topic. Although numerical ice sheet models indicate that ocean and atmosphere forcings were the main drivers of deglacial ice sheet retreat, these models have difficulty in accurately capturing both the timing and rate of retreat in every area of the embayment. Other factors that influence the sensitivity of ice sheets to climate forcing, such as the physical properties of the bed, isostatic deformation of the continental shelf, and rheological properties of the ice, are parameterized inconsistently across models. Here, we explore using a systematic approach the extent to which specific model parameters related to basal substrate, bed deformation and ice flow and rheology impact the climate sensitivity of the ice sheet in the Ross Embayment over the last deglaciation. Higher variability in deglacial ice sheet evolution is observed among experiments using different model parameters than among experiments using different climate forcings. Mantle viscosity, the material properties of the till, and an enhancement factor of the shallow shelf approximation (E-SSA) component of the stress balance exhibit strong influences on the timing of ice sheet response to deglacial climate forcing, and may contribute to the asynchronous retreat behavior of the Eastern and Western Ross Sea. The Western Ross Sea is especially sensitive to both climate forcing and model parameter selection, with both cool climate forcing and low E-SSA producing better agreement with terrestrial ice thinning records. The evolution and extent of the Siple Coast grounding line is highly sensitive to the mantle viscosity and till properties in addition to ocean and precipitation forcing. Constraining these physical model parameters is therefore paramount for accurate projections of the Antarctic ice sheet response to projected future changes in ocean temperatures and precipitation.</t>
  </si>
  <si>
    <t>[Lowry, Daniel P.; Golledge, Nicholas R.; Bertler, Nancy A. N.; McKay, Robert; Stutz, Jamey] Victoria Univ Wellington, Antarctic Res Ctr, Wellington 6140, New Zealand; [Lowry, Daniel P.; Golledge, Nicholas R.; Bertler, Nancy A. N.] GNS Sci, Lower Hutt 5040, New Zealand; [Jones, R. Selwyn] Univ Durham, Dept Geog, Durham, England</t>
  </si>
  <si>
    <t>Victoria University Wellington; GNS Science - New Zealand; Durham University</t>
  </si>
  <si>
    <t>Lowry, DP (corresponding author), Victoria Univ Wellington, Antarctic Res Ctr, Wellington 6140, New Zealand.;Lowry, DP (corresponding author), GNS Sci, Lower Hutt 5040, New Zealand.</t>
  </si>
  <si>
    <t>d.lowry@gns.cri.nz</t>
  </si>
  <si>
    <t>Jones, Richard Selwyn/AAJ-3949-2021</t>
  </si>
  <si>
    <t>Jones, Richard Selwyn/0000-0003-2988-0999; Golledge, Nicholas/0000-0001-7676-8970; McKay, Robert/0000-0002-5602-6985</t>
  </si>
  <si>
    <t>Royal Society Te Aparangi Marsden Fund through Victoria University of Wellington [15-VUW-131]; New Zealand Ministry of Business, Innovation, and Employment Grant through GNS Science [540GCT32]; New Zealand Antarctic Research Institute [NZARI2014-11]; NASA [NNX17AG65G]; NSF [PLR-1603799, PLR-1644277]; Antarctica New Zealand Doctoral Scholarship program; Royal Society Te Aparangi [VUW1501]; Durham University [609412]; European Union [609412]; Royal Society Te Aparangi Rutherford Discovery Fellowship [RDF-13VUW-003, RDF-VUW-1103]</t>
  </si>
  <si>
    <t>Royal Society Te Aparangi Marsden Fund through Victoria University of Wellington(Royal Society of New Zealand); New Zealand Ministry of Business, Innovation, and Employment Grant through GNS Science(New Zealand Ministry of Business, Innovation and Employment (MBIE)); New Zealand Antarctic Research Institute; NASA(National Aeronautics &amp; Space Administration (NASA)); NSF(National Science Foundation (NSF)); Antarctica New Zealand Doctoral Scholarship program; Royal Society Te Aparangi(Royal Society of New Zealand); Durham University; European Union(European Union (EU)); Royal Society Te Aparangi Rutherford Discovery Fellowship(Royal Society of New Zealand)</t>
  </si>
  <si>
    <t>We gratefully acknowledge A. Aschwanden and C. Khroulev for their constructive advice regarding the PISM, and the teams behind the TraCE-21ka and LOVECLIM DGns experiments for producing and sharing model output, publicly available via the NCAR Climate Data Gateway and the Asia-Pacific Data Research Center, respectively. We thank the Antarctic ice core and marine proxy communities for the use of their data. We also thank P. Bart for insightful comments that have greatly improved the manuscript. Funding for this project was provided by the Royal Society Te Aparangi Marsden Fund through Victoria University of Wellington (15-VUW-131); the New Zealand Ministry of Business, Innovation, and Employment Grant through GNS Science (540GCT32); and the New Zealand Antarctic Research Institute (NZARI2014-11). The development of PISM was supported by NASA grant NNX17AG65G and NSF grants PLR-1603799 and PLR-1644277. D.P.L. acknowledges support from the Antarctica New Zealand Doctoral Scholarship program. N.R.G. acknowledges support from the Royal Society Te Aparangi under contract VUW1501. R.S.J. was supported by a Junior Research Fellowship COFUNDed between Durham University and the European Union under grant agreement number 609412. R.M. acknowledges support from the Royal Society Te Aparangi Rutherford Discovery Fellowship (RDF-13VUW-003). N.A.N.B. acknowledges support from the Royal Society Te Aparangi Rutherford Discovery Fellowship (RDF-VUW-1103).</t>
  </si>
  <si>
    <t>2666-0334</t>
  </si>
  <si>
    <t>QUAT SCI ADV</t>
  </si>
  <si>
    <t>Quat. Sci. Adv.</t>
  </si>
  <si>
    <t>10.1016/j.qsa.2020.100002</t>
  </si>
  <si>
    <t>VL6NY</t>
  </si>
  <si>
    <t>WOS:000903522900002</t>
  </si>
  <si>
    <t>Mei, MJ; Maksym, T</t>
  </si>
  <si>
    <t>Mei, M. Jeffrey; Maksym, Ted</t>
  </si>
  <si>
    <t>A Textural Approach to Improving Snow Depth Estimates in the Weddell Sea</t>
  </si>
  <si>
    <t>sea ice; morphology; texture; segmentation; snow depth</t>
  </si>
  <si>
    <t>ICE THICKNESS; RADAR; ICEBRIDGE; FREEBOARD; CLASSIFICATION; BAND; BELLINGSHAUSEN; VARIABILITY; ANTARCTICA; RETRIEVAL</t>
  </si>
  <si>
    <t>The snow depth on Antarctic sea ice is critical to estimating the sea ice thickness distribution from laser altimetry data, such as from Operation IceBridge or ICESat-2. Snow redistributed by wind collects around areas of deformed ice and forms a wide variety of features on sea ice; the morphology of these features may provide some indication of the mean snow depth. Here, we apply a textural segmentation algorithm to classify and group similar textures to infer the distribution of snow using snow surface freeboard measurements from Operation IceBridge campaigns over the Weddell Sea. We find that texturally-similar regions have similar snow/ice ratios, even when they have different absolute snow depth measurements. This allows for the extrapolation of nadir-looking snow radar data using two-dimensional surface altimetry scans, providing a two-dimensional estimate of the snow depth with similar to 22% error. We show that at the floe scale (similar to 180 m), snow depth can be directly estimated from the snow surface with similar to 20% error using deep learning techniques, and that the learned filters are comparable to standard textural analysis techniques. This error drops to similar to 14% when averaged over 1.5 km scales. These results suggest that surface morphological information can improve remotely-sensed estimates of snow depth, and hence sea ice thickness, as compared to current methods. Such methods may be useful for reducing uncertainty in Antarctic sea ice thickness estimates from ICESat-2.</t>
  </si>
  <si>
    <t>[Mei, M. Jeffrey; Maksym, Ted] Woods Hole Oceanog Inst, Dept Appl Ocean Sci &amp; Engn, Woods Hole, MA 02540 USA; [Mei, M. Jeffrey] MIT, Dept Mech Engn, Cambridge, MA 02139 USA</t>
  </si>
  <si>
    <t>Woods Hole Oceanographic Institution; Massachusetts Institute of Technology (MIT)</t>
  </si>
  <si>
    <t>Mei, MJ (corresponding author), Woods Hole Oceanog Inst, Dept Appl Ocean Sci &amp; Engn, Woods Hole, MA 02540 USA.;Mei, MJ (corresponding author), MIT, Dept Mech Engn, Cambridge, MA 02139 USA.</t>
  </si>
  <si>
    <t>mjmei@mit.edu; tmaksym@whoi.edu</t>
  </si>
  <si>
    <t>Mei, M. Jeffrey/0000-0002-1083-598X</t>
  </si>
  <si>
    <t>National Aeronautics and Space Administration [NNX15AC69G]; US National Science Foundation [ANT-1341513]</t>
  </si>
  <si>
    <t>National Aeronautics and Space Administration(National Aeronautics &amp; Space Administration (NASA)); US National Science Foundation(National Science Foundation (NSF))</t>
  </si>
  <si>
    <t>This research was funded by National Aeronautics and Space Administration grant number NNX15AC69G and the US National Science Foundation grant number ANT-1341513.</t>
  </si>
  <si>
    <t>10.3390/rs12091494</t>
  </si>
  <si>
    <t>WOS:000543394000141</t>
  </si>
  <si>
    <t>Wu, DL; Lee, JN; Kim, KM; Lim, YK</t>
  </si>
  <si>
    <t>Wu, Dong L.; Lee, Jae Nyung; Kim, Kyu-Myong; Lim, Young-Kwon</t>
  </si>
  <si>
    <t>Interannual Variations of TOA Albedo over the Arctic, Antarctic and Tibetan Plateau in 2000-2019</t>
  </si>
  <si>
    <t>interannual variations; albedo; shortwave radiation; top of the atmosphere; 4-year oscillation; lagged correlation</t>
  </si>
  <si>
    <t>ANGULAR-DISTRIBUTION MODELS; SEA-ICE; GLACIER; CLIMATE; CLOUDS; SATELLITE; MERRA</t>
  </si>
  <si>
    <t>Recent changes in Earth's climate system have significantly affected the radiation budget and its year-to-year variations at top of the atmosphere (TOA). Observing high-latitude TOA fluxes is still challenging from space, because spatial inhomogeneity of surface/atmospheric radiative processes and spectral variability can reflect sunlight very differently. In this study we analyze the 20-year TOA flux and albedo data from CERES and MISR over the Arctic, the Antarctic, and Tibetan Plateau (TP), and found overall great consistency in the TOA albedo trend and interannual variations. The observations reveal a lagged correlation between the Arctic and subarctic albedo fluctuations. The observed year-to-year variations are further used to evaluate the reanalysis data, which exhibit substantial shortcomings in representing the polar TOA flux variability. The observed Arctic flux variations are highly correlated with cloud fraction (CF), except in the regions where CF &gt; 90% or where the surface is covered by ice. An empirical orthogonal function (EOF) analysis shows that the first five EOFs can account for similar to 50% of the Arctic TOA variance, whereas the correlation with climate indices suggests that Sea Ice Extent (SIE), North Atlantic Oscillation (NAO) and 55 degrees N-65 degrees N cloudiness are the most influential processes in driving the TOA flux variabilities.</t>
  </si>
  <si>
    <t>[Wu, Dong L.; Lee, Jae Nyung; Kim, Kyu-Myong; Lim, Young-Kwon] NASA, Goddard Space Flight Ctr, Code 916, Greenbelt, MD 20771 USA; [Lee, Jae Nyung] Univ Maryland, Joint Ctr Earth Syst Technol, Baltimore, MD 21250 USA; [Lim, Young-Kwon] Univ Space Res Assoc, Columbia, MD 21046 USA</t>
  </si>
  <si>
    <t>National Aeronautics &amp; Space Administration (NASA); NASA Goddard Space Flight Center; University System of Maryland; University of Maryland Baltimore County; University of Maryland Baltimore; Universities Space Research Association (USRA)</t>
  </si>
  <si>
    <t>Wu, DL (corresponding author), NASA, Goddard Space Flight Ctr, Code 916, Greenbelt, MD 20771 USA.</t>
  </si>
  <si>
    <t>dong.l.wu@nasa.gov; jae.n.lee@nasa.gov; kyu-myong.kim@nasa.gov; young-kwon.lim@nasa.gov</t>
  </si>
  <si>
    <t>Wu, Dong L/D-5375-2012; Keyes, Dennis/AAZ-9285-2021; Kim, Kyu-Myong/G-5398-2014</t>
  </si>
  <si>
    <t>NASA's Sun-Climate research fund</t>
  </si>
  <si>
    <t>This research was supported by NASA's Sun-Climate research fund to Goddard Space Flight Center.</t>
  </si>
  <si>
    <t>10.3390/rs12091460</t>
  </si>
  <si>
    <t>WOS:000543394000107</t>
  </si>
  <si>
    <t>Miller, KG; Browning, JV; Schmelz, WJ; Kopp, RE; Mountain, GS; Wright, JD</t>
  </si>
  <si>
    <t>Miller, Kenneth G.; Browning, James, V; Schmelz, W. John; Kopp, Robert E.; Mountain, Gregory S.; Wright, James D.</t>
  </si>
  <si>
    <t>Cenozoic sea-level and cryospheric evolution from deep-sea geochemical and continental margin records</t>
  </si>
  <si>
    <t>NEW-JERSEY; COASTAL-PLAIN; ICE-VOLUME; ANTARCTIC GLACIATION; DYNAMIC TOPOGRAPHY; OXYGEN ISOTOPES; CARBON-DIOXIDE; CLIMATE; MIDDLE; OCEAN</t>
  </si>
  <si>
    <t>Using Pacific benthic foraminiferal delta O-18 and Mg/Ca records, we derive a Cenozoic (66 Ma) global mean sea level (GMSL) estimate that records evolution from an ice-free Early Eocene to Quaternary bipolar ice sheets. These GMSL estimates are statistically similar to backstripped estimates from continental margins accounting for compaction, loading, and thermal subsidence. Peak warmth, elevated GMSL, high CO2, and ice-free Hothouse conditions (56 to 48 Ma) were followed by Cool Greenhouse (48 to 34 Ma) ice sheets (10 to 30 m changes). Continental-scale ice sheets (Icehouse) began similar to 34 Ma (&gt;50 m changes), permanent East Antarctic ice sheets at 12.8 Ma, and bipolar glaciation at 2.5 Ma. The largest GMSL fall (27 to 20 ka; similar to 130 m) was followed by a &gt;40 mm/yr rise (19 to 10 ka), a slowing (10 to 2 ka), and a stillstand until similar to 1900 CE, when rates began to rise. High long-term CO2 caused warm climates and high sea levels, with sea-level variability dominated by periodic Milankovitch cycles.</t>
  </si>
  <si>
    <t>[Miller, Kenneth G.; Browning, James, V; Schmelz, W. John; Kopp, Robert E.; Mountain, Gregory S.; Wright, James D.] Rutgers State Univ, Dept Earth &amp; Planetary Sci, Piscataway, NJ 08854 USA; [Miller, Kenneth G.; Browning, James, V; Schmelz, W. John; Kopp, Robert E.; Mountain, Gregory S.; Wright, James D.] Rutgers State Univ, Inst Earth Ocean &amp; Atmospher Sci, New Brunswick, NJ 08901 USA</t>
  </si>
  <si>
    <t>Miller, KG (corresponding author), Rutgers State Univ, Dept Earth &amp; Planetary Sci, Piscataway, NJ 08854 USA.;Miller, KG (corresponding author), Rutgers State Univ, Inst Earth Ocean &amp; Atmospher Sci, New Brunswick, NJ 08901 USA.</t>
  </si>
  <si>
    <t>Schmelz, William/P-5132-2019; Kopp, Robert E/B-8822-2008</t>
  </si>
  <si>
    <t>Schmelz, William/0000-0002-2588-7985; Kopp, Robert/0000-0003-4016-9428; Wright, James/0000-0001-5212-9146; Miller, Kenneth/0000-0002-7583-7425</t>
  </si>
  <si>
    <t>NSF [OCE16-57013, OCE14-63759]</t>
  </si>
  <si>
    <t>This study was supported by NSF grants OCE16-57013 (K.G.M.) and OCE14-63759 (K.G.M. and J. V.B.).</t>
  </si>
  <si>
    <t>eaaz1346</t>
  </si>
  <si>
    <t>10.1126/sciadv.aaz1346</t>
  </si>
  <si>
    <t>LO4BD</t>
  </si>
  <si>
    <t>WOS:000533573300019</t>
  </si>
  <si>
    <t>McGowen, MR; Tsagkogeorga, G; Alvarez-Carretero, S; dos Reis, M; Struebig, M; Deaville, R; Jepson, PD; Jarman, S; Polanowski, A; Morin, PA; Rossiter, SJ</t>
  </si>
  <si>
    <t>McGowen, Michael R.; Tsagkogeorga, Georgia; Alvarez-Carretero, Sandra; dos Reis, Mario; Struebig, Monika; Deaville, Robert; Jepson, Paul D.; Jarman, Simon; Polanowski, Andrea; Morin, Phillip A.; Rossiter, Stephen J.</t>
  </si>
  <si>
    <t>Phylogenomic Resolution of the Cetacean Tree of Life Using Target Sequence Capture</t>
  </si>
  <si>
    <t>SYSTEMATIC BIOLOGY</t>
  </si>
  <si>
    <t>Cetaceans; phylogenomics; Delphinidae; Ziphiidae; dolphins; whales</t>
  </si>
  <si>
    <t>BEAKED-WHALE; CYTOCHROME-B; BAYESIAN-ESTIMATION; BALEEN WHALE; MULTILOCUS PHYLOGENY; FOSSIL CALIBRATIONS; MOLECULAR EVOLUTION; DIVERGENCE TIMES; TAXONOMIC STATUS; SPECIES TREE</t>
  </si>
  <si>
    <t>The evolution of cetaceans, from their early transition to an aquatic lifestyle to their subsequent diversification, has been the subject of numerous studies. However, although the higher-level relationships among cetacean families have been largely settled, several aspects of the systematics within these groups remain unresolved. Problematic clades include the oceanic dolphins (37 spp.), which have experienced a recent rapid radiation, and the beaked whales (22 spp.), which have not been investigated in detail using nuclear loci. The combined application of high-throughput sequencing with techniques that target specific genomic sequences provide a powerful means of rapidly generating large volumes of orthologous sequence data for use in phylogenomic studies. To elucidate the phylogenetic relationships within the Cetacea, we combined sequence capture with Illumina sequencing to generate data for 3200 protein-coding genes for 68 cetacean species and their close relatives including the pygmy hippopotamus. By combining data from 38,000 exons with existing sequences from 11 cetaceans and seven outgroup taxa, we produced the first comprehensive comparative genomic data set for cetaceans, spanning 6,527,596 aligned base pairs (bp) and 89 taxa. Phylogenetic trees reconstructed with maximum likelihood and Bayesian inference of concatenated loci, as well as with coalescence analyses of individual gene trees, produced mostly concordant and well-supported trees. Our results completely resolve the relationships among beaked whales as well as the contentious relationships among oceanic dolphins, especially the problematic subfamily Delphinidae. We carried out Bayesian estimation of species divergence times using MCMCTree and compared our complete data set to a subset of clocklike genes. Analyses using the complete data set consistently showed less variance in divergence times than the reduced data set. In addition, integration of new fossils (e.g., Mystacodon selenensis) indicates that the diversification of Crown Cetacea began before the Late Eocene and the divergence of Crown Delphinidae as early as the Middle Miocene.</t>
  </si>
  <si>
    <t>[McGowen, Michael R.; Tsagkogeorga, Georgia; Alvarez-Carretero, Sandra; dos Reis, Mario; Struebig, Monika; Rossiter, Stephen J.] Queen Mary Univ London, Sch Biol &amp; Chem Sci, Mile End Rd, London E1 4NS, England; [McGowen, Michael R.] Smithsonian Museum Nat Hist, Dept Vertebrate Zool, 10th &amp; Constitut Ave NW, Washington, DC 20560 USA; [Deaville, Robert; Jepson, Paul D.] Zool Soc London, Inst Zool, Outer Circle, London NW1 4RY, England; [Jarman, Simon] Univ Western Australia, Sch Biol Sci, 35 Stirling Highway, Perth, WA 6009, Australia; [Polanowski, Andrea] Australian Antarctic Div, 203 Channel Highway, Kingston, Tas 7050, Australia; [Morin, Phillip A.] NOAA, Southwest Fisheries Sci Ctr, Natl Marine Fisheries Serv, 8901 La Jolla Shores Dr, La Jolla, CA 92037 USA</t>
  </si>
  <si>
    <t>University of London; Queen Mary University London; Smithsonian Institution; Smithsonian National Museum of Natural History; Zoological Society of London; University of Western Australia; Australian Antarctic Division; National Oceanic Atmospheric Admin (NOAA) - USA</t>
  </si>
  <si>
    <t>Rossiter, SJ (corresponding author), Queen Mary Univ London, Sch Biol &amp; Chem Sci, Mile End Rd, London E1 4NS, England.</t>
  </si>
  <si>
    <t>s.j.rossiter@qmul.ac.uk</t>
  </si>
  <si>
    <t>Morin, Phillip A/E-9515-2010; Rossiter, Stephen J/E-2111-2011; Reis, Mario dos/B-4938-2009</t>
  </si>
  <si>
    <t>Reis, Mario dos/0000-0001-9514-3976; Alvarez-Carretero, Sandra/0000-0002-9508-6286; Rossiter, Stephen/0000-0002-3881-4515; Polanowski, Andrea/0000-0002-9612-220X</t>
  </si>
  <si>
    <t>Royal Society Newton International Fellowship; European Research Council Starting grant [310482]; European Research Council (ERC) [310482] Funding Source: European Research Council (ERC)</t>
  </si>
  <si>
    <t>Royal Society Newton International Fellowship(Royal Society); European Research Council Starting grant(European Research Council (ERC)); European Research Council (ERC)(European Research Council (ERC)Spanish Government)</t>
  </si>
  <si>
    <t>This research was funded by a Royal Society Newton International Fellowship to M.R.M. and S.J.R. and a European Research Council Starting grant (310482, EVOGENO) awarded to S.J.R.</t>
  </si>
  <si>
    <t>1063-5157</t>
  </si>
  <si>
    <t>1076-836X</t>
  </si>
  <si>
    <t>SYST BIOL</t>
  </si>
  <si>
    <t>Syst. Biol.</t>
  </si>
  <si>
    <t>10.1093/sysbio/syz068</t>
  </si>
  <si>
    <t>Evolutionary Biology</t>
  </si>
  <si>
    <t>LU0EE</t>
  </si>
  <si>
    <t>WOS:000537435800005</t>
  </si>
  <si>
    <t>Bulínová, M; Kohler, TJ; Kavan, J; Van de Vijver, B; Nyvlt, D; Nedbalová, L; Coria, SH; Lirio, JM; Kopalová, K</t>
  </si>
  <si>
    <t>Bulinova, Marie; Kohler, Tyler J.; Kavan, Jan; Van de Vijver, Bart; Nyvlt, Daniel; Nedbalova, Linda; Coria, Silvia H.; Lirio, Juan M.; Kopalova, Katerina</t>
  </si>
  <si>
    <t>Comparison of Diatom Paleo-Assemblages with Adjacent Limno-Terrestrial Communities on Vega Island, Antarctic Peninsula</t>
  </si>
  <si>
    <t>limnology; biogeography; streams; mosses; community ecology; Maritime Antarctic Region; Bacillariophyceae; polar biology; sediment core; littoral zone</t>
  </si>
  <si>
    <t>JAMES-ROSS-ISLAND; MCMURDO DRY VALLEYS; BAHIA-DEL-DIABLO; CLIMATE-CHANGE; PALEOSALINITY HISTORY; ENVIRONMENTAL-CHANGE; MELTWATER STREAMS; CLEARWATER MESA; EAST ANTARCTICA; VESTFOLD HILLS</t>
  </si>
  <si>
    <t>Diatoms are useful ecological and paleolimnological indicators routinely used to reconstruct past conditions and monitor environmental change. Despite this, diatom assemblages from lake sediment cores are often difficult to interpret due to a limited knowledge of the ecology of some species, some of which may originate from the adjacent limno-terrestrial landscape. Here, we compare diatom assemblages from two recently published Antarctic lake sediment cores collected from the northeast and southwest sides of Vega Island, Antarctic Peninsula. We further compare the sediment core assemblages with adjacent modern communities inhabiting four different limno-terrestrial habitat types to gauge the importance of landscape connectivity in determining paleo-assemblage structure. We found that diatom assemblage composition was significantly different between the two cores, and our survey of modern habitats further revealed habitat type to be an important factor determining the composition of limno-terrestrial samples. Differences in modern habitats were driven primarily by Chamaepinnularia krookiformis in mosses, Nitzschia paleacea in ponds, and Fistulifera pelliculosa in streams. When modern communities were compared with paleo-assemblages through ordination, the cored lake from the northeast side, which exhibited greater hydrological connectivity with its surroundings, clustered more closely with the adjacent modern samples. Meanwhile, the cored lake from the southwest side, which was more hydrologically isolated, formed a distinct cluster separate from the others. Overall, species richness and diversity were greater on the southwest side of the island than the northeast, and the known distributions of diatom taxa supported the notion that Vega Island was a transitional zone between the Maritime and Continental Antarctic bioregions. These results collectively suggested that while environmental and spatial controls may be influential in determining diatom community composition, the unique hydrogeological setting of individual waterbodies was an important consideration for determining the assemblage structure of lake cores. This paper furthermore expanded ongoing research of diatom diversity and distributions on maritime Antarctic islands, which will improve diatom-based interpretations for regional ecological monitoring and paleolimnology in the future.</t>
  </si>
  <si>
    <t>[Bulinova, Marie; Kohler, Tyler J.; Nedbalova, Linda; Kopalova, Katerina] Charles Univ Prague, Fac Sci, Dept Ecol, Vinicna 7, Prague 12844 2, Czech Republic; [Kavan, Jan; Nyvlt, Daniel] Masaryk Univ, Fac Sci, Dept Geog, Brno 61137, Czech Republic; [Van de Vijver, Bart] Bot Garden Meise, Res Dept, Nieuwelaan 38, B-1860 Meise, Belgium; [Van de Vijver, Bart] Univ Antwerp, Dept Biol, Ecosyst Management Res Grp, Univ Pl 1, B-2610 Antwerp, Belgium; [Coria, Silvia H.; Lirio, Juan M.] Inst Antartico Argentino, 25 Mayo 1143,B1650HMK, Buenos Aires, DF, Argentina; [Kopalova, Katerina] Acad Sci Czech Republ, Inst Bot, Sect Plant Ecol, Dukelska 135, CZ-37982 Trebon, Czech Republic</t>
  </si>
  <si>
    <t>Charles University Prague; Masaryk University Brno; University of Antwerp; Instituto Antartico Argentino; Czech Academy of Sciences; Institute of Botany of the Czech Academy of Sciences</t>
  </si>
  <si>
    <t>Kopalová, K (corresponding author), Charles Univ Prague, Fac Sci, Dept Ecol, Vinicna 7, Prague 12844 2, Czech Republic.;Kopalová, K (corresponding author), Acad Sci Czech Republ, Inst Bot, Sect Plant Ecol, Dukelska 135, CZ-37982 Trebon, Czech Republic.</t>
  </si>
  <si>
    <t>mery.bulinova@gmail.com; tyler.j.kohler@gmail.com; jan.kavan.cb@gmail.com; bart.vandevijver@plantentuinmeise.be; daniel.nyvlt@sci.muni.cz; lindane@natur.cuni.cz; silviahcoria@gmail.com; liriojm@gmail.com; k.kopalova@hotmail.com</t>
  </si>
  <si>
    <t>Nedbalová, Linda/AAF-1001-2022; Nyvlt, Daniel/J-6504-2019; Kohler, Tyler Joe/IUO-5352-2023; Nedbalová, Linda/AFF-8321-2022; Kavan, Jan/ACU-4986-2022; Kopalova, Katerina/M-6207-2017</t>
  </si>
  <si>
    <t>Nedbalová, Linda/0000-0003-1800-714X; Nyvlt, Daniel/0000-0002-6876-490X; Kohler, Tyler Joe/0000-0001-5137-4844; Nedbalová, Linda/0000-0003-1800-714X; Kopalova, Katerina/0000-0002-7905-4268; Kavan, Jan/0000-0003-4524-3009; Van de Vijver, Bart/0000-0002-6244-1886; Lirio, Juan Manuel/0000-0002-1019-8407</t>
  </si>
  <si>
    <t>Czech Science Foundation [16-17346Y]; Charles University Research Centre, Czech Republic [204069]; Lagos Holocene Project DNA-IAA; ANPCyT [PICTO-2010-0096]; Ministry of Education, Youth and Sports of the Czech Republic [LM2015078, CZ.02.1.01/0.0/0.0/16_013/0001708]; Charles University Research Centre Program [204069]</t>
  </si>
  <si>
    <t>Czech Science Foundation(Grant Agency of the Czech Republic); Charles University Research Centre, Czech Republic; Lagos Holocene Project DNA-IAA; ANPCyT(ANPCyT); Ministry of Education, Youth and Sports of the Czech Republic(Ministry of Education, Youth &amp; Sports - Czech Republic); Charles University Research Centre Program</t>
  </si>
  <si>
    <t>This contribution was supported by the Czech Science Foundation Project No. 16-17346Y, Charles University Research Centre, Czech Republic, No. 204069, Lagos Holocene Project DNA-IAA, ANPCyT Project PICTO-2010-0096, and the Ministry of Education, Youth and Sports of the Czech Republic Project Nos. LM2015078 and CZ.02.1.01/0.0/0.0/16_013/0001708. T.J.K. and K.K. were further supported by Charles University Research Centre Program No. 204069.</t>
  </si>
  <si>
    <t>10.3390/w12051340</t>
  </si>
  <si>
    <t>MU8KA</t>
  </si>
  <si>
    <t>WOS:000555915200119</t>
  </si>
  <si>
    <t>Gorodetskaya, IV; Silva, T; Schmithuesen, H; Hirasawa, N</t>
  </si>
  <si>
    <t>Gorodetskaya, Irina, V; Silva, Tiago; Schmithuesen, Holger; Hirasawa, Naohiko</t>
  </si>
  <si>
    <t>Atmospheric River Signatures in Radiosonde Profiles and Reanalyses at the Dronning Maud Land Coast, East Antarctica</t>
  </si>
  <si>
    <t>tarctica; moisture transport; radiosonde observations; YOPP-SOP-SH; reanalysis; &amp; x674e;&amp; x7199;&amp; x6668;</t>
  </si>
  <si>
    <t>NEUMAYER STATION; MOISTURE TRANSPORT; RELATIVE-HUMIDITY; SNOW ACCUMULATION; SOUTHERN-OCEAN; WIND-FIELD; SURFACE; PRECIPITATION; MODEL; CLIMATOLOGY</t>
  </si>
  <si>
    <t>Atmospheric rivers (ARs) are an important component of the hydrological cycle linking moisture sources in lower latitudes to the Antarctic surface mass balance. We investigate AR signatures in the atmospheric vertical profiles at the Dronning Maud Land coast, East Antarctica, using regular and extra radiosonde measurements conducted during the Year of Polar Prediction Special Observing Period November 2018 to February 2019. Prominent AR events affecting the locations of Neumayer and Syowa cause a strong increase in specific humidity extending through the mid-troposphere and a strong low-level jet (LLJ). At Neumayer, the peak in the moisture inversion (up to 4 g kg(-1)) is observed between 800 and 900 hPa, while the LLJ (up to 32 m s(-1)) is concentrated below 900 hPa. At Syowa the increase in humidity is less pronounced and peaks near the surface, while there is a substantial increase in wind speed (up to 40 m s(-1)) between 825 and 925 hPa. Moisture transport (MT) within the vertical profile during the ARs attains a maximum of 100 g kg(-1) m s(-1) at both locations, and is captured by both ERA-Interim and ERA5 reanalysis data at Neumayer, but is strongly underestimated at Syowa. Composites of the enhanced MT events during 2009-19 show that these events represent an extreme state of the lower-tropospheric profile compared to its median values with respect to temperature, humidity, wind speed and, consequently, MT. High temporal- and vertical-resolution radiosonde observations are important for understanding the contribution of these rare events to the total MT towards Antarctica and improving their representation in models.</t>
  </si>
  <si>
    <t>[Gorodetskaya, Irina, V] Univ Aveiro, Ctr Environm &amp; Marine Studies CESAM, Dept Phys, P-3810193 Aveiro, Portugal; [Silva, Tiago] Univ Innsbruck, Dept Atmospher &amp; Cryospher Sci, A-6020 Innsbruck, Austria; [Schmithuesen, Holger] Helmholtz Ctr Polar &amp; Marine Res, Alfred Wegener Inst, D-27570 Bremerhaven, Germany; [Hirasawa, Naohiko] Natl Inst Polar Res, Tachikawa, Tokyo 1908518, Japan; [Hirasawa, Naohiko] SOKENDAI Grad Univ Adv Studies, Hayama, Kanagawa 2400193, Japan</t>
  </si>
  <si>
    <t>Universidade de Aveiro; University of Innsbruck; Helmholtz Association; Alfred Wegener Institute, Helmholtz Centre for Polar &amp; Marine Research; Research Organization of Information &amp; Systems (ROIS); National Institute of Polar Research (NIPR) - Japan; Graduate University for Advanced Studies - Japan</t>
  </si>
  <si>
    <t>Gorodetskaya, IV (corresponding author), Univ Aveiro, Ctr Environm &amp; Marine Studies CESAM, Dept Phys, P-3810193 Aveiro, Portugal.</t>
  </si>
  <si>
    <t>irina.gorodetskaya@ua.pt</t>
  </si>
  <si>
    <t>Schmithüsen, Holger/ABD-4267-2021; Gorodetskaya, Irina V./K-1987-2015</t>
  </si>
  <si>
    <t>Schmithüsen, Holger/0000-0001-5776-6777; Silva, Tiago/0000-0003-1477-7198</t>
  </si>
  <si>
    <t>10.1007/s00376-020-9221-8</t>
  </si>
  <si>
    <t>WOS:000526544900005</t>
  </si>
  <si>
    <t>Xia, Y; Hu, YY; Liu, JP; Huang, Y; Xie, F; Lin, JT</t>
  </si>
  <si>
    <t>Xia, Yan; Hu, Yongyun; Liu, Jiping; Huang, Yi; Xie, Fei; Lin, Jintai</t>
  </si>
  <si>
    <t>Stratospheric Ozone-induced Cloud Radiative Effects on Antarctic Sea Ice</t>
  </si>
  <si>
    <t>stratospheric ozone recovery; Antarctic sea ice; cloud radiative effects; ice-albedo feedback; climate change</t>
  </si>
  <si>
    <t>CLIMATE; CMIP5; HOLE; CIRCULATION; OCEAN</t>
  </si>
  <si>
    <t>Recent studies demonstrate that the Antarctic Ozone Hole has important influences on Antarctic sea ice. While most of these works have focused on effects associated with atmospheric and oceanic dynamic processes caused by stratospheric ozone changes, here we show that stratospheric ozone-induced cloud radiative effects also play important roles in causing changes in Antarctic sea ice. Our simulations demonstrate that the recovery of the Antarctic Ozone Hole causes decreases in clouds over Southern Hemisphere (SH) high latitudes and increases in clouds over the SH extratropics. The decrease in clouds leads to a reduction in downward infrared radiation, especially in austral autumn. This results in cooling of the Southern Ocean surface and increasing Antarctic sea ice. Surface cooling also involves ice-albedo feedback. Increasing sea ice reflects solar radiation and causes further cooling and more increases in Antarctic sea ice.</t>
  </si>
  <si>
    <t>[Xia, Yan; Hu, Yongyun; Lin, Jintai] Peking Univ, Sch Phys, Dept Atmospher &amp; Ocean Sci, Lab Climate &amp; Atmosphere Ocean Studies, Beijing 100871, Peoples R China; [Liu, Jiping] SUNY Albany, Dept Atmospher &amp; Environm Sci, Albany, NY 12222 USA; [Huang, Yi] McGill Univ, Dept Atmospher &amp; Ocean Sci, Montreal, PQ, Canada; [Xie, Fei] Beijing Normal Univ, Coll Global Change &amp; Earth Syst Sci, Beijing 100875, Peoples R China</t>
  </si>
  <si>
    <t>Peking University; State University of New York (SUNY) System; State University of New York (SUNY) Albany; McGill University; Beijing Normal University</t>
  </si>
  <si>
    <t>Hu, YY (corresponding author), Peking Univ, Sch Phys, Dept Atmospher &amp; Ocean Sci, Lab Climate &amp; Atmosphere Ocean Studies, Beijing 100871, Peoples R China.</t>
  </si>
  <si>
    <t>yyhu@pku.edu.cn</t>
  </si>
  <si>
    <t>Xie, Fei/I-9766-2016; Xia, Yan/A-7160-2018; Hu, Yongyun/B-6786-2016; Lin, Jintai/A-8872-2012; Huang, Yi/E-9479-2016</t>
  </si>
  <si>
    <t>Xie, Fei/0000-0003-2891-3883; Hu, Yongyun/0000-0002-4003-4630; Lin, Jintai/0000-0002-2362-2940; Xia, Yan/0000-0001-8664-5325</t>
  </si>
  <si>
    <t>10.1007/s00376-019-8251-6</t>
  </si>
  <si>
    <t>WOS:000526544900008</t>
  </si>
  <si>
    <t>Wu, Y; Wang, ZM; Liu, CY; Lin, X</t>
  </si>
  <si>
    <t>Wu, Yang; Wang, Zhaomin; Liu, Chengyan; Lin, Xia</t>
  </si>
  <si>
    <t>Impacts of High-Frequency Atmospheric Forcing on Southern Ocean Circulation and Antarctic Sea Ice</t>
  </si>
  <si>
    <t>high-frequency atmospheric variability; momentum fluxes; buoyancy fluxes; Southern Ocean circulation; Antarctic sea ice; MITgcm-ECCO2</t>
  </si>
  <si>
    <t>WIND-POWER INPUT; CLIMATE-CHANGE; WATER MASSES; MIXED-LAYER; ENERGY; VARIABILITY; HEAT; SUBDUCTION; MODEL; TRANSPORT</t>
  </si>
  <si>
    <t>The relative contributions of atmospheric fluctuations on 6 h-2 d, 2-8 d, and 8 d-1 month time scales to the changes in the air-sea fluxes, the SO circulation, and Antarctic sea ice are investigated. It was found that the imposed forcing variability on the three time scales creates a significant increase in wind power input, and hence an increase of about 50%, 97%, and 5% of eddy kinetic energy relative to the simulation driven by monthly forcing, respectively. Also, SO circulation and the strength of the upper cell of meridional overturning circulation become strengthened. These results indicate more dominant effects of atmospheric variability on the 2-8 d time scale on the SO circulation. Meanwhile, the 6 h-2 d (2-8 d) atmospheric variability causes an increase in the total sea-ice extent, area, and volume, by about 33%, 30%, and 19% (17%, 20%, and 25%), respectively, relative to those in the experiment forced by monthly atmospheric variables. Such significant sea-ice increases are caused by a cooler ocean surface and stronger sea-ice transports owing to the enhanced heat losses and air-ice stresses induced by the atmospheric variability at 6 h-2 d and 2-8 d, while the effects of the variability at 8 d-1 month are rather weak. The influences of atmospheric variability found here mainly result from wind fluctuations. Our findings in this study indicate the importance of properly resolving high-frequency atmospheric variability in modeling studies.</t>
  </si>
  <si>
    <t>[Wu, Yang; Wang, Zhaomin; Liu, Chengyan; Lin, Xia] Hohai Univ, Coll Oceanog, Nanjing 210098, Peoples R China; [Wu, Yang; Wang, Zhaomin; Liu, Chengyan; Lin, Xia] Southern Marine Sci &amp; Engn Guangdong Lab Zhuhai, Zhuhai 519082, Peoples R China; [Wu, Yang; Wang, Zhaomin; Liu, Chengyan; Lin, Xia] Hohai Univ, Int Polar Environm Res Lab, Nanjing 210098, Peoples R China; [Wu, Yang; Wang, Zhaomin; Liu, Chengyan; Lin, Xia] Univ Corp Polar Res, Beijing 100875, Peoples R China</t>
  </si>
  <si>
    <t>Hohai University; Southern Marine Science &amp; Engineering Guangdong Laboratory; Southern Marine Science &amp; Engineering Guangdong Laboratory (Zhuhai); Hohai University</t>
  </si>
  <si>
    <t>Wang, ZM (corresponding author), Hohai Univ, Coll Oceanog, Nanjing 210098, Peoples R China.;Wang, ZM (corresponding author), Southern Marine Sci &amp; Engn Guangdong Lab Zhuhai, Zhuhai 519082, Peoples R China.;Wang, ZM (corresponding author), Hohai Univ, Int Polar Environm Res Lab, Nanjing 210098, Peoples R China.;Wang, ZM (corresponding author), Univ Corp Polar Res, Beijing 100875, Peoples R China.</t>
  </si>
  <si>
    <t>zhaomin.wang@hhu.edu.cn</t>
  </si>
  <si>
    <t>Lin, Xia/HTM-0814-2023</t>
  </si>
  <si>
    <t>Lin, Xia/0000-0002-8058-7766; Wu, Yang/0000-0001-7842-9796</t>
  </si>
  <si>
    <t>10.1007/s00376-020-9203-x</t>
  </si>
  <si>
    <t>WOS:000526544900009</t>
  </si>
  <si>
    <t>Wan, ML; Shi, GR; Luo, M; Lee, SM; Wang, J</t>
  </si>
  <si>
    <t>Wan, Mingli; Shi, G. R.; Luo, Mao; Lee, Sangmin; Wang, Jun</t>
  </si>
  <si>
    <t>First record of a petrified gymnospermous wood from the Kungurian (late Early Permian) of the southern Sydney Basin, southeastern Australia, and its paleoclimatic implications</t>
  </si>
  <si>
    <t>Fossil wood; Cisuralian; Gondwana; Paleoclimate; Paleoecology</t>
  </si>
  <si>
    <t>PALEOZOIC ICE-AGE; CENTRAL NORTH SLOPE; HIGH-LATITUDE; SP NOV.; EASTERN AUSTRALIA; ALEXANDER ISLAND; FOSSIL FOREST; TREE GROWTH; CLIMATE; CHINA</t>
  </si>
  <si>
    <t>For the first time, a silicified wood with well-preserved inner structures is reported from the Kungurian (Early Permian) Snapper Point Formation in the southern Sydney Basin, southeastern Australia. It is characterized by uni-to tetraseriate araucarian radial tracheidal pits and large, simple cross-field pitting. This wood is attributed to Protophyllocladoxylon dolianitii Mussa 1958, and it is assumed to be of cordaitalean affinity, which is one of the dominant and arborescent element of the early Permian Gangamopteris Taiga. Evidence of growth patterns of the fossil wood, and the paleogeographical reconstruction shows that the host tree of the fossil wood was growing in a strongly seasonal polar light regime. The wide growth rings (5.315-12.316 mm) and the large number of tracheids per ring (99-288) indicate the tree flourished under favorable conditions during the growing season, with ample water and clement temperatures, enhanced by the extended daylight hours of the Antarctic-type summer. The occurrence of frost rings in the wood, corroborated by additional sedimentological information suggest that unusual climatic events (aperiodic cold and freezing events) occurred in terrestrial ecosystems of the southern Sydney Basin during the Kungurian. The study demonstrates that fossil wood of exceptional preservation, like the one reported here, can offer valuable and potentially unique information crucial for deep-time paleoclimatic reconstruction. (C) 2020 Elsevier B.V. All rights reserved.</t>
  </si>
  <si>
    <t>[Wan, Mingli; Luo, Mao; Wang, Jun] Chinese Acad Sci, Ctr Excellence Life &amp; Palaeoenvironm, Nanjing Inst Geol &amp; Palaeontol, State Key Lab Palaeobiol &amp; Stratig, Nanjing 210008, Peoples R China; [Shi, G. R.; Lee, Sangmin] Univ Wollongong, Sch Earth Atmospher &amp; Life Sci, Northfields Ave, Wollongong, NSW 2522, Australia; [Wan, Mingli; Luo, Mao; Wang, Jun] Univ Chinese Acad Sci, Beijing 100049, Peoples R China</t>
  </si>
  <si>
    <t>Chinese Academy of Sciences; University of Wollongong; Chinese Academy of Sciences; University of Chinese Academy of Sciences, CAS</t>
  </si>
  <si>
    <t>Shi, GR (corresponding author), Univ Wollongong, Sch Earth Atmospher &amp; Life Sci, Northfields Ave, Wollongong, NSW 2522, Australia.</t>
  </si>
  <si>
    <t>guang@uow.edu.au</t>
  </si>
  <si>
    <t>Shi, Guang R/N-5459-2019; Wan, Mingli/I-2311-2016; LUO, MAO/L-5590-2016</t>
  </si>
  <si>
    <t>Shi, Guang/0000-0002-5126-4036; LUO, MAO/0000-0002-6340-7786; Lee, Sangmin/0000-0001-6984-0575</t>
  </si>
  <si>
    <t>Australian Research Council [ARC DP150100690]; National Natural Science Foundation of China [41872013, 41530101]; Strategic Priority Research Program (B) of the Chinese Academy of Sciences [XDB26000000, XDB18000000]; CAS Pioneer Hundred Talents Program [2018-039]; Youth Innovation Promotion Association CAS</t>
  </si>
  <si>
    <t>Australian Research Council(Australian Research Council); National Natural Science Foundation of China(National Natural Science Foundation of China (NSFC)); Strategic Priority Research Program (B) of the Chinese Academy of Sciences(Chinese Academy of Sciences); CAS Pioneer Hundred Talents Program; Youth Innovation Promotion Association CAS</t>
  </si>
  <si>
    <t>We are grateful to A. Nutman for providing us the two radiometric ages quoted in this paper ahead of his publication. We also wish to thank Bo Yang, Shuzhong Shen and Hua Zhang for field assistance; Y. Chen, Y. Gao and X.T. Cheng for preparation of thin sections; J. Feng and J. Tang for helping with photographic imaging and figures. We gratefully acknowledge Prof. and Dr. Maria Gandolfo, Dr. Dieter Uhl and Dr. Alexandra Crisafulli for theirmost helpful reviews of themanuscript. This research was supported by the Australian Research Council (ARC DP150100690 to G.R. Shi), National Natural Science Foundation of China (41872013, 41530101), Strategic Priority Research Program (B) of the Chinese Academy of Sciences (XDB26000000, XDB18000000), CAS Pioneer Hundred Talents Program (2018-039), and Youth Innovation Promotion Association CAS.</t>
  </si>
  <si>
    <t>10.1016/j.revpalbo.2020.104202</t>
  </si>
  <si>
    <t>LF0FS</t>
  </si>
  <si>
    <t>WOS:000527103200004</t>
  </si>
  <si>
    <t>Barnes, DKA; Sands, CJ; Cook, A; Howard, F; Gonzalez, AR; Munoz-Ramirez, C; Retallick, K; Scourse, J; Van Landeghem, K; Zwerschke, N</t>
  </si>
  <si>
    <t>Barnes, David K. A.; Sands, Chester J.; Cook, Alison; Howard, Floyd; Roman Gonzalez, Alejandro; Munoz-Ramirez, Carlos; Retallick, Kate; Scourse, James; Van Landeghem, Katrien; Zwerschke, Nadescha</t>
  </si>
  <si>
    <t>Blue carbon gains from glacial retreat along Antarctic fjords: What should we expect?</t>
  </si>
  <si>
    <t>Blue carbon; climate change; fjord; glacier retreat; sequestration; Southern Ocean</t>
  </si>
  <si>
    <t>MARINE; PRODUCTIVITY; GREENLAND</t>
  </si>
  <si>
    <t>Rising atmospheric CO2 is intensifying climate change but it is also driving global and particularly polar greening. However, most blue carbon sinks (that held by marine organisms) are shrinking, which is important as these are hotspots of genuine carbon sequestration. Polar blue carbon increases with losses of marine ice over high latitude continental shelf areas. Marine ice (sea ice, ice shelf and glacier retreat) losses generate a valuable negative feedback on climate change. Blue carbon change with sea ice and ice shelf losses has been estimated, but not how blue carbon responds to glacier retreat along fjords. We derive a testable estimate of glacier retreat driven blue carbon gains by investigating three fjords in the West Antarctic Peninsula (WAP). We started by multiplying ~40 year mean glacier retreat rates by the number of retreating WAP fjords and their time of exposure. We multiplied this area by regional zoobenthic carbon means from existing datasets to suggest that WAP fjords generate 3,130 tonnes of new zoobenthic carbon per year (t zC/year) and sequester &gt;780 t zC/year. We tested this by capture and analysis of 204 high resolution seabed images along emerging WAP fjords. Biota within these images were identified to density per 13 functional groups. Mean stored carbon per individual was assigned from literature values to give a stored zoobenthic Carbon per area, which was multiplied up by area of fjord exposed over time, which increased the estimate to 4,536 t zC/year. The purpose of this study was to establish a testable estimate of blue carbon change caused by glacier retreat along Antarctic fjords and thus to establish its relative importance compared to polar and other carbon sinks.</t>
  </si>
  <si>
    <t>[Barnes, David K. A.; Sands, Chester J.; Howard, Floyd; Zwerschke, Nadescha] British Antarctic Survey, NERC, Cambridge, England; [Cook, Alison] Univ Ottawa, Ottawa, ON, Canada; [Roman Gonzalez, Alejandro; Scourse, James] Univ Exeter, Falmouth Campus, Penryn, England; [Munoz-Ramirez, Carlos] Univ Catolica Santisima Concepcion, CIBAS, Fac Ciencias, Concepcion, Chile; [Munoz-Ramirez, Carlos] Univ Metropolitana Ciencias Educ, Inst Entomol, Santiago, Chile; [Retallick, Kate; Van Landeghem, Katrien] Bangor Univ, Ocean Sci, Bangor, Gwynedd, Wales</t>
  </si>
  <si>
    <t>UK Research &amp; Innovation (UKRI); Natural Environment Research Council (NERC); NERC British Antarctic Survey; University of Ottawa; University of Exeter; Universidad Catolica de la Santisima Concepcion; Universidad Metropolitana de Ciencias de la Educacion (UMCE); Bangor University</t>
  </si>
  <si>
    <t>Barnes, DKA (corresponding author), British Antarctic Survey, NERC, Cambridge, England.</t>
  </si>
  <si>
    <t>dkab@bas.ac.uk</t>
  </si>
  <si>
    <t>Muñoz-Ramirez, Carlos/F-8969-2012; Van Landeghem, Katrien J.J./AAK-2246-2020; Zwerschke, Nadescha/AAK-8685-2021</t>
  </si>
  <si>
    <t>Muñoz-Ramirez, Carlos/0000-0003-1348-5476; Van Landeghem, Katrien J.J./0000-0002-1040-9956; Zwerschke, Nadescha/0000-0003-4099-8269; Barnes, David/0000-0002-9076-7867; Roman Gonzalez, Alejandro/0000-0002-0801-3768; Retallick, Kate/0000-0003-4687-3950; Sands, Chester/0000-0003-1028-0328</t>
  </si>
  <si>
    <t>NERC [NE/P003087/1, NE/P003060/1, bas0100036] Funding Source: UKRI; FONDECYT [3180331] Funding Source: Medline; Natural Environment Research Council [PII20150078] Funding Source: Medline</t>
  </si>
  <si>
    <t>NERC(UK Research &amp; Innovation (UKRI)Natural Environment Research Council (NERC)); FONDECYT(Comision Nacional de Investigacion Cientifica y Tecnologica (CONICYT)CONICYT FONDECYT); Natural Environment Research Council(UK Research &amp; Innovation (UKRI)Natural Environment Research Council (NERC))</t>
  </si>
  <si>
    <t>10.1111/gcb.15055</t>
  </si>
  <si>
    <t>LD5WZ</t>
  </si>
  <si>
    <t>WOS:000526102300005</t>
  </si>
  <si>
    <t>Koloskov, AV; Nickolaenko, AP; Yampolsky, YM; Hall, C; Budanov, OV</t>
  </si>
  <si>
    <t>Koloskov, A., V; Nickolaenko, A. P.; Yampolsky, Yu M.; Hall, Chris; Budanov, O., V</t>
  </si>
  <si>
    <t>Variations of global thunderstorm activity derived from the long-term Schumann resonance monitoring in the Antarctic and in the Arctic</t>
  </si>
  <si>
    <t>JOURNAL OF ATMOSPHERIC AND SOLAR-TERRESTRIAL PHYSICS</t>
  </si>
  <si>
    <t>Schumann resonance; Long-term monitoring; Sub-polar observations; Inverse problem</t>
  </si>
  <si>
    <t>EARTH-IONOSPHERE CAVITY; SOLAR-CYCLE; FREQUENCY</t>
  </si>
  <si>
    <t>The paper analyzes the records of the magnetic components of the Schumann resonance signals obtained at the Ukrainian Antarctic station Akademik Vernadsky (coordinates: 65.25 degrees S, 64.25 degrees W) from March 2002 to March 2019 and at Svalbard in the Arctic (coordinates: 78.15 degrees N and 16.05 degrees E) from October 2013 to June 2019. The time-course is studied of the monthly average intensities and peak frequencies of the first Schumann resonance maximum, as well as the background noise intensity at the first minimum. Both observed parameters demonstrate periodic seasonal variations. The intensities are in-phase in different hemispheres while the peak frequencies are in anti-phase. Another feature of the resonance signals is interannual trend of the resonance intensity and peak frequency observed in both hemispheres being synchronous with 11-year solar cycle. The background noise intensities demonstrate the absence of appreciable interannual variations. We propose the following interpretation of these results. Seasonal changes in peak frequencies are determined by the regular meridian drift of the world thunderstorm centers up to +/-(18 degrees-26 degrees) in latitude from the equator. Seasonal variations of the intensity are controlled by changes of thunderstorm activity that increase of about 1.5 times during the boreal summer compared with the winter. World thunderstorm activity is practically independent on the phase of the solar cycle. The observed interannual trends in the parameters of the first Schumann mode are determined by the global changes in the lower ionosphere. They can be explained by increasing of the upper (magnetic) characteristic height by 2-3 km due to additional ionization during the years of maximum solar activity. Another explanation might be an increase of the lower (electric) characteristic height by 1-1.5 km during the years of the quiet Sun due to variation of the flux of galactic cosmic rays. Moreover, we showed that involvement of ionosphere conductivity profiles in the point source model accounting their seasonal drift provides reliable estimating the global thunderstorms' centers activities. To explain a behavior of the intensity changes recorded in the Antarctic observatory a mechanism of additional modulation of the local resonant cavity parameters within the solar cycle is required.</t>
  </si>
  <si>
    <t>[Koloskov, A., V; Yampolsky, Yu M.; Budanov, O., V] Natl Acad Sci Ukraine, Inst Radio Astron, UA-61002 Kharkiv, Ukraine; [Koloskov, A., V] MES Ukraine, Natl Antarctic Sci Ctr Ukraine, UA-01601 Kiev, Ukraine; [Nickolaenko, A. P.] Natl Acad Sci Ukraine, AYa Usikov Inst Radiophys &amp; Elect, UA-61085 Kharkiv, Ukraine; [Hall, Chris] UiT Arctic Univ Norway, Troms Geophys Observ, N-9037 Tromso, Norway</t>
  </si>
  <si>
    <t>National Academy of Sciences Ukraine; Institute of Radio Astronomy of the National Academy of Sciences of Ukraine; Ministry of Education &amp; Science of Ukraine; State Institution National Antarctic Scientific Center; National Academy of Sciences Ukraine; O. Ya. Usikov Institute for Radio Physics &amp; Electronics, National Academy of Sciences of Ukraine; UiT The Arctic University of Tromso</t>
  </si>
  <si>
    <t>Koloskov, AV (corresponding author), Natl Acad Sci Ukraine, Inst Radio Astron, UA-61002 Kharkiv, Ukraine.</t>
  </si>
  <si>
    <t>koloskov@rian.kharkov.ua; sasha@ire.kharkov.ua; yampol@rian.kharkov.ua; chris.hall@uit.no; budanov@rian.kharkov.ua</t>
  </si>
  <si>
    <t>Koloskov, Oleksandr/ABB-4631-2020; Yampolski, Yuri/AAU-3037-2021</t>
  </si>
  <si>
    <t>Koloskov, Oleksandr/0000-0001-8921-3851; Yampolski, Yuri/0000-0002-6142-5753; Budanov, Oleg/0000-0002-1105-4245</t>
  </si>
  <si>
    <t>State Institution National Antarctic Scientific Center of Ukraine; Ministry of Education and Science of Ukraine [0118U100280, 0119U103575]; National Academy of Sciences of Ukraine [0116U000035, 0119U101802, 0117U004040]</t>
  </si>
  <si>
    <t>State Institution National Antarctic Scientific Center of Ukraine; Ministry of Education and Science of Ukraine; National Academy of Sciences of Ukraine</t>
  </si>
  <si>
    <t>Authors are grateful to the State Institution National Antarctic Scientific Center of Ukraine for supporting long-term observations of ELF signals at the Ukrainian Antarctic Station Akademik Vernadsky. Authors are thankful to the reviewers for their appropriate and constructive suggestions that significantly improved the quality of the paper.; This work was partially supported by Ministry of Education and Science of Ukraine projects 0118U100280, 0119U103575 and National Academy of Sciences of Ukraine projects 0116U000035, 0119U101802, and 0117U004040.</t>
  </si>
  <si>
    <t>1364-6826</t>
  </si>
  <si>
    <t>1879-1824</t>
  </si>
  <si>
    <t>J ATMOS SOL-TERR PHY</t>
  </si>
  <si>
    <t>J. Atmos. Sol.-Terr. Phys.</t>
  </si>
  <si>
    <t>10.1016/j.jastp.2020.105231</t>
  </si>
  <si>
    <t>LD2JU</t>
  </si>
  <si>
    <t>WOS:000525858900007</t>
  </si>
  <si>
    <t>Di Natale, G; Palchetti, L; Bianchini, G; Ridolfi, M</t>
  </si>
  <si>
    <t>Di Natale, Gianluca; Palchetti, Luca; Bianchini, Giovanni; Ridolfi, Marco</t>
  </si>
  <si>
    <t>The two-stream δ-Eddington approximation to simulate the far infrared Earth spectrum for the simultaneous atmospheric and cloud retrieval</t>
  </si>
  <si>
    <t>JOURNAL OF QUANTITATIVE SPECTROSCOPY &amp; RADIATIVE TRANSFER</t>
  </si>
  <si>
    <t>Two-streams delta-Eddington approximation; Cloud retrieval; Cirrus clouds; Far-infrared spectral radiance</t>
  </si>
  <si>
    <t>RADIATIVE PROPERTIES; MULTIPLE-SCATTERING; CIRRUS CLOUDS; WATER-VAPOR; ALGORITHM; SIGNATURES; IMPACT; MODEL</t>
  </si>
  <si>
    <t>Far- to mid- infrared spectral radiances measured either from high altitude platforms or from ground can be processed to retrieve atmospheric vertical profiles and cloud parameters, variables particularly relevant in climate change studies. The retrieval requires a forward model with the capability of simulating the multiple scattering from cloud particles. The Discrete Ordinate Radiative Transfer (DISORT) offers this possibility, however, accurate simulations can be obtained only with a huge computational load. We developed a forward / retrieval model based on the two-streams delta-Eddington approximation, allowing much faster computations, while retaining good accuracy. The code, named SACR (Simultaneous Atmospheric and Clouds Retrieval), allows to retrieve simultaneously temperature and gas profiles, cloud micro-physical and geometrical parameters and surface temperature from vertical sounding observations. We illustrate the equations implemented in the SACR code, prove the self-consistency of the inversion and assess its forward model accuracy with a focus on the range from 200 to 1000 cm(-1). The assessment is made by comparing the simulated spectral radiances to those computed by LBLDIS, a very accurate model integrating LBLRTM (Line By Line Radiative Transfer Model) and DISORT. For cloud particle sizes between 20 and 100 pm and optical depths between 0.1 and 10, our model shows biases smaller than 0.4 mW/(m(2) sr cm(-1)) in upwelling radiance simulations, and biases smaller than 0.3 mW/(m(2) sr cm(-1)) in downwelling radiance simulations. Depending on the spectral grid and on the number of atmospheric layers used, the SACR code is from 5 to 8 times faster than LBLDIS. (C) 2020 Elsevier Ltd. All rights reserved.</t>
  </si>
  <si>
    <t>[Di Natale, Gianluca; Palchetti, Luca; Bianchini, Giovanni; Ridolfi, Marco] INO CNR, Via Madonna Piano 10, Florence, Italy; [Ridolfi, Marco] Univ Bologna, Dipartimento Fis &amp; Astron, Via Irnerio 46, Bologna, Italy</t>
  </si>
  <si>
    <t>Consiglio Nazionale delle Ricerche (CNR); Istituto Nazionale di Ottica (INO-CNR); University of Bologna</t>
  </si>
  <si>
    <t>Di Natale, G (corresponding author), INO CNR, Via Madonna Piano 10, Florence, Italy.</t>
  </si>
  <si>
    <t>gianluca.dinatale@ino.cnr.it</t>
  </si>
  <si>
    <t>Bianchini, Giovanni/ABD-3585-2020; Di Natale, Gianluca/AAL-4498-2021; PALCHETTI, LUCA/O-1270-2015</t>
  </si>
  <si>
    <t>Bianchini, Giovanni/0000-0002-5400-7721; Di Natale, Gianluca/0000-0002-9149-7926; RIDOLFI, MARCO/0000-0002-3492-6472; PALCHETTI, LUCA/0000-0003-4022-8125</t>
  </si>
  <si>
    <t>Italian PNRA (Programma Nazionale di Ricerche in Antartide); Institut polaire francais Paul Emile Victor (IPEV) [DOme C Tropospheric ObserveR]</t>
  </si>
  <si>
    <t>Italian PNRA (Programma Nazionale di Ricerche in Antartide)(Ministry of Education, Universities and Research (MIUR)); Institut polaire francais Paul Emile Victor (IPEV)</t>
  </si>
  <si>
    <t>This research was supported by the Italian PNRA (Programma Nazionale di Ricerche in Antartide) and the Institut polaire francais Paul Emile Victor (IPEV). More specifically the research was conducted as a part of the sub-project FIRCLOUDS (Far Infrared Radiative Closure Experiment For Antarctic Clouds) and DoCTOR (DOme C Tropospheric ObserveR). Data and information on radio sounding measurements were obtained from the IPEV/PNRA Project Routine Meteorological Observation at Station Concordia. We thank the mentioned institutions for supplying information about other measurements available at Concordia station. We also thank Dr. Massimo Del Guasta for providing the cloud lidar profile at DomeC and two anonymous reviewers for improving our work.</t>
  </si>
  <si>
    <t>0022-4073</t>
  </si>
  <si>
    <t>1879-1352</t>
  </si>
  <si>
    <t>J QUANT SPECTROSC RA</t>
  </si>
  <si>
    <t>J. Quant. Spectrosc. Radiat. Transf.</t>
  </si>
  <si>
    <t>10.1016/j.jqsrt.2020.106927</t>
  </si>
  <si>
    <t>Optics; Spectroscopy</t>
  </si>
  <si>
    <t>LC6DK</t>
  </si>
  <si>
    <t>WOS:000525420800021</t>
  </si>
  <si>
    <t>Liang, ES; Zhang, H; Yu, ZY; Yang, M; Zhou, JL; Ashley, MCB; Cui, XQ; Du, FJ; Fu, JN; Gong, XF; Gu, BZ; Hu, L; Hu, Y; Jiang, P; Liu, HG; Lawrence, J; Liu, Q; Li, XY; Li, ZY; Ma, B; Mould, J; Shang, ZH; Sun, TR; Suntzeff, NB; Tao, CL; Tian, QG; Tinney, CG; Uddin, SA; Wang, LF; Wang, SH; Wang, XF; Wei, P; Wright, DC; Wu, XF; Wittenmyer, RA; Xu, LZ; Yang, SH; Yu, C; Yuan, XY; Zheng, J; Zhou, HY; Zhu, ZX</t>
  </si>
  <si>
    <t>Liang, En-Si; Zhang, Hui; Yu, Zhouyi; Yang, Ming; Zhou, Ji-lin; Ashley, Michael C. B.; Cui, Xiangqun; Du, Fujia; Fu, Jianning; Gong, Xuefei; Gu, Bozhong; Hu, Lei; Hu, Yi; Jiang, Peng; Liu, Huigen; Lawrence, Jon; Liu, Qiang; Li, Xiaoyan; Li, Zhengyang; Ma, Bin; Mould, Jeremy; Shang, Zhaohui; Sun, Tianrui; Suntzeff, Nicholas B.; Tao, Charling; Tian, Qiguo; Tinney, C. G.; Uddin, Syed A.; Wang, Lifan; Wang, Songhu; Wang, Xiaofeng; Wei, Peng; Wright, Duncan; Wu, Xuefeng; Wittenmyer, Robert A.; Xu, Lingzhe; Yang, Shihai; Yu, Ce; Yuan, Xiangyan; Zheng, Jessica; Zhou, Hongyan; Zhu, Zhenxi</t>
  </si>
  <si>
    <t>Exoplanets in the Antarctic Sky. III. Stellar Flares Found by AST3-II (CHESPA) within the Southern CVZ of TESS</t>
  </si>
  <si>
    <t>ASTRONOMICAL JOURNAL</t>
  </si>
  <si>
    <t>Stellar flares; Photometry; Astrostatistics; Stellar activity; Astronomy data analysis; Surveys</t>
  </si>
  <si>
    <t>DOME-C; SUPERFLARES; SITE; BRIGHTNESS; PHOTOMETRY; LAYER</t>
  </si>
  <si>
    <t>The CHinense Exoplanet Searching Program from Antarctica is a ground-based wide-field photometric survey using the AST3 and CSTAR telescopes located at Dome A, Antarctica. Blessed with the unparalleled observing conditions on the highest point of the Antarctic plateau, three remotely controlled, fully automatic telescopes (AST3-I, AST3-II, and CSTAR-II) carried out continuous high-precision photometric surveys through the polar nights of 2016 and 2017. During the observing seasons of 2016, a total of 26,578 light curves were obtained for stars within the area of the southern continuous viewing zone of TESS, covering an i-band magnitude range from 7.5 to 15. At m(i) = 10, photometric precision reaches similar to 2 mmag, allowing possible discoveries of sub-Jupiter-size exoplanets. Here we report 20 stellar flares with i-band energies larger than 10(34) erg detected in the 2016 data set of AST3-II, all from different sources. We model the stellar flares and calculate the durations, amplitudes, energies, and skewnesses. The flare properties and the stellar properties of their sources are presented in this work.</t>
  </si>
  <si>
    <t>[Liang, En-Si; Zhang, Hui; Yu, Zhouyi; Yang, Ming; Zhou, Ji-lin; Liu, Huigen; Wei, Peng] Nanjing Univ, Sch Astron &amp; Space Sci, Key Lab Modern Astron &amp; Astrophys, Minist Educ, Nanjing 210023, Jiangsu, Peoples R China; [Ashley, Michael C. B.] Univ New South Wales, Sch Phys, Sydney, NSW 2052, Australia; [Cui, Xiangqun; Du, Fujia; Gong, Xuefei; Gu, Bozhong; Li, Xiaoyan; Li, Zhengyang; Xu, Lingzhe; Yang, Shihai; Yuan, Xiangyan] Nanjing Inst Astron Opt &amp; Technol, Nanjing 210042, Peoples R China; [Cui, Xiangqun; Du, Fujia; Gong, Xuefei; Gu, Bozhong; Hu, Yi; Li, Xiaoyan; Li, Zhengyang; Ma, Bin; Shang, Zhaohui; Wang, Lifan; Wu, Xuefeng; Yang, Shihai; Yuan, Xiangyan; Zhu, Zhenxi] Chinese Ctr Antarctic Astron, Nanjing 210008, Peoples R China; [Fu, Jianning] Beijing Normal Univ, Dept Astron, Beijing 100875, Peoples R China; [Hu, Lei; Sun, Tianrui; Wang, Lifan; Wu, Xuefeng; Zhu, Zhenxi] Purple Mt Observ, Nanjing 210008, Peoples R China; [Hu, Yi; Liu, Qiang; Ma, Bin; Shang, Zhaohui] Chinese Acad Sci, Natl Astron Observ, Beijing 100012, Peoples R China; [Jiang, Peng; Tian, Qiguo; Zhou, Hongyan] Polar Res Inst China, Shanghai 200136, Peoples R China; [Lawrence, Jon] Macquarie Univ, Australian Astron Opt, Sydney, NSW 2109, Australia; [Ma, Bin] Univ Chinese Acad Sci, Beijing 100049, Peoples R China; [Mould, Jeremy] Swinburne Univ Technol, Ctr Astrophys &amp; Supercomp, POB 218,Mail H29, Hawthorn, Vic 3122, Australia; [Mould, Jeremy] ARC Ctr Excellence All Sky Astrophys CAASTRO, Hawthorn, Vic, Australia; [Shang, Zhaohui] Tianjin Normal Univ, Tianjin Astrophys Ctr, Tianjin 300387, Peoples R China; [Suntzeff, Nicholas B.; Wang, Lifan] Texas A&amp;M Univ, George P &amp; Cynthia Woods Mitchell Inst Fundamenta, Dept Phys &amp; Astron, 4242 TAMU, College Stn, TX 77843 USA; [Tao, Charling] Aix Marseille Univ, CNRS, IN2P3, CPPM, Marseille, France; [Tao, Charling; Wang, Xiaofeng] Tsinghua Univ, Phys Dept, Beijing 100084, Peoples R China; [Tao, Charling; Wang, Xiaofeng] Tsinghua Univ, Tsinghua Ctr Astrophys THCA, Beijing 100084, Peoples R China; [Tinney, C. G.] UNSW Sydney, Sch Phys, Exoplanetary Sci UNSW, Sydney, NSW 2052, Australia; [Uddin, Syed A.] Observ Carnegie Inst Sci, 813 Santa Barbara St, Pasadena, CA 91101 USA; [Wang, Songhu] Yale Univ, Dept Astron, New Haven, CT 06511 USA; [Wright, Duncan; Wittenmyer, Robert A.] Univ Southern Queensland, Computat Engn &amp; Sci Res Ctr, Toowoomba, Qld 4350, Australia; [Yu, Ce] Tianjin Univ, Coll Intelligence &amp; Comp, Tianjin 300072, Peoples R China; [Zheng, Jessica] Australian Astron Observ, 105 Delhi Rd, N Ryde, NSW 2113, Australia</t>
  </si>
  <si>
    <t>Nanjing University; University of New South Wales Sydney; Chinese Academy of Sciences; Nanjing Institute of Astronomical Optics &amp; Technology, NAOC, CAS; Beijing Normal University; Purple Mountain Observatory, CAS; Chinese Academy of Sciences; Nanjing Institute of Astronomical Optics &amp; Technology, NAOC, CAS; Chinese Academy of Sciences; National Astronomical Observatory, CAS; Polar Research Institute of China; Macquarie University; Chinese Academy of Sciences; University of Chinese Academy of Sciences, CAS; Swinburne University of Technology; Tianjin Normal University; Texas A&amp;M University System; Texas A&amp;M University College Station; Aix-Marseille Universite; Centre National de la Recherche Scientifique (CNRS); CNRS - National Institute of Nuclear and Particle Physics (IN2P3); Tsinghua University; Tsinghua University; University of New South Wales Sydney; Carnegie Institution for Science; Yale University; University of Southern Queensland; Tianjin University</t>
  </si>
  <si>
    <t>Zhang, H (corresponding author), Nanjing Univ, Sch Astron &amp; Space Sci, Key Lab Modern Astron &amp; Astrophys, Minist Educ, Nanjing 210023, Jiangsu, Peoples R China.</t>
  </si>
  <si>
    <t>huizhang@nju.edu.cn; zhouyi.yu1991@hotmail.com; zhoujl@nju.edu.cn</t>
  </si>
  <si>
    <t>Wright, Duncan J/D-4029-2011; Yang, Shihai/J-1593-2012; Yang, Ming/GWV-1365-2022; Liu, Hui-Gen/HLQ-5128-2023; wei, peng/IVH-1711-2023; Uddin, Syed A/C-1539-2018</t>
  </si>
  <si>
    <t>Yang, Ming/0000-0002-6926-2872; Wright, Duncan/0000-0001-7294-5386; Wang, Songhu/0000-0002-7846-6981; Tinney, C.G./0000-0002-7595-0970; Mould, Jeremy/0000-0003-3820-1740; zhang, hui/0000-0003-3491-6394; hu, yi/0000-0003-3317-4771; Lawrence, Jon/0000-0002-6998-6993; Suntzeff, Nicholas/0000-0002-8102-181X</t>
  </si>
  <si>
    <t>Nanjing University; National Basic Research Program (973 Program) of China [2013CB834900, 2013CB834904]; National Natural Science Foundation of China [11933001, 11673011, 11661161014, 11333002, 11273019]; Chinese Polar Environment Comprehensive Investigation &amp; Assessment Program [CHINARE2016-02-03]; Australian Antarctic Division; Australian National Collaborative Research Infrastructure Strategy; National Natural Science Foundation of China (NSFC) [11325313, 11633002, 11761141001]; National Program on Key Research and Development Project [2016YFA0400803]</t>
  </si>
  <si>
    <t>Nanjing University(Nanjing University); National Basic Research Program (973 Program) of China(National Basic Research Program of China); National Natural Science Foundation of China(National Natural Science Foundation of China (NSFC)); Chinese Polar Environment Comprehensive Investigation &amp; Assessment Program; Australian Antarctic Division; Australian National Collaborative Research Infrastructure Strategy(Australian GovernmentDepartment of Industry, Innovation and Science); National Natural Science Foundation of China (NSFC)(National Natural Science Foundation of China (NSFC)); National Program on Key Research and Development Project</t>
  </si>
  <si>
    <t>We would like to thank the anonymous referee for the very constructive and insightful comments on our original paper. We would like to express our gratitude to all the CHInese National Antarctic Research Expeditions (CHINARE) staff for installing and maintaining CSTAR, CSTAR-II, AST3-I, AST3-II, and the PLATO-A platform. We thank Nanami August for his advice on stellar flares. H.Z. is grateful to the High Performance Computing Center (HPCC) of Nanjing University for reducing the data used in this paper. E.L. is grateful for the support of Program A for Outstanding PhD candidates of Nanjing University. This research is supported by the National Basic Research Program (973 Program) of China (Nos. 2013CB834900 and 2013CB834904), the National Natural Science Foundation of China (Nos. 11933001, 11673011, 11661161014, 11333002, and 11273019), the Chinese Polar Environment Comprehensive Investigation &amp; Assessment Program (grant No. CHINARE2016-02-03), the Australian Antarctic Division, and the Australian National Collaborative Research Infrastructure Strategy administered by Astronomy Australia Limited. X.W. is supported by the National Natural Science Foundation of China (NSFC grants 11325313, 11633002, and 11761141001), and the National Program on Key Research and Development Project (grant No. 2016YFA0400803).</t>
  </si>
  <si>
    <t>IOP Publishing Ltd</t>
  </si>
  <si>
    <t>0004-6256</t>
  </si>
  <si>
    <t>1538-3881</t>
  </si>
  <si>
    <t>ASTRON J</t>
  </si>
  <si>
    <t>Astron. J.</t>
  </si>
  <si>
    <t>10.3847/1538-3881/ab7ea8</t>
  </si>
  <si>
    <t>LC9TY</t>
  </si>
  <si>
    <t>WOS:000525678000001</t>
  </si>
  <si>
    <t>Bonal, L; Gattacceca, J; Garenne, A; Eschrig, J; Rochette, P; Ruggiu, LK</t>
  </si>
  <si>
    <t>Bonal, Lydie; Gattacceca, Jerome; Garenne, Alexandre; Eschrig, Jolantha; Rochette, Pierre; Ruggiu, Lisa Kramer</t>
  </si>
  <si>
    <t>Water and heat: New constraints on the evolution of the CV chondrite parent body</t>
  </si>
  <si>
    <t>CV chondrites; Classification; Secondary processes; Hydro-thermalism</t>
  </si>
  <si>
    <t>INSOLUBLE ORGANIC-MATTER; AQUEOUS ALTERATION; CARBONACEOUS CHONDRITES; MAGNETIC CLASSIFICATION; RAMAN-SPECTROSCOPY; TYPE-3 CHONDRITES; ALLENDE METEORITE; STONY METEORITES; ATACAMA DESERT; BALI-LIKE</t>
  </si>
  <si>
    <t>This paper focuses on the post-accretion history of CV3 chondrites, through a combination of petrographic and mineralogical characterization, magnetic measurements, spectral (Raman and Infrared) and thermo-gravimetric analysis of 31 meteorites (including 7 falls, 21 Antarctic and 3 non-Antarctic finds) spanning a wide metamorphic range. We classify the 21 Antarctic chondrites and the Bukhara fall into the CVRed, CVOxA, and CVOxB subgroups. We establish quantitative parameters relevant for this sub-classification. In comparison to CVOx, CVRed chondrites are characterized by (i) a lower abundance of matrix, (ii) a higher abundance of metal, (iii) the presence of Ni-poor sulfides. In comparison to CVOxB, CVOxA are characterized by (i) similar matrix abundance, (ii) a higher abundance of metal, (iii) the presence of metal almost exclusively under the form of awaruite, (iv) lower Ni content of sulfides, (v) lower magnetic susceptibility and saturation remanence. Both CVOx (CVOxA and CVOxB) and CVRed experienced aqueous alteration, and contain oxyhydroxides and phyllosilicates. We show that the abundance of these hydrated secondary minerals observed today in individual CV chondrites decreases with their peak metamorphic temperature. This is interpreted either as partial dehydration of these secondary minerals or limited hydration due to the rapid exhaustion of the water reservoir during parent body thermal metamorphism. Moreover, the lower abundance of oxyhydroxides (that have a lower thermal stability than phyllosilicates and may in large part postdate the peak of thermal metamorphism) in more metamorphosed CV chondrites is interpreted as lower availability of aqueous fluids during retrograde metamorphism in these meteorites. Lastly, we show that in comparison to CVOxB, CVOxA are systematically (i) more metamorphosed, (ii) less hydrated, (iii) depleted in ferromagnetic minerals, (iv) but enriched in metal in the form of secondary awaruite. CVOxA may be thermally metamorphosed CVOxB. CVRed are significantly different from CVOx (matrix abundances, alteration products, opaque minerals), but span the same wide metamorphic range. This could be indicative of a laterally heterogeneous CV parent body, or suggest the existence of distinct parent bodies for CVOx and CVRed chondrites. (C) 2020 Elsevier Ltd. All rights reserved.</t>
  </si>
  <si>
    <t>[Bonal, Lydie; Garenne, Alexandre; Eschrig, Jolantha] Univ Grenoble Alpes, Inst Planetol &amp; Astrophys Grenoble, CNRS CNES, F-38000 Grenoble, France; [Gattacceca, Jerome; Rochette, Pierre; Ruggiu, Lisa Kramer] Aix Marseille Univ, Coll France, CEREGE, INRAE,IRD,CNRS, Aix En Provence, France; [Garenne, Alexandre] Lawrence Livermore Natl Lab, Nucl &amp; Chem Sci Div, Livermore, CA 94550 USA</t>
  </si>
  <si>
    <t>Institut de Planetologie et d'Astrophysique de Grenoble (IPAG); Communaute Universite Grenoble Alpes; Universite Grenoble Alpes (UGA); Aix-Marseille Universite; Centre National de la Recherche Scientifique (CNRS); INRAE; Universite PSL; College de France; Institut de Recherche pour le Developpement (IRD); United States Department of Energy (DOE); Lawrence Livermore National Laboratory</t>
  </si>
  <si>
    <t>Bonal, L (corresponding author), Univ Grenoble Alpes, Inst Planetol &amp; Astrophys Grenoble, CNRS CNES, F-38000 Grenoble, France.</t>
  </si>
  <si>
    <t>lydie.bonal@univ-grenoble-alpes.fr</t>
  </si>
  <si>
    <t>Gattacceca, Jerome/AAG-5651-2019; Rochette, Pierre/O-4612-2019</t>
  </si>
  <si>
    <t>Gattacceca, Jerome/0000-0002-1639-7140; Rochette, Pierre/0000-0002-7362-0660; BONAL, Lydie/0000-0002-0655-4034; Kramer Ruggiu, Lisa/0000-0001-8097-4072</t>
  </si>
  <si>
    <t>NSF; NASA; Centre National d'Etudes Spatiales (CNES-France); Institut National des Sciences de l'Univers (INSU-France)</t>
  </si>
  <si>
    <t>NSF(National Science Foundation (NSF)); NASA(National Aeronautics &amp; Space Administration (NASA)); Centre National d'Etudes Spatiales (CNES-France)(Centre National D'etudes Spatiales); Institut National des Sciences de l'Univers (INSU-France)</t>
  </si>
  <si>
    <t>US Antarctic meteorite samples are recovered by the Antarctic Search for Meteorites (ANSMET) program which has been funded by NSF and NASA, and characterized and curated by the Department of Mineral Sciences of the Smithsonian Institutions and Astromaterials Acquisition and Curation Office at NASA Johnson Space Center. We acknowledge sample loans from the Field Museum (Chicago, IL), the Natural History Museum (London), and the Museum d'Histoire Naturelle (Paris). We also thank Kevin Righter and John Schutt for answering our questions regarding pairing of Antarctic meteorites. This work has been funded by the Centre National d'Etudes Spatiales (CNES-France). The Raman facility in Lyon is supported by the Institut National des Sciences de l'Univers (INSU-France). We thank two anonymous reviewers, Dr. Adrian Brearley and Dr. Sasha Krot (Assistant Editor) for their careful reviews and relevant comments.</t>
  </si>
  <si>
    <t>10.1016/j.gca.2020.03.009</t>
  </si>
  <si>
    <t>LC6BP</t>
  </si>
  <si>
    <t>hybrid, Green Published, Green Submitted</t>
  </si>
  <si>
    <t>WOS:000525416100022</t>
  </si>
  <si>
    <t>Guilherme, JR; Pacheco, B; Soares, BM; de Pereira, CMP; Colepicolo, P; Dias, D</t>
  </si>
  <si>
    <t>Guilherme, Juliana Rocha; Pacheco, Bruna; Soares, Bruno Meira; Pereira de Pereira, Claudio Martin; Colepicolo, Pio; Dias, Daiane</t>
  </si>
  <si>
    <t>Phaeophyceae and rhodophyceae macroalgae from the Antarctic: A source of selenium</t>
  </si>
  <si>
    <t>JOURNAL OF FOOD COMPOSITION AND ANALYSIS</t>
  </si>
  <si>
    <t>Essential element; Nutrient composition; Antarctic algae characterization; Food analysis; Food composition; Voltammetry</t>
  </si>
  <si>
    <t>ATOMIC-ABSORPTION-SPECTROMETRY; VOLTAMMETRIC DETERMINATION; ANTIOXIDANT ACTIVITY; SEAWEEDS; SAMPLES; EXTRACTION; COAST; ENVIRONMENT; ORGANISMS; ALGAE</t>
  </si>
  <si>
    <t>This study reports the development of a voltammetric method applied for Se determination in Phaeophyceae (A. utricularis, C. jacquinotii, A. mirabilis, D. anceps, H. grandifolius) and Rhodophyceae (G. confluens, C. racovitzae, I. cordata) macroalgae from the Antarctic. Evaluation of the instrumental parameters showed the square wave cathodic stripping voltammetry provided greater sensitivity (deposition potential, -0.4 V; deposition time, 420 s; amplitude, 0.08 V; frequency, 60 Hz) than influence of differential pulse cathodic stripping voltammetry. The matrix effect and the influence of Cu concentration on the determinations were also assessed. After microwave-assisted digestion of the samples, the quantification limit was from 5.21 x 10(-3) (G.confluens) to 9.85 x 10(-3) mg kg(-1) (I. cordata). The quantification of Se was carried out over the concentration range from 0.23 (C. jacquinotii) to 1.22 mg kg(-1) (A. mirabilis). The method accuracy was by analysing the reference material of peach leaves (SRM 1547).</t>
  </si>
  <si>
    <t>[Guilherme, Juliana Rocha; Soares, Bruno Meira; Dias, Daiane] Univ Fed Rio Grande, Escola Quim &amp; Alimentos, Lab Eletroespectro Analit LEEA, Av Italia,Km 8, BR-96203900 Rio Grande, RS, Brazil; [Pacheco, Bruna; Pereira de Pereira, Claudio Martin] Univ Fed Pelotas, Ctr Ciencias Quim Farmaceut &amp; Alimentos, BR-96001970 Capao Do Leao, RS, Brazil; [Colepicolo, Pio] Univ Sao Paulo, Inst Quim, BR-05508900 Sao Paulo, SP, Brazil</t>
  </si>
  <si>
    <t>Universidade Federal do Rio Grande; Universidade Federal de Pelotas; Universidade de Sao Paulo</t>
  </si>
  <si>
    <t>Dias, D (corresponding author), Univ Fed Rio Grande, Escola Quim &amp; Alimentos, Lab Eletroespectro Analit LEEA, Av Italia,Km 8, BR-96203900 Rio Grande, RS, Brazil.</t>
  </si>
  <si>
    <t>daianedias@furg.br</t>
  </si>
  <si>
    <t>Soares, BRUNO Meira/E-9219-2015; Dias, Daiane/I-3065-2013; Fapesp, Biota/F-8655-2017</t>
  </si>
  <si>
    <t>Soares, BRUNO Meira/0000-0003-4476-8161; Dias, Daiane/0000-0002-4057-2471; Fapesp, Biota/0000-0002-9887-8449</t>
  </si>
  <si>
    <t>CAPES; FAPESP [2016/06931-4]; CNPq (ProAntar) [407588/2013-2]</t>
  </si>
  <si>
    <t>CAPES(Coordenacao de Aperfeicoamento de Pessoal de Nivel Superior (CAPES)); FAPESP(Fundacao de Amparo a Pesquisa do Estado de Sao Paulo (FAPESP)); CNPq (ProAntar)(Conselho Nacional de Desenvolvimento Cientifico e Tecnologico (CNPQ))</t>
  </si>
  <si>
    <t>The researchers gratefully acknowledge the financial support to the Brazilian Foundations CAPES, FAPESP (no 2016/06931-4) and CNPq (ProAntar no 407588/2013-2). We would like to thank CAB English Lessons for the English correction.</t>
  </si>
  <si>
    <t>0889-1575</t>
  </si>
  <si>
    <t>1096-0481</t>
  </si>
  <si>
    <t>J FOOD COMPOS ANAL</t>
  </si>
  <si>
    <t>J. Food Compos. Anal.</t>
  </si>
  <si>
    <t>10.1016/j.jfca.2020.103430</t>
  </si>
  <si>
    <t>LC5DU</t>
  </si>
  <si>
    <t>WOS:000525346100020</t>
  </si>
  <si>
    <t>Dang, M; Pittman, K; Sonne, C; Hansson, S; Bach, L; Sondergaard, J; Stride, M; Nowak, B</t>
  </si>
  <si>
    <t>Dang, Mai; Pittman, Karin; Sonne, Christian; Hansson, Sophia; Bach, Lis; Sondergaard, Jens; Stride, Megan; Nowak, Barbara</t>
  </si>
  <si>
    <t>Histological mucous cell quantification and mucosal mapping reveal different aspects of mucous cell responses in gills and skin of shorthorn sculpins (Myoxocephalus scorpius)</t>
  </si>
  <si>
    <t>FISH &amp; SHELLFISH IMMUNOLOGY</t>
  </si>
  <si>
    <t>Mucosal mapping; Histopathology; Gills; Skin; Mucous cells</t>
  </si>
  <si>
    <t>LEAD-ZINC MINE; ACID-BASE REGULATION; ATLANTIC SALMON; RAINBOW-TROUT; FISH GILL; QUANTITATIVE HISTOLOGY; EPIDERMAL MUCUS; SITE; HISTOPATHOLOGY; STEREOLOGY</t>
  </si>
  <si>
    <t>In teleosts, the mucosal epithelial barriers represent the first line of defence against environmental challenges such as pathogens and environmental contaminants. Mucous cells (MCs) are specialised cells providing this protection through mucus production. Therefore, a better understanding of various MC quantification methods is critical to interpret MC responses. Here, we compare histological (also called traditional) quantification of MCs with a novel mucosal mapping method to understand the differences between the two methods' assessment of MC responses to parasitic infections and pollution exposure in shorthorn sculpins (Myoxocephalus scorpius). Overall, both methods distinguished between the fish from stations with different levels of pollutants and detected the links between MC responses and parasitic infection. Traditional quantification showed relationship between MC size and body size of the fish whereas mucosal mapping detected a link between MC responses and Pb level in liver. While traditional method gave numerical density, mucosal mapping gave volumetric density of the mucous cells in the mucosa. Both methods differentiated MC population in skin from those in the gills, but only mucosal mapping pointed out the consistent differences between filament and lamellar MC populations within the gills. Given the importance of mucosal barriers in fish, a better understanding of various MC quantification methods and the linkages between MC responses, somatic health and environmental stressors is highly valuable.</t>
  </si>
  <si>
    <t>[Dang, Mai; Stride, Megan; Nowak, Barbara] Univ Tasmania, Inst Marine &amp; Antarctic Studies, Launceston, Tas 7250, Australia; [Dang, Mai] Inst Vet Res &amp; Dev Cent Vietnam, Dept Bacteriol, Km 4,2-4 St, Nha Trang 57000, Khanh Hoa, Vietnam; [Pittman, Karin] Univ Bergen, Dept Biol, Thormhlensgate 53, N-5006 Bergen, Norway; [Sonne, Christian; Hansson, Sophia; Bach, Lis; Sondergaard, Jens; Nowak, Barbara] Aarhus Univ, Fac Sci &amp; Technol, ARC, Dept Biosci, Frederiksborgvej 399,POB,358, DK-4000 Roskilde, Denmark; [Sonne, Christian] Henan Agr Univ, Henan Prov Engn Res Ctr Biomass Value Added Prod, Sch Forestry, Zhengzhou 450002, Peoples R China; [Hansson, Sophia] Univ Toulouse, Ecolab, CNRS, Ave Agrobipole, F-31326 Castanet Tolosan, France</t>
  </si>
  <si>
    <t>University of Tasmania; University of Bergen; Aarhus University; Henan Agricultural University; Universite de Toulouse; Universite Federale Toulouse Midi-Pyrenees (ComUE); Universite Toulouse III - Paul Sabatier; Institut National Polytechnique de Toulouse; Centre National de la Recherche Scientifique (CNRS)</t>
  </si>
  <si>
    <t>Nowak, B (corresponding author), Univ Tasmania, Inst Marine &amp; Antarctic Studies, Launceston, Tas 7250, Australia.</t>
  </si>
  <si>
    <t>b.nowak@utas.edu.au</t>
  </si>
  <si>
    <t>Sonne, Christian/I-7532-2013; Hansson, Sophia V./AAQ-9619-2021; Søndergaard, Jens/AAZ-1079-2020; Bach, Lis/J-6567-2013; Nowak, Barbara/J-7261-2014</t>
  </si>
  <si>
    <t>Sonne, Christian/0000-0001-5723-5263; Hansson, Sophia V./0000-0001-5874-0720; Søndergaard, Jens/0000-0001-7680-9920; Bach, Lis/0000-0003-2891-4202; Nowak, Barbara/0000-0002-0347-643X; Dang, Mai T. S./0000-0003-2542-120X</t>
  </si>
  <si>
    <t>University of Tasmania; Australian Society for Parasitology; Environmental Agency for Mineral Resource Activities [771020]</t>
  </si>
  <si>
    <t>University of Tasmania; Australian Society for Parasitology; Environmental Agency for Mineral Resource Activities</t>
  </si>
  <si>
    <t>The University of Tasmania is acknowledged for funding Mai Dang's PhD. The Australian Society for Parasitology is acknowledged for supporting the first author's trip to Norway to analyse samples (JD Smyth Postgraduate Student Travel Award 2017). The authors would like to acknowledge The Ministry of Environment and Food of Denmark, Aarhus University, The Environmental Agency for Mineral Resource Activities (project 771020), Government of Greenland, the Arctic Research Centre and the mining company Angel mining PLC for supporting the field trip by which our archival samples were collected. The authors sincerely thank Dr. Grigory Merkin and Dr. Mearge Okubamichael (Quantidoc AS, Bergen, Norway) for their guidance and assistance during the analyses using mucosal mapping techniques. Dr. Mach Diep, Dr. Nguyen Thi Hai Thanh, Dr. Le Hoang Thi My Dung, and Dr. Mei Ooi are acknowledged for their support during the Norway trip and the development of this manuscript.</t>
  </si>
  <si>
    <t>1050-4648</t>
  </si>
  <si>
    <t>1095-9947</t>
  </si>
  <si>
    <t>FISH SHELLFISH IMMUN</t>
  </si>
  <si>
    <t>Fish Shellfish Immunol.</t>
  </si>
  <si>
    <t>10.1016/j.fsi.2020.03.020</t>
  </si>
  <si>
    <t>Fisheries; Immunology; Marine &amp; Freshwater Biology; Veterinary Sciences</t>
  </si>
  <si>
    <t>KZ9UF</t>
  </si>
  <si>
    <t>WOS:000523603600036</t>
  </si>
  <si>
    <t>Bastias, J; Spikings, R; Ulianov, A; Riley, T; Burton-Johnson, A; Chiaradia, M; Baumgartner, L; Hervé, F; Bouvier, AS</t>
  </si>
  <si>
    <t>Bastias, Joaquin; Spikings, Richard; Ulianov, Alex; Riley, Teal; Burton-Johnson, Alex; Chiaradia, Massimo; Baumgartner, Lukas; Herve, Francisco; Bouvier, Anne-Sophie</t>
  </si>
  <si>
    <t>The Gondwanan margin in West Antarctica: Insights from Late Triassic magmatism of the Antarctic Peninsula</t>
  </si>
  <si>
    <t>ZIRCON U-PB; EASTERN PALMER LAND; RARE-EARTH-ELEMENTS; I-TYPE GRANITES; LU-HF; TECTONIC EVOLUTION; SOUTH-AMERICA; BREAK-UP; TRACE-ELEMENT; GRAHAM LAND</t>
  </si>
  <si>
    <t>Triassic orthogneisses of the Antarctic Peninsula provide evidence for the Palaeozoic and Mesozoic geological evolution of southern Gondwana within Pangaea. These rocks are sporadically exposed in southeastern Graham Land and northwestern Palmer Land, although reliable geochronological, geochemical and isotopic data are sparse. We combine new geochronological (LA-ICP-MS zircon U-Pb), geochemical, and zircon (Hf. O) and whole rock isotopic (Nd, Sr and Pb) data to constrain the age and Triassic - Palaeozoic tectonic setting of these rocks. Zircon cores record Palaeozoic arc magmatism between 253 +/- 2 and 528 = 6 Ma, which was mainly located to the west of the Eastern Palmer Land Shear Zone (Central Domain; Vaughan and Storey, 2000). The arc is considered to be an extension of contemporaneous Palaeozoic arcs that have been identified along the Pacific margin of South America and the Thurston Island Block. Regions to the east of the Palmer Land Shear Zone (Eastern Domain, Vaughan and Storey, 2000) were located distal from the Terra Australis Margin, and possibly resided within Sunsas-aged belts within Pangaea. Triassic continental arc, talc-alkaline magmatism during 223-203 Ma modified the crust of the Antarctic Peninsula on both sides of the Eastern Palmer Land Shear Zone. Magmatic sources included igneous and sedimentary crustal material, which formed by crustal reworking during Sunsasand Brazilian-aged orogenesis, and Palaeozoic arc magmatism. Arc magmatism accompanied sinistral extension which brought both domains into the arc and resulted in steady oceanward migration of the Triassic arc during the Middle - Late Triassic. We propose that sinistral displacement occurred along the Eastern Palmer Land Shear Zone, and this structure was active as early as the Triassic. Finally, we conclude that both the Eastern and Central Domains are aulochthonous to Gondwana. (C) 2019 International Association for Gondwana Research. Published by Elsevier B.V. All rights reserved.</t>
  </si>
  <si>
    <t>[Bastias, Joaquin; Spikings, Richard; Chiaradia, Massimo] Univ Geneva, Dept Earth Sci, CH-1205 Geneva, Switzerland; [Ulianov, Alex; Baumgartner, Lukas; Bouvier, Anne-Sophie] Univ Lausanne, Inst Earth Sci, CH-1015 Lausanne, Switzerland; [Riley, Teal; Burton-Johnson, Alex] British Antarctic Survey, Madingley Rd, Cambridge CB3 0ET, England; [Herve, Francisco] Univ Chile, Dept Geol, Santiago 8370450, Chile; [Herve, Francisco] Univ Andres Bello, Fac Ingn, Carrera Geol, Santiago 8370106, Chile</t>
  </si>
  <si>
    <t>University of Geneva; University of Lausanne; UK Research &amp; Innovation (UKRI); Natural Environment Research Council (NERC); NERC British Antarctic Survey; Universidad de Chile; Universidad Andres Bello</t>
  </si>
  <si>
    <t>Bastias, J (corresponding author), Univ Geneva, Dept Earth Sci, CH-1205 Geneva, Switzerland.</t>
  </si>
  <si>
    <t>joaquin.bastias@unige.ch</t>
  </si>
  <si>
    <t>Bastias, Joaquin/A-6995-2016; Herve, Francisco/HDO-6628-2022</t>
  </si>
  <si>
    <t>Bastias, Joaquin/0000-0001-6678-3173; Riley, Teal/0000-0002-3333-5021; Bouvier, Anne-Sophie/0000-0002-5202-603X</t>
  </si>
  <si>
    <t>Chilean Antarctic Institute [RT-06-14]; University of Geneva; CONICYT -Chile scholarship; Earth Science Department of the University of Geneva; Schmidheiny Foundation at Switzerland; NERC [bas0100029] Funding Source: UKRI</t>
  </si>
  <si>
    <t>Chilean Antarctic Institute; University of Geneva; CONICYT -Chile scholarship; Earth Science Department of the University of Geneva; Schmidheiny Foundation at Switzerland; NERC(UK Research &amp; Innovation (UKRI)Natural Environment Research Council (NERC))</t>
  </si>
  <si>
    <t>YY The authors are grateful for the extensive logistical support provided by the Chilean Antarctic Institute (INACH) during two field campaigns to the Antarctic Peninsula. We thank the British Antarctic Survey who provided access to their sample archive, with the donation of rocks for this study. Supportwas provided by the staff and laboratories of the Isotope Geochemistry Group of the University of Geneva. This Project was funded by the Chilean Antarctic Institute project RT-06-14 and the University of Geneva. J.B. has been supported by a CONICYT -Chile scholarship, Earth Science Department of the University of Geneva and the Schmidheiny Foundation at Switzerland. Andrea Festa is thanked for editorial handling, and the authors are grateful to Veronica Oliveros, Victor Ramos and an anonymous reviewer for providing constructive criticism which improved the manuscript.</t>
  </si>
  <si>
    <t>10.1016/j.gr.2019.10.018</t>
  </si>
  <si>
    <t>KZ9DY</t>
  </si>
  <si>
    <t>WOS:000523559700001</t>
  </si>
  <si>
    <t>Riley, TR; Flowerdew, MJ; Pankhurs, RJ; Millar, IL; Whitehouse, MJ</t>
  </si>
  <si>
    <t>Riley, T. R.; Flowerdew, M. J.; Pankhurs, R. J.; Millar, I. L.; Whitehouse, M. J.</t>
  </si>
  <si>
    <t>U-Pb zircon geochronology from Haag Nunataks, Coats Land and Shackleton Range (Antarctica): Constraining the extent of juvenile Late Mesoproterozoic arc terranes</t>
  </si>
  <si>
    <t>Geochronology; Supercontinent; Tectonics; Grenville orogeny; Rodinia; Laurentia</t>
  </si>
  <si>
    <t>DRONNING-MAUD-LAND; ELLSWORTH-WHITMORE MOUNTAINS; GRENVILLE-AGE METAMORPHISM; NAMAQUA-NATAL PROVINCE; CAPE-MEREDITH COMPLEX; FILCHNER-RONNE-SHELF; EAST ANTARCTICA; LU-HF; TECTONIC EVOLUTION; CENTRAL ARGENTINA</t>
  </si>
  <si>
    <t>Understanding the accretionary stages of Rodinia evolution and the arrangement of cratons and arc terranes is dependent upon high-precision geochronology from key piercing points of Mesoproterozoic rocks. U-Pb zircon dating is presented here from the Mesoproterozoic Haag Nunataks gneiss complex of West Antarctica where the dominant granodiorite protolith was emplaced at 1238 +/- 4 Ma, aplite/pegmatite sheets were intruded at 1064 +/- 4 Ma and the final intrusive phase of microgranite sheets were emplaced at 1056 +/- 8 Ma. A separate magmatic event at similar to 1170 Ma is recorded as inherited zircons in the later stage intrusions. Based on field relationships, the main phase of deformation at Haag Nunataks is thought to have developed prior to the emplacement of the microgranite sheet at similar to 1056 Ma but after the similar to 1064 Ma aplite/pegmatite intrusive phase. Potentially correlative units from the Shackleton Range and Coats Land of East Antarctica are also dated to test supposed correlations with arc terranes and crustal blocks at the margins of Laurentia and the proto-Kalahari craton. An ice-transported granite pegmatite sample recovered from the Brunt Ice Shelf is used as a partial proxy for unexposed rocks of the ice-covered Coats Land block and has been dated at similar to 1100 Ma. A diorite gneiss from the Shackleton Range was also analysed as it forms part of a magnetic domain shared with the Haag Nunataks crustal block. Core zircon ages of similar to 2470 Ma were determined, and the age of migmatisation is interpreted at similar to 1740 Ma and rules out any potential correlation with the Haag Nunataks gneiss complex. The magmatic precursors of the Haag Nunataks orthogneisses were emplaced in a juvenile arc setting. We argue that this arc was located in the Natal Embayment region, contiguous with the Namaqua-Natal-Maud belt of arc terranes typified by enhanced magmatism at similar to 1240 Ma and similar to 1170 Ma not associated with any significant deformation events. The later magmatic events at Haag Nunataks at similar to 1060 Ma are more closely associated with collision of Laurentia with the proto-Kalahari craton and the associated deformation is correlated with the Ottawan phase of the Grenville orogeny.</t>
  </si>
  <si>
    <t>[Riley, T. R.] British Antarctic Survey, Madingley Rd, Cambridge CB3 0ET, England; [Flowerdew, M. J.] CASP, West Bldg,Madingley Rd, Cambridge CB3 0UD, England; [Pankhurs, R. J.; Millar, I. L.] British Geol Survey, Nottingham NG12 5GG, England; [Whitehouse, M. J.] Swedish Museum Nat Hist, Box 50007, SE-10405 Stockholm, Sweden</t>
  </si>
  <si>
    <t>UK Research &amp; Innovation (UKRI); Natural Environment Research Council (NERC); NERC British Antarctic Survey; University of Cambridge; UK Research &amp; Innovation (UKRI); Natural Environment Research Council (NERC); NERC British Geological Survey; Swedish Museum of Natural History</t>
  </si>
  <si>
    <t>Riley, TR (corresponding author), British Antarctic Survey, Madingley Rd, Cambridge CB3 0ET, England.</t>
  </si>
  <si>
    <t>trr@bas.ac.uk</t>
  </si>
  <si>
    <t>Whitehouse, Martin J/E-1425-2013; Millar, Ian L/F-1541-2010</t>
  </si>
  <si>
    <t>Flowerdew, Michael/0000-0002-9710-2593; Riley, Teal/0000-0002-3333-5021</t>
  </si>
  <si>
    <t>Natural Environment Research Council (UK); NERC [bas0100029, bgs06001] Funding Source: UKRI</t>
  </si>
  <si>
    <t>Natural Environment Research Council (UK)(UK Research &amp; Innovation (UKRI)Natural Environment Research Council (NERC)); NERC(UK Research &amp; Innovation (UKRI)Natural Environment Research Council (NERC))</t>
  </si>
  <si>
    <t>This study is part of the British Antarctic Survey Polar Science for Planet Earth programme and was funded by the Natural Environment Research Council (UK). Kirsten Linden and Lev Ilyinsky are thanked for their assistance at the NordSIM facility. This is NordSIM contribution number 632. This paper has benefited considerably from very thorough reviews by Joachim Jacobs and Derek Thorkelson and useful discussions with Fausto Ferraccioli.</t>
  </si>
  <si>
    <t>10.1016/j.precamres.2020.105646</t>
  </si>
  <si>
    <t>KW9ML</t>
  </si>
  <si>
    <t>WOS:000521507700010</t>
  </si>
  <si>
    <t>Ke, H; Li, F; Ai, ST; Lei, JT; Wang, ZM; Zhang, SK</t>
  </si>
  <si>
    <t>Ke, Hao; Li, Fei; Ai, Songtao; Lei, Jintao; Wang, Zemin; Zhang, Shengkai</t>
  </si>
  <si>
    <t>Establishment of Chart Datum and Vertical Datum Transformation for Hydrography in the Chinese Great Wall Bay, Antarctic Peninsula</t>
  </si>
  <si>
    <t>JOURNAL OF SURVEYING ENGINEERING</t>
  </si>
  <si>
    <t>Seamless chart datum; Vertical datum transformation; DTU15; Mean sea topography; Tidal field observation; Great wall bay</t>
  </si>
  <si>
    <t>SURFACES</t>
  </si>
  <si>
    <t>The Great Wall bay has become an important investigation area due to the establishment of the Chinese Antarctic Great Wall scientific research station. Establishing a seamless chart datum and its transformation model with other vertical data is the key to unifying the sea-land measurement in vertical references. In view of this, two transformation models are constructed using two different realizations of the geodetic height of the mean sea surface (MSS), coupled with a seamless chart datum model of Lowest Astronomical Tide (LAT). One transformation model (Solution 1) forms MSS height by summing the modeled values of the Earth Gravitational Model 2008 (EGM2008) and averaged absolute dynamic topography based on gridded satellite altimetry products from January 2017 to April 2018. The other transformation model (Solution 2) utilizes the gridded MSS geodetic height product of DTU15, which was derived from multimission satellite altimetry from 1993 to 2015. The LAT seamless chart datum model was calculated based on the tidal constituents derived from the Atlantic Ocean 2008 model. The experiment area is located -62.350 degrees to -62.100 degrees S and -59.050 degrees to -58.600 degrees W, which includes the entire Great Wall bay, and the accuracy of Solution 1 and Solution 2 have been assessed to be 12.0 and 11.2 cm according to the error propagation law. Then, compared with the field observation result by the pressure tidal gauge in the Great Wall bay, there exists in Solution 1 and Solution 2 differences of 127.6 and 42.2 cm, respectively. This shows that Solution 2 is much better than Solution 1, although it still far exceeds the accuracy evaluation of the solutions. The reasons for this has to do with the lengths of time of realized MSSs and the poor accuracy of satellite altimetry in the coastal waters.</t>
  </si>
  <si>
    <t>[Ke, Hao; Li, Fei; Ai, Songtao; Wang, Zemin; Zhang, Shengkai] Wuhan Univ, Chinese Antarctic Ctr Surveying &amp; Mapping, 129 Luoyu Rd, Wuhan 430079, Hubei, Peoples R China; [Li, Fei] Wuhan Univ, State Key Lab Informat Engn Surveying Mapping &amp; R, 129 Luoyu Rd, Wuhan 430079, Hubei, Peoples R China; [Lei, Jintao] Hong Kong Polytech Univ, Dept Land Surveying &amp; Geoinformat, 181 Chatham Rd South, Kowloon, Hong Kong, Peoples R China</t>
  </si>
  <si>
    <t>Wuhan University; Wuhan University; Hong Kong Polytechnic University</t>
  </si>
  <si>
    <t>Ai, ST (corresponding author), Wuhan Univ, Chinese Antarctic Ctr Surveying &amp; Mapping, 129 Luoyu Rd, Wuhan 430079, Hubei, Peoples R China.</t>
  </si>
  <si>
    <t>kehao1984@whu.edu.cn; fli@whu.edu.cn; ast@whu.edu.cn; Jintao.lei@whu.edu.cn; zmwang@whu.edu.cn; zskai@whu.edu.cn</t>
  </si>
  <si>
    <t>LEI, Jintao/HHZ-6471-2022; ZeMin, Wang/AAU-3422-2020</t>
  </si>
  <si>
    <t>Ke, Hao/0000-0003-4997-6111; Lei, Jintao/0000-0002-4497-5868</t>
  </si>
  <si>
    <t>National Key Research and Development Program of China [2017YFA0603104]; National Natural Science Foundation of China [41506120, 41531069]; Fundamental Research Funds for the Central Universities [2042018kf0032]</t>
  </si>
  <si>
    <t>National Key Research and Development Program of China; National Natural Science Foundation of China(National Natural Science Foundation of China (NSFC)); Fundamental Research Funds for the Central Universities(Fundamental Research Funds for the Central Universities)</t>
  </si>
  <si>
    <t>We appreciate the valuable comments from the reviewers. This research is funded by the National Key Research and Development Program of China (2017YFA0603104), the National Natural Science Foundation of China (41506120, 41531069), and the Fundamental Research Funds for the Central Universities (2042018kf0032).</t>
  </si>
  <si>
    <t>0733-9453</t>
  </si>
  <si>
    <t>1943-5428</t>
  </si>
  <si>
    <t>J SURV ENG</t>
  </si>
  <si>
    <t>J. Surv. Eng.-ASCE</t>
  </si>
  <si>
    <t>10.1061/(ASCE)SU.1943-5428.0000312</t>
  </si>
  <si>
    <t>Engineering, Civil</t>
  </si>
  <si>
    <t>KW5EE</t>
  </si>
  <si>
    <t>WOS:000521187100002</t>
  </si>
  <si>
    <t>Santamarina, PE; Barreda, VD; Iglesias, A; Varela, AN</t>
  </si>
  <si>
    <t>Emmanuel Santamarina, Patricio; Dora Barreda, Viviana; Iglesias, Ari; Nicolas Varela, Augusto</t>
  </si>
  <si>
    <t>Palynology from the Cenomanian Mata Amarilla Formation, southern Patagonia, Argentina</t>
  </si>
  <si>
    <t>CRETACEOUS RESEARCH</t>
  </si>
  <si>
    <t>Palynoflora; Late Cretaceous; Patagonia; Cenomanian</t>
  </si>
  <si>
    <t>SANTA-CRUZ PROVINCE; CRETACEOUS ANGIOSPERM POLLEN; KACHAIKE FORMATION; AUSTRAL BASIN; LAGARCITO FORMATION; GRAINS; BIOSTRATIGRAPHY; RECORD; PALEOENVIRONMENTS; DIVERSIFICATION</t>
  </si>
  <si>
    <t>The critical climatic changes that occurred during the Albian-Turonian Cretaceous interval led to a major biotic turnover, both in terrestrial and marine ecosystems. Several large-scale palynological works have been conducted in the Northern Hemisphere, but information for the Southern Hemisphere remains scarce. Particularly for southern South America, there are only a few palynological works focused on this important time interval. We report here, a diverse palynoflora recovered from the Cenomanian Mata Amarilla Formation, southern Patagonia, Argentina. The palynological assemblage is composed of 64 species within 47 genera. Three new species are here defined: Polycingulatisporites multiverrucata sp. nov., Clavatisporites cenomaniana sp. nov. and Collarisporites minor sp. nov., and 18 species are first recorded for southern South America. Cluster analysis including several Albian-Turonian palynofloras of middle and high latitudes of eastern and western Gondwana show that Patagonian palynofloras are clustered together, sharing a great compositional similarity, but with features common to those of the Antarctic Peninsula and New Zealand. The Mata Amarilla Formation palynofloras here presented show characteristics of the Cyclusphaera psilata-Classopollis Sub-province, extending its stratigraphic range into the Cenomanian. This palynoflora fits well with the evolutionary scheme of angiosperms previously proposed for Argentina, and adds a new characteristic taxon (cf. Dichastopollenites sp.). The presence of Albian-Cenomanian megaspore species (Arcellites discifonnis and Bahneisporites sp. cf. B. holodictyus), the abundance of common elements of the Early Cretaceous Patagonian assemblages (e.g. Classopollis and Cyclusphaera), and the relative scarcity of angiosperm pollen grains support a Cenomanian age for the Mata Amarilla Formation. (C) 2019 Elsevier Ltd. All rights reserved.</t>
  </si>
  <si>
    <t>[Emmanuel Santamarina, Patricio; Dora Barreda, Viviana] Consejo Nacl Invest Cient &amp; Tecn, Div Paleobot, Museo Argentino Ciencias Nat Bernardino Rivadavia, MACN, Av Angel Gallardo 470,C1405DJR, Buenos Aires, DF, Argentina; [Iglesias, Ari] Consejo Nacl Invest Cient &amp; Tecn, Inst Invest Biodiversidad &amp; Medioambiente, UNCO, INIBIOMA, Quintral 1250, RA-8400 San Carlos De Bariloche, Rio Negro, Argentina; [Nicolas Varela, Augusto] Y TEC SA, Av Petroleo S-N, RA-1923 Berisso, Buenos Aires, Argentina; [Nicolas Varela, Augusto] Consejo Nacl Invest Cient &amp; Tecn, Buenos Aires, DF, Argentina</t>
  </si>
  <si>
    <t>Museo Argentino de Ciencias Naturales Bernardino Rivadavia (MACN); Consejo Nacional de Investigaciones Cientificas y Tecnicas (CONICET); Consejo Nacional de Investigaciones Cientificas y Tecnicas (CONICET); Consejo Nacional de Investigaciones Cientificas y Tecnicas (CONICET)</t>
  </si>
  <si>
    <t>Santamarina, PE (corresponding author), Consejo Nacl Invest Cient &amp; Tecn, Div Paleobot, Museo Argentino Ciencias Nat Bernardino Rivadavia, MACN, Av Angel Gallardo 470,C1405DJR, Buenos Aires, DF, Argentina.</t>
  </si>
  <si>
    <t>santamarinape@gmail.com; vbarreda@macn.gov.ar; ari_iglesias@yahoo.com.ar; augustovarela@cig.museo.unlp.edu.ar</t>
  </si>
  <si>
    <t>Iglesias, Ari/0000-0002-9098-8758</t>
  </si>
  <si>
    <t>CONICET; [PIP 0259]; [PIP 0388]; [PIP 0866]</t>
  </si>
  <si>
    <t>CONICET(Consejo Nacional de Investigaciones Cientificas y Tecnicas (CONICET)); ; ;</t>
  </si>
  <si>
    <t>The authors want to thank Sebastian Mirabelli, Carlos Jaramillo, Fabian Trickle, and Orlando Cardenas for their technical assistance; the Secretaria de Cultura de la Provincia de Santa Cruz, Comision de Fomento Tres Lagos, Waring, Piccinini and Nacer families for their field work permission and priceless help both on and out the field. We also thank Eduardo Koutsoukos (Universitat Heidelberg, Germany), Chris Mays (Department of Palaeobiology, Naturhistoriska riksmuseet, Sweden; School of Earth, Atmosphere and Environment, Monash University, Australia) and an anonymous reviewer for the helpful comments that improve this paper. Financial support was provided through PIP 0259, PIP 0388, and PIP 0866 grants, and CONICET Ph.D. and postdoctoral grants.</t>
  </si>
  <si>
    <t>0195-6671</t>
  </si>
  <si>
    <t>1095-998X</t>
  </si>
  <si>
    <t>CRETACEOUS RES</t>
  </si>
  <si>
    <t>Cretac. Res.</t>
  </si>
  <si>
    <t>10.1016/j.cretres.2019.104354</t>
  </si>
  <si>
    <t>Geology; Paleontology</t>
  </si>
  <si>
    <t>KT2VA</t>
  </si>
  <si>
    <t>WOS:000518872500003</t>
  </si>
  <si>
    <t>Messan, KS; Jones, RM; Doherty, SJ; Foley, K; Douglas, TA; Barbato, RA</t>
  </si>
  <si>
    <t>Messan, Komi S.; Jones, Robert M.; Doherty, Stacey J.; Foley, Karen; Douglas, Thomas A.; Barbato, Robyn A.</t>
  </si>
  <si>
    <t>The role of changing temperature in microbial metabolic processes during permafrost thaw</t>
  </si>
  <si>
    <t>SOIL BIODIVERSITY; ACTIVE LAYER; BACTERIAL; COMMUNITIES; CARBON; THERMOKARST; PSEUDOMONAS; BIOCONTROL; STRATEGIES; INSIGHTS</t>
  </si>
  <si>
    <t>Approximately one fourth of the Earth's Northern Hemisphere is underlain by permafrost, earth materials (soil, organic matter, or bedrock), that has been continuously frozen for at least two consecutive years. Numerous studies point to evidence of accelerated climate warming in the Arctic and sub-Arctic where permafrost is located. Changes to permafrost biochemical processes may critically impact ecosystem processes at the landscape scale. Here, we sought to understand how the permafrost metabolome responds to thaw and how this response differs based on location (i.e. chronosequence of permafrost formation constituting diverse permafrost types). We analyzed metabolites from microbial cells originating from Alaskan permafrost. Overall, permafrost thaw induced a shift in microbial metabolic processes. Of note were the dissimilarities in biochemical structure between frozen and thawed samples. The thawed permafrost metabolomes from different locations were highly similar. In the intact permafrost, several metabolites with antagonist properties were identified, illustrating the competitive survival strategy required to survive a frozen state. Interestingly, the intensity of these antagonistic metabolites decreased with warmer temperature, indicating a shift in ecological strategies in thawed permafrost. These findings illustrate the impact of change in temperature and spatial variability as permafrost undergoes thaw, knowledge that will become crucial for predicting permafrost biogeochemical dynamics as the Arctic and Antarctic landscapes continue to warm.</t>
  </si>
  <si>
    <t>[Messan, Komi S.; Jones, Robert M.; Doherty, Stacey J.; Foley, Karen; Barbato, Robyn A.] US Army Engineer Res &amp; Dev Ctr, Cold Reg Res &amp; Engn Lab, Hanover, NH 03755 USA; [Douglas, Thomas A.] US Army Engineer Res &amp; Dev Ctr, Cold Reg Res &amp; Engn Lab, Fairbanks, AK USA</t>
  </si>
  <si>
    <t>United States Department of Defense; United States Army; U.S. Army Corps of Engineers; U.S. Army Engineer Research &amp; Development Center (ERDC); Cold Regions Research &amp; Engineering Laboratory (CRREL); United States Department of Defense; United States Army; U.S. Army Corps of Engineers; U.S. Army Engineer Research &amp; Development Center (ERDC); Cold Regions Research &amp; Engineering Laboratory (CRREL)</t>
  </si>
  <si>
    <t>Messan, KS; Barbato, RA (corresponding author), US Army Engineer Res &amp; Dev Ctr, Cold Reg Res &amp; Engn Lab, Hanover, NH 03755 USA.</t>
  </si>
  <si>
    <t>komi.messan@nih.gov; Robyn.A.Barbato@erdc.dren.mil</t>
  </si>
  <si>
    <t>Doherty, Stacey/0000-0003-1453-0195; Messan, Komi/0000-0001-6176-9591</t>
  </si>
  <si>
    <t>United States Army Engineer Research and Development Center, Basic Research Program Office and Applied Research Program Office, Environmental Quality and Installations; U.S. Army Basic Research (6.1) Program; Department of Defense's Strategic Environmental Research and Development Program [RC18-C2-1170]</t>
  </si>
  <si>
    <t>United States Army Engineer Research and Development Center, Basic Research Program Office and Applied Research Program Office, Environmental Quality and Installations; U.S. Army Basic Research (6.1) Program; Department of Defense's Strategic Environmental Research and Development Program</t>
  </si>
  <si>
    <t>Funding support was provided from the United States Army Engineer Research and Development Center, Basic Research Program Office and Applied Research Program Office, Environmental Quality and Installations. T.A.D. acknowledges the U.S. Army Basic Research (6.1) Program and the Department of Defense's Strategic Environmental Research and Development Program (project RC18-C2-1170).</t>
  </si>
  <si>
    <t>APR 30</t>
  </si>
  <si>
    <t>e0232169</t>
  </si>
  <si>
    <t>10.1371/journal.pone.0232169</t>
  </si>
  <si>
    <t>LS9BE</t>
  </si>
  <si>
    <t>WOS:000536673200047</t>
  </si>
  <si>
    <t>Tovar-Sánchez, A; Rodríguez-Romero, A; Engel, A; Zäncker, B; Fu, F; Marañón, E; Pérez-Lorenzo, M; Bressac, M; Wagener, T; Triquet, S; Siour, G; Desboeuf, K; Guieu, C</t>
  </si>
  <si>
    <t>Tovar-Sanchez, Antonio; Rodriguez-Romero, Araceli; Engel, Anja; Zaencker, Birthe; Fu, Franck; Maranon, Emilio; Perez-Lorenzo, Maria; Bressac, Matthieu; Wagener, Thibaut; Triquet, Sylvain; Siour, Guillaume; Desboeuf, Karine; Guieu, Cecile</t>
  </si>
  <si>
    <t>Characterizing the surface microlayer in the Mediterranean Sea: trace metal concentrations and microbial plankton abundance</t>
  </si>
  <si>
    <t>COMMUNITY STRUCTURE; SAHARAN DUST; AEROSOLS; COPPER; NICKEL; IRON; VARIABILITY; SPECIATION; TOXICITY; ATLANTIC</t>
  </si>
  <si>
    <t>The Sea Surface Microlayer (SML) is known to be enriched by trace metals relative to the underlying water and harbor diverse microbial communities (i.e., neuston). However, the processes linking metals and biota in the SML are not yet fully understood. The metal (Cd, Co, Cu, Fe, Ni, Mo, V, Zn and Pb) concentrations in aerosol samples in the SML (dissolved and total fractions) and in subsurface waters (SSWs; dissolved fraction at similar to 1 m depth) from the western Mediterranean Sea were analyzed in this study during a cruise in May-June 2017. The composition and abundance of the bacterial community in the SML and SSW, the primary production, and Chl a in the SSW were measured simultaneously at all stations during the cruise. Residence times in the SML of metals derived from aerosol depositions were highly variable and ranged from minutes for Fe (3.6 +/- 6.0 min) to a few hours for Cu (5.8 +/- 6.2 h). Concentrations of most of the dissolved metals in both the SML and SSW were positively correlated with the salinity gradient and showed the characteristic eastward increase in the surface waters of the Mediterranean Sea (MS). In contrast, the total fraction of some reactive metals in the SML (i.e., Cu, Fe, Pb and Zn) showed a negative correlation with salinity and a positive correlation with microbial abundance, which might be associated with microbial uptake. Our results show a strong negative correlation between the dissolved and total Ni concentration and heterotrophic bacterial abundance in the SML and SSW, but we cannot ascertain whether this correlation reflects a toxicity effect or is the result of some other process.</t>
  </si>
  <si>
    <t>[Tovar-Sanchez, Antonio; Rodriguez-Romero, Araceli] Inst Marine Sci Andalusia ICMAN CSIC, Dept Ecol &amp; Coastal Management, Puerto Real 07190, Spain; [Engel, Anja; Zaencker, Birthe] Helmholtz Ctr Ocean Res GEOMAR, Kiel, Germany; [Fu, Franck; Triquet, Sylvain; Siour, Guillaume; Desboeuf, Karine] Univ Paris Est Creteil, Univ Paris, Lab Interuniv Syst Atmospher LISA, Inst Pierre Simon Laplace IPSL,CNRS UMR 7583, Creteil 94000, France; [Maranon, Emilio; Perez-Lorenzo, Maria] Univ Vigo, Dept Ecol &amp; Biol Anim, Vigo 36310, Spain; [Bressac, Matthieu] Univ Tasmania, Inst Marine &amp; Antarctic Studies, Hobart, Tas, Australia; [Bressac, Matthieu; Guieu, Cecile] Sorbonne Univ, Lab Oceanog Villefranche, LOV, CNRS, Villefranche Sur Mer 06230, France; [Wagener, Thibaut] Aix Marseille Univ, Univ Toulon, CNRS, MIO UMR 110,IRD, Marseille 13288, France</t>
  </si>
  <si>
    <t>Consejo Superior de Investigaciones Cientificas (CSIC); CSIC - Instituto de Ciencias Marinas de Andalucia (ICMAN); Helmholtz Association; GEOMAR Helmholtz Center for Ocean Research Kiel; Universite Paris-Est-Creteil-Val-de-Marne (UPEC); Universite Paris Cite; Centre National de la Recherche Scientifique (CNRS); CNRS - National Institute for Earth Sciences &amp; Astronomy (INSU); Universidade de Vigo; University of Tasmania; Sorbonne Universite; Centre National de la Recherche Scientifique (CNRS); Centre National de la Recherche Scientifique (CNRS); Institut de Recherche pour le Developpement (IRD); Aix-Marseille Universite</t>
  </si>
  <si>
    <t>Tovar-Sánchez, A (corresponding author), Inst Marine Sci Andalusia ICMAN CSIC, Dept Ecol &amp; Coastal Management, Puerto Real 07190, Spain.</t>
  </si>
  <si>
    <t>a.tovar@csic.es</t>
  </si>
  <si>
    <t>Guieu, Cecile/AAU-6883-2021; Marañón, Emilio/F-3013-2013; Rodríguez, Araceli/GXM-7707-2022; Tovar-Sánchez, Antonio/B-8003-2010; Siour, Guillaume/JCO-4189-2023; Engel, Andreas/E-3100-2014</t>
  </si>
  <si>
    <t>Guieu, Cecile/0000-0001-6373-8326; Marañón, Emilio/0000-0003-1572-2121; Rodríguez, Araceli/0000-0002-6718-1040; Siour, Guillaume/0000-0002-5940-4902; Engel, Anja/0000-0002-1042-1955; Tovar-Sanchez, Antonio/0000-0003-4375-1982; Bressac, Matthieu/0000-0003-3075-3137; DESBOEUFS, Karine/0000-0002-7766-6877; wagener, thibaut/0000-0002-3968-0678</t>
  </si>
  <si>
    <t>Spanish Ministry of Science, Innovation, and Universities [CTM2014-59244-C3-3-R]; Spanish grant Juan de la Cierva Formacion 2015 [JCI-2015-26873]; Spanish grant Juan de la Cierva Incorporacion 2019 [IJC2018-037545-I]; European Commission's Seventh Framework Programme (IRON-IC) [626734]</t>
  </si>
  <si>
    <t>Spanish Ministry of Science, Innovation, and Universities; Spanish grant Juan de la Cierva Formacion 2015; Spanish grant Juan de la Cierva Incorporacion 2019; European Commission's Seventh Framework Programme (IRON-IC)</t>
  </si>
  <si>
    <t>This research has been supported by the Spanish Ministry of Science, Innovation, and Universities (grant no. CTM2014-59244-C3-3-R), the Spanish grant Juan de la Cierva Formacion 2015 (grant no. JCI-2015-26873) and Juan de la Cierva Incorporacion 2019 (grant no. IJC2018-037545-I), and the European Commission's Seventh Framework Programme (IRON-IC, grant no. 626734).</t>
  </si>
  <si>
    <t>10.5194/bg-17-2349-2020</t>
  </si>
  <si>
    <t>LL4ZD</t>
  </si>
  <si>
    <t>WOS:000531565500001</t>
  </si>
  <si>
    <t>Bhardwaj, LK; Jindal, T</t>
  </si>
  <si>
    <t>Bhardwaj, Laxmi Kant; Jindal, Tanu</t>
  </si>
  <si>
    <t>Persistent Organic Pollutants in Lakes of Grovnes Peninsula at Larsemann Hill Area, East Antarctica</t>
  </si>
  <si>
    <t>EARTH SYSTEMS AND ENVIRONMENT</t>
  </si>
  <si>
    <t>Antarctica; Prydz Bay; Larsemann Hills; Grovnes peninsula; Persistent organic pollutants (POPs)</t>
  </si>
  <si>
    <t>KING GEORGE ISLAND; POLYBROMINATED DIPHENYL ETHERS; ORGANOCHLORINE PESTICIDES OCPS; LONG-RANGE TRANSPORT; FRESH-WATER LAKES; POLYCHLORINATED-BIPHENYLS; LOCAL-SOURCES; SALINE LAKES; ICE-FREE; PBDES</t>
  </si>
  <si>
    <t>Due to various scientific expeditions and tourism, there has been an increase in anthropogenic activities during the past 2-3 decades in Antarctica. Moreover, global contamination due to several freshly introduced chemicals like pesticides is on use since the previous century and even several issues contribute to pollution in Antarctica. Persistent organic pollutants (POPs) are persistent in nature and include some pesticides, polychlorinated biphenyls (PCBs) and dioxins. Due to volatile nature, these pollutants are transported across the earth by the grasshopper effect. During a 34th Indian Scientific Expedition to Antarctica in the austral summer of December 2014 to February 2015, a total of forty-five water samples from fifteen different lakes was collected from Grovnes peninsula, Larsemann Hill, East Antarctica. In these samples, twenty-seven compounds of POPs were estimated. POP(')s level was found in the water samples from 10.00 to 75.00 pg/mL in different lakes. Occurrence of p,p '-DDT was identified in all lakes, but maximum concentration was found in L1E NG lake. This research confirms that Grovnes peninsula has a trace level of POPs and it is the initial state and needs to investigate further to preserve the pristine Antarctica. This manuscript provides an overview of the available sample preparation methods, analytical techniques and the concentration of POPs in the lakes of the Grovnes peninsula in a Larsemann Hill area, East Antarctica.</t>
  </si>
  <si>
    <t>[Bhardwaj, Laxmi Kant; Jindal, Tanu] Amity Univ, Amity Inst Environm Toxicol, Amity Ctr Antarctic Res &amp; Studies ACARS, Safety &amp; Management AIETSM, Sect 125, Noida 201303, Uttar Pradesh, India</t>
  </si>
  <si>
    <t>Amity University Noida</t>
  </si>
  <si>
    <t>Bhardwaj, LK (corresponding author), Amity Univ, Amity Inst Environm Toxicol, Amity Ctr Antarctic Res &amp; Studies ACARS, Safety &amp; Management AIETSM, Sect 125, Noida 201303, Uttar Pradesh, India.</t>
  </si>
  <si>
    <t>lkbhardwaj@amity.edu</t>
  </si>
  <si>
    <t>Bhardwaj, Dr. Laxmi Kant/ABH-3230-2021</t>
  </si>
  <si>
    <t>Bhardwaj, Dr. Laxmi Kant/0000-0001-7518-4199</t>
  </si>
  <si>
    <t>SPRINGER INTERNATIONAL PUBLISHING AG</t>
  </si>
  <si>
    <t>CHAM</t>
  </si>
  <si>
    <t>GEWERBESTRASSE 11, CHAM, CH-6330, SWITZERLAND</t>
  </si>
  <si>
    <t>2509-9426</t>
  </si>
  <si>
    <t>2509-9434</t>
  </si>
  <si>
    <t>EARTH SYST ENVIRON</t>
  </si>
  <si>
    <t>Earth Syst. Environ.</t>
  </si>
  <si>
    <t>10.1007/s41748-020-00154-w</t>
  </si>
  <si>
    <t>APR 2020</t>
  </si>
  <si>
    <t>MF7IA</t>
  </si>
  <si>
    <t>WOS:000529571700001</t>
  </si>
  <si>
    <t>Brandon, M; Landais, A; Duchamp-Alphonse, S; Favre, V; Schmitz, L; Abrial, H; Prié, F; Extier, T; Blunier, T</t>
  </si>
  <si>
    <t>Brandon, Margaux; Landais, Amaelle; Duchamp-Alphonse, Stephanie; Favre, Violaine; Schmitz, Lea; Abrial, Heloise; Prie, Frederic; Extier, Thomas; Blunier, Thomas</t>
  </si>
  <si>
    <t>Exceptionally high biosphere productivity at the beginning of Marine Isotopic Stage 11</t>
  </si>
  <si>
    <t>BUBBLE CLOSE-OFF; ICE CORE; ANTARCTIC ICE; CHRONOLOGY AICC2012; ATMOSPHERIC OXYGEN; CARBON-DIOXIDE; CLIMATE-CHANGE; TRAPPED GASES; O-2; CO2</t>
  </si>
  <si>
    <t>Significant changes in atmospheric CO2 over glacial-interglacial cycles have mainly been attributed to the Southern Ocean through physical and biological processes. However, little is known about the contribution of global biosphere productivity, associated with important CO2 fluxes. Here we present the first high resolution record of Delta O-17 of O-2 in the Antarctic EPICA Dome C ice core over Termination V and Marine Isotopic Stage (MIS) 11 and reconstruct the global oxygen biosphere productivity over the last 445 ka. Our data show that compared to the younger terminations, biosphere productivity at the end of Termination V is 10 to 30 % higher. Comparisons with local palaeo observations suggest that strong terrestrial productivity in a context of low eccentricity might explain this pattern. We propose that higher biosphere productivity could have maintained low atmospheric CO2 at the beginning of MIS 11, thus highlighting its control on the global climate during Termination V. Biosphere productivity is an important component of the CO2 cycle, but how it has varied over past glacial-interglacial cycles is not well known. Here, the authors present new data that shows that global biosphere productivity was 10 to 30% higher during Termination V compared to younger deglaciations.</t>
  </si>
  <si>
    <t>[Brandon, Margaux; Landais, Amaelle; Favre, Violaine; Schmitz, Lea; Abrial, Heloise; Prie, Frederic; Extier, Thomas] Univ Paris Saclay, CNRS, CEA, UVSQ,Lab Sci Climat &amp; Environm, F-91191 Gif Sur Yvette, France; [Brandon, Margaux; Duchamp-Alphonse, Stephanie] Univ Paris Saclay, CNRS, GEOPS, F-91405 Orsay, France; [Blunier, Thomas] Univ Copenhagen, Niels Bohr Inst, Ctr Ice &amp; Climate, Copenhagen, Denmark</t>
  </si>
  <si>
    <t>Universite Paris Saclay; CEA; Centre National de la Recherche Scientifique (CNRS); Universite Paris Cite; Universite Paris Saclay; Universite Paris Cite; Centre National de la Recherche Scientifique (CNRS); University of Copenhagen; Niels Bohr Institute</t>
  </si>
  <si>
    <t>Brandon, M (corresponding author), Univ Paris Saclay, CNRS, CEA, UVSQ,Lab Sci Climat &amp; Environm, F-91191 Gif Sur Yvette, France.;Brandon, M (corresponding author), Univ Paris Saclay, CNRS, GEOPS, F-91405 Orsay, France.</t>
  </si>
  <si>
    <t>margaux.brandon@universite-paris-saclay.fr</t>
  </si>
  <si>
    <t>; Blunier, Thomas/M-4609-2014</t>
  </si>
  <si>
    <t>Brandon, Margaux/0000-0001-5256-3700; Blunier, Thomas/0000-0002-6065-7747; Extier, Thomas/0000-0002-9531-8753</t>
  </si>
  <si>
    <t>ANR program HUMI17; INSU-LEFE-IMAGO program BIOCOD; IDEX-IDI PhD grant from Paris-Saclay; French state aid [ANR-11-IDEX-0004-17-EURE-0006]</t>
  </si>
  <si>
    <t>ANR program HUMI17(Agence Nationale de la Recherche (ANR)); INSU-LEFE-IMAGO program BIOCOD; IDEX-IDI PhD grant from Paris-Saclay; French state aid</t>
  </si>
  <si>
    <t>The authors first acknowledge the three anonymous reviewers and the editor for their useful help in improving the manuscript. It is a pleasure to thank Jean Jouzel, Jochen Schmitt, Ji-Woong Yang and Michael Bender for useful discussions as well as Laurent Bopp, Masa Kageyama, Chiara Guarnieri and Jean-Yves Peterschmitt for their contribution on model reconstructions. We also thank Gregory Teste involved in cutting EDC samples. This work benefited from funding from the ANR program HUMI17 as well as the INSU-LEFE-IMAGO program BIOCOD. M.B. receives an IDEX-IDI PhD grant from Paris-Saclay. It is a contribution to the European Project for Ice Coring in Antarctica (EPICA). This work was supported by the French state aid managed by the ANR under the Investissements d'avenir programme with the reference ANR-11-IDEX-0004-17-EURE-0006.</t>
  </si>
  <si>
    <t>10.1038/s41467-020-15739-2</t>
  </si>
  <si>
    <t>MZ0MB</t>
  </si>
  <si>
    <t>WOS:000558816700012</t>
  </si>
  <si>
    <t>Turnbull, AR; Harwood, DT; Boundy, MJ; Holland, PT; Hallegraeff, G; Malhi, N; Quilliam, MA</t>
  </si>
  <si>
    <t>Turnbull, Alison R.; Harwood, D. Tim; Boundy, Michael J.; Holland, Patrick T.; Hallegraeff, Gustaaf; Malhi, Navreet; Quilliam, Michael A.</t>
  </si>
  <si>
    <t>Paralytic shellfish toxins - Call for uniform reporting units</t>
  </si>
  <si>
    <t>TOXICON</t>
  </si>
  <si>
    <t>Paralytic shellfish toxins; Reporting units; Regulation; Laboratory analysis; Research</t>
  </si>
  <si>
    <t>[Turnbull, Alison R.; Malhi, Navreet] South Australian Res &amp; Dev Inst, GPO Box 397, Adelaide, SA 5001, Australia; [Turnbull, Alison R.; Hallegraeff, Gustaaf] Univ Tasmania, Inst Marine &amp; Antarctic Studies, Private Bag 129, Hobart, Tas 7001, Australia; [Harwood, D. Tim; Boundy, Michael J.] Cawthron Inst, 98 Halifax St East, Nelson 7010, New Zealand; [Holland, Patrick T.] PT Holland Consulting, 3 Allan St, Nelson 7010, New Zealand; [Quilliam, Michael A.] Natl Res Council Canada, Biotoxin Metrol, 1411 Oxford St, Halifax, NS B3H 3Z1, Canada</t>
  </si>
  <si>
    <t>South Australian Research &amp; Development Institute (SARDI); University of Tasmania; National Research Council Canada; International Business Machines (IBM)</t>
  </si>
  <si>
    <t>Turnbull, AR (corresponding author), Univ Tasmania, Inst Marine &amp; Antarctic Studies, Private Bag 129, Hobart, Tas 7001, Australia.</t>
  </si>
  <si>
    <t>Hallegraeff, Gustaaf/C-8351-2013</t>
  </si>
  <si>
    <t>Hallegraeff, Gustaaf/0000-0001-8464-7343; Quilliam, Michael/0000-0002-2670-4220; Turnbull, Alison/0000-0001-5701-8728; Boundy, Michael/0000-0003-2225-4573</t>
  </si>
  <si>
    <t>0041-0101</t>
  </si>
  <si>
    <t>Toxicon</t>
  </si>
  <si>
    <t>10.1016/j.toxicon.2020.02.018</t>
  </si>
  <si>
    <t>Pharmacology &amp; Pharmacy; Toxicology</t>
  </si>
  <si>
    <t>LG1RH</t>
  </si>
  <si>
    <t>WOS:000527886400009</t>
  </si>
  <si>
    <t>Saenz, BT; Ainley, DG; Daly, KL; Ballard, G; Conlisk, E; Elrod, ML; Kim, SL</t>
  </si>
  <si>
    <t>Saenz, Benjamin T.; Ainley, David G.; Daly, Kendra L.; Ballard, Grant; Conlisk, Erin; Elrod, Megan L.; Kim, Stacy L.</t>
  </si>
  <si>
    <t>Drivers of concentrated predation in an Antarctic marginal-ice-zone food web</t>
  </si>
  <si>
    <t>KRILL EUPHAUSIA-SUPERBA; MCMURDO-SOUND; ROSS SEA; ADELIE PENGUINS; FORAGING EFFORT; WEDDELL SEA; ABUNDANCE; BEHAVIOR; REGION; FISH</t>
  </si>
  <si>
    <t>Predators impact preyscapes (3-D distribution of forage species) by consuming prey according to their abilities or by altering prey behavior as they avoid being consumed. We elucidate prey (Antarctic silverfish[Pleuragramma antarctica] and crystal krill[Euphausia chrystallorophias]) responses to predation associated with the marginal ice zone (MIZ) of the McMurdo Sound, Antarctica, polynya. Prey abundance and habitat was sampled across a 30 x 15km area by remotely-operated vehicle, and included locations that were accessible (ice edge) or inaccessible (solid fast ice) to air-breathing predators. Prey and habitat sampling coincided with bio-logging of Adelie penguins and observations of other air-breathing predators (penguins, seals, and whales), all of which were competing for the same prey. Adelie penguins dived deeper, and more frequently, near the ice edge. Lowered abundance of krill at the ice edge indicated they were depleted or were responding to increased predation and/or higher light levels along the ice edge. Penguin diet shifted increasingly to silverfish from krill during sampling, and was correlated with the arrival of krill-eating whales. Behaviorally-mediated, high trophic transfer characterizes the McMurdo Sound MIZ, and likely other MIZs, warranting more specific consideration in food web models and conservation efforts.</t>
  </si>
  <si>
    <t>[Saenz, Benjamin T.; Daly, Kendra L.] Univ S Florida, Coll Marine Sci, St Petersburg, FL 33701 USA; [Ainley, David G.; Conlisk, Erin] HT Harvey &amp; Associates, Los Gatos, CA USA; [Ballard, Grant; Conlisk, Erin; Elrod, Megan L.] Point Blue Conservat Sci, Petaluma, CA USA; [Kim, Stacy L.] Moss Landing Marine Labs, Pob 450, Moss Landing, CA 95039 USA; [Saenz, Benjamin T.] Biota Earth, Berkeley, CA 94720 USA</t>
  </si>
  <si>
    <t>State University System of Florida; University of South Florida; Moss Landing Marine Laboratories</t>
  </si>
  <si>
    <t>Saenz, BT (corresponding author), Univ S Florida, Coll Marine Sci, St Petersburg, FL 33701 USA.;Saenz, BT (corresponding author), Biota Earth, Berkeley, CA 94720 USA.</t>
  </si>
  <si>
    <t>blsaenz@gmail.com</t>
  </si>
  <si>
    <t>National Science Foundation [ANT-0944511, ANT-0944694, ANT-0944747, 1543498]</t>
  </si>
  <si>
    <t>Funding was provided by National Science Foundation grants ANT-0944511, -0944694 and -0944747 and 1543498. In-kind support, i.e. logistics, was provided by the US Antarctic Program through Antarctic Support Associates; field assistance was provided by J Pennycook, M Hynes, L Barker, D Baetscher, C Collins, R Pitman, J Durban, P Malloy, E Stackpole, H Broadbent, D Mahon, D Szuta, and P Chung; and statistical analysis was aided by D Jongsomjit.</t>
  </si>
  <si>
    <t>APR 29</t>
  </si>
  <si>
    <t>10.1038/s41598-020-63875-y</t>
  </si>
  <si>
    <t>NB8DI</t>
  </si>
  <si>
    <t>WOS:000560743900002</t>
  </si>
  <si>
    <t>Howlader, P; Ghosh, AK; Islam, SS; Bir, J; Banu, GR</t>
  </si>
  <si>
    <t>Howlader, Pallabi; Ghosh, Alokesh Kumar; Islam, Shikder Saiful; Bir, Joyanta; Banu, Ghausiatur Reza</t>
  </si>
  <si>
    <t>Antiviral activity of Cynodon dactylon on white spot syndrome virus (WSSV)-infected shrimp: an attempt to mitigate risk in shrimp farming</t>
  </si>
  <si>
    <t>AQUACULTURE INTERNATIONAL</t>
  </si>
  <si>
    <t>Cynodon dactylon; Plant extract; White spot syndrome virus; Crustaceans; Survival; Polymerase chain reaction</t>
  </si>
  <si>
    <t>PENAEUS-MONODON; FENNEROPENAEUS-INDICUS; DISEASE RESISTANCE; WSSV; INHIBITION; FLAVONOIDS; INFECTION; JAPONICUS; EXTRACTS</t>
  </si>
  <si>
    <t>White spot syndrome virus (WSSV) is the most contagious pathogen causing huge economic losses in the shrimp industry worldwide. Several medicinal plants are known to have antiviral activity through the inhibition of viral diseases in fish and shellfish. Hence, there is a need to investigate the ability of natural remedies like plant sources to mitigate this devastating disease in crustaceans. This study was carried out to test the antiviral activity of ethanolic extract of Cynodon dactylon on WSSV in tiger shrimp Penaeus monodon juveniles with an average weight of 13.541 +/- 2.927 g. Different doses of the extract (75, 100, and 150 mg/kg) were administrated in vivo through intramuscular injection. The antiviral activity was determined by observing survival rates, and WSSV infection was confirmed at the end of the experiment through polymerase chain reaction (PCR) identification. Before the in vivo experiment, presence of antiviral compounds ((+)-catechin, vanillic acid, syringic acid, (-)-epicatechin, p-coumaric acid, and quercetin bioactive compounds) in C. dactylon was confirmed through high-performance liquid chromatography with diode-array detection (HPLC-DAD) analysis. The results obtained in this study show that a dose of 100 to 150 mg/kg body weight of 100 to 150 mg/kg body weight, ethanolic extract of C. dactylon ethanolic extract of C. dactylon prevented the infection of WSSV marked by 100% survival and absence of WSSV-specific band using nested diagnostic PCR, thus demonstrating the suitability of ethanolic extract of C. dactylon as a possible prophylactic for the prevention of WSSV infections in shrimp culture.</t>
  </si>
  <si>
    <t>[Howlader, Pallabi] Minist Fisheries &amp; Livestock, Dept Fisheries, Dhaka, Bangladesh; [Ghosh, Alokesh Kumar; Islam, Shikder Saiful; Bir, Joyanta; Banu, Ghausiatur Reza] Khulna Univ, Fisheries &amp; Marine Resource Technol Discipline, Khulna 9208, Bangladesh; [Ghosh, Alokesh Kumar] Katholieke Univ Leuven, Anim Physiol &amp; Neurobiol Sect, Dept Biol, Fac Sci,Zool Inst, Naamsestr 59,POB 2465, Leuven 3000, Belgium; [Islam, Shikder Saiful] Univ Tasmania, Inst Marine &amp; Antarctic Studies IMAS, Launceston, Tas 7250, Australia</t>
  </si>
  <si>
    <t>Khulna University; KU Leuven; University of Tasmania</t>
  </si>
  <si>
    <t>Islam, SS (corresponding author), Khulna Univ, Fisheries &amp; Marine Resource Technol Discipline, Khulna 9208, Bangladesh.;Islam, SS (corresponding author), Univ Tasmania, Inst Marine &amp; Antarctic Studies IMAS, Launceston, Tas 7250, Australia.</t>
  </si>
  <si>
    <t>shikdersaiful.islam@utas.edu.au</t>
  </si>
  <si>
    <t>Islam, Shikder Saiful/ABC-3688-2021</t>
  </si>
  <si>
    <t>Islam, Shikder Saiful/0000-0001-7134-6736; Bir, Joyanta/0000-0002-7106-7814</t>
  </si>
  <si>
    <t>Ministry of Education, Bangladesh</t>
  </si>
  <si>
    <t>The authors received funding from the Ministry of Education, Bangladesh.</t>
  </si>
  <si>
    <t>0967-6120</t>
  </si>
  <si>
    <t>1573-143X</t>
  </si>
  <si>
    <t>AQUACULT INT</t>
  </si>
  <si>
    <t>Aquac. Int.</t>
  </si>
  <si>
    <t>10.1007/s10499-020-00553-w</t>
  </si>
  <si>
    <t>MH8DW</t>
  </si>
  <si>
    <t>WOS:000529573600002</t>
  </si>
  <si>
    <t>Iles, DT; Lynch, H; Ji, RB; Barbraud, C; Delord, K; Jenouvrier, S</t>
  </si>
  <si>
    <t>Iles, David T.; Lynch, Heather; Ji, Rubao; Barbraud, Christophe; Delord, Karine; Jenouvrier, Stephanie</t>
  </si>
  <si>
    <t>Sea ice predicts long-term trends in Adelie penguin population growth, but not annual fluctuations: Results from a range-wide multiscale analysis</t>
  </si>
  <si>
    <t>Antarctica; environmental variation; habitat suitability; niche; predictability; state-space; stochastic; uncertainty</t>
  </si>
  <si>
    <t>LIFE-HISTORY; CLIMATE-CHANGE; ENVIRONMENTAL STOCHASTICITY; ANTARCTIC PENINSULA; ROSS SEA; DYNAMICS; RESPONSES; VARIABILITY; SENSITIVITY; PERSPECTIVE</t>
  </si>
  <si>
    <t>Understanding the scales at which environmental variability affects populations is critical for projecting population dynamics and species distributions in rapidly changing environments. Here we used a multilevel Bayesian analysis of range-wide survey data for Adelie penguins to characterize multidecadal and annual effects of sea ice on population growth. We found that mean sea ice concentration at breeding colonies (i.e., prevailing environmental conditions) had robust nonlinear effects on multidecadal population trends and explained over 85% of the variance in mean population growth rates among sites. In contrast, despite considerable year-to-year fluctuations in abundance at most breeding colonies, annual sea ice fluctuations often explained less than 10% of the temporal variance in population growth rates. Our study provides an understanding of the spatially and temporally dynamic environmental factors that define the range limits of Adelie penguins, further establishing this iconic marine predator as a true sea ice obligate and providing a firm basis for projection under scenarios of future climate change. Yet, given the weak effects of annual sea ice relative to the large unexplained variance in year-to-year growth rates, the ability to generate useful short-term forecasts of Adelie penguin breeding abundance will be extremely limited. Our approach provides a powerful framework for linking short- and longer term population processes to environmental conditions that can be applied to any species, facilitating a richer understanding of ecological predictability and sensitivity to global change.</t>
  </si>
  <si>
    <t>[Iles, David T.] Environm &amp; Climate Change Canada, Canadian Wildlife Serv, Ottawa, ON, Canada; [Iles, David T.; Ji, Rubao; Jenouvrier, Stephanie] Woods Hole Oceanog Inst, Dept Biol, Woods Hole, MA 02543 USA; [Lynch, Heather] SUNY Stony Brook, Stony Brook, NY 11794 USA; [Barbraud, Christophe; Delord, Karine] CNRS UMR 7372, Ctr Etud Biol Chize, Villiers En Bois, France</t>
  </si>
  <si>
    <t>Environment &amp; Climate Change Canada; Canadian Wildlife Service; Woods Hole Oceanographic Institution; State University of New York (SUNY) System; State University of New York (SUNY) Stony Brook; Centre National de la Recherche Scientifique (CNRS); CNRS - Institute of Ecology &amp; Environment (INEE)</t>
  </si>
  <si>
    <t>Iles, DT (corresponding author), Environm &amp; Climate Change Canada, Canadian Wildlife Serv, Ottawa, ON, Canada.</t>
  </si>
  <si>
    <t>david.thomas.iles@gmail.com</t>
  </si>
  <si>
    <t>Ji, Rubao/I-1970-2015; Barbraud, Christophe/A-5870-2012</t>
  </si>
  <si>
    <t>Barbraud, Christophe/0000-0003-0146-212X; jenouvrier, stephanie/0000-0003-3324-2383</t>
  </si>
  <si>
    <t>NSF [1341558]; Institut Polaire Francais Paul Emile Victor; BNP Paribas Foundation; CNRS; Office of Polar Programs (OPP); Directorate For Geosciences [1341558] Funding Source: National Science Foundation</t>
  </si>
  <si>
    <t>NSF(National Science Foundation (NSF)); Institut Polaire Francais Paul Emile Victor; BNP Paribas Foundation; CNRS(Centre National de la Recherche Scientifique (CNRS)); Office of Polar Programs (OPP); Directorate For Geosciences(National Science Foundation (NSF)NSF - Directorate for Geosciences (GEO))</t>
  </si>
  <si>
    <t>NSF, Grant/Award Number: 1341558; Institut Polaire Francais Paul Emile Victor; BNP Paribas Foundation; CNRS</t>
  </si>
  <si>
    <t>10.1111/gcb.15085</t>
  </si>
  <si>
    <t>LX7HQ</t>
  </si>
  <si>
    <t>WOS:000529149000001</t>
  </si>
  <si>
    <t>Velicogna, I; Mohajerani, Y; Geruo, A; Landerer, F; Mouginot, J; Noel, B; Rignot, E; Sutterley, T; van den Broeke, M; van Wessem, M; Wiese, D</t>
  </si>
  <si>
    <t>Velicogna, Isabella; Mohajerani, Yara; Geruo, A.; Landerer, Felix; Mouginot, Jeremie; Noel, Brice; Rignot, Eric; Sutterley, Tyler; van den Broeke, Michiel; Wessem, Melchior; Wiese, David</t>
  </si>
  <si>
    <t>Continuity of Ice Sheet Mass Loss in Greenland and Antarctica From the GRACE and GRACE Follow-On Missions</t>
  </si>
  <si>
    <t>Antarctica; Greenland; GRACE; mass balance; climate change; glaciology</t>
  </si>
  <si>
    <t>TIME-VARIABLE GRAVITY; SEA-LEVEL; RECONCILED ESTIMATE; EAST ANTARCTICA; MAUD-LAND; CLIMATE; BALANCE; MODEL; GLACIERS; SNOWFALL</t>
  </si>
  <si>
    <t>We examine data continuity between the Gravity Recovery and Climate Experiment (GRACE) and GRACE Follow-On (FO) missions over Greenland and Antarctica using independent data from the mass budget method, which calculates the difference between ice sheet surface mass balance and ice discharge at the periphery. For both ice sheets, we find consistent GRACE/GRACE-FO time series across the data gap, at the continental and regional scales, and the data gap is confidently filled with mass budget method data. In Greenland, the GRACE-FO data reveal an exceptional summer loss of 600 Gt in 2019 following two cold summers. In Antarctica, ongoing high mass losses in the Amundsen Sea Embayment of West Antarctica, the Antarctic Peninsula, and Wilkes Land in East Antarctica cumulate to 2130, 560, and 370 Gt, respectively, since 2002. A cumulative mass gain of 980 Gt in Queen Maud Land since 2009, however, led to a pause in the acceleration in mass loss from Antarctica after 2016.</t>
  </si>
  <si>
    <t>[Velicogna, Isabella; Mohajerani, Yara; Geruo, A.; Mouginot, Jeremie; Rignot, Eric] Univ Calif Irvine, Dept Earth Syst Sci, Irvine, CA 92697 USA; [Velicogna, Isabella; Landerer, Felix; Rignot, Eric; Wiese, David] Jet Prop Lab, Pasadena, CA 91109 USA; [Mouginot, Jeremie; van den Broeke, Michiel] Univ Grenoble Alpes, CNRS, IRD, Grenoble INP,IGE, Grenoble, France; [Noel, Brice; van den Broeke, Michiel; Wessem, Melchior] Univ Utrecht, Inst Marine &amp; Atmospher Res Utrecht, Utrecht, Netherlands; [Sutterley, Tyler] Univ Washington, Appl Phys Lab, Polar Sci Ctr, Seattle, WA 98105 USA</t>
  </si>
  <si>
    <t>University of California System; University of California Irvine; National Aeronautics &amp; Space Administration (NASA); NASA Jet Propulsion Laboratory (JPL); Institut de Recherche pour le Developpement (IRD); Centre National de la Recherche Scientifique (CNRS); Communaute Universite Grenoble Alpes; Institut National Polytechnique de Grenoble; Universite Grenoble Alpes (UGA); Utrecht University; University of Washington; University of Washington Seattle</t>
  </si>
  <si>
    <t>Velicogna, I (corresponding author), Univ Calif Irvine, Dept Earth Syst Sci, Irvine, CA 92697 USA.;Velicogna, I (corresponding author), Jet Prop Lab, Pasadena, CA 91109 USA.</t>
  </si>
  <si>
    <t>isabella@uci.edu</t>
  </si>
  <si>
    <t>A, Geruo/AAP-3565-2020; Landerer, Felix W/ABG-2849-2021; Van den Broeke, Michiel R./F-7867-2011; Mouginot, Jeremie/G-7045-2015; Rignot, Eric/A-4560-2014; Velicogna, Isabella/R-5561-2018; Sutterley, Tyler/Q-8325-2016</t>
  </si>
  <si>
    <t>A, Geruo/0000-0001-5714-402X; Landerer, Felix W/0000-0003-2678-095X; Van den Broeke, Michiel R./0000-0003-4662-7565; Mouginot, Jeremie/0000-0001-9155-5455; Rignot, Eric/0000-0002-3366-0481; Mohajerani, Yara/0000-0002-4292-2367; Velicogna, Isabella/0000-0002-9020-1898; Sutterley, Tyler/0000-0002-6964-1194</t>
  </si>
  <si>
    <t>APR 28</t>
  </si>
  <si>
    <t>e2020GL087291</t>
  </si>
  <si>
    <t>10.1029/2020GL087291</t>
  </si>
  <si>
    <t>LJ7HT</t>
  </si>
  <si>
    <t>WOS:000530332600014</t>
  </si>
  <si>
    <t>Lakkala, K; Aun, M; Sanchez, R; Bernhard, G; Asmi, E; Meinander, O; Nollas, F; Hülsen, G; Karppinen, T; Aaltonen, V; Arola, A; de Leeuw, G</t>
  </si>
  <si>
    <t>Lakkala, Kaisa; Aun, Margit; Sanchez, Ricardo; Bernhard, Germar; Asmi, Eija; Meinander, Outi; Nollas, Fernando; Huelsen, Gregor; Karppinen, Tomi; Aaltonen, Veijo; Arola, Antti; de Leeuw, Gerrit</t>
  </si>
  <si>
    <t>New continuous total ozone, UV, VIS and PAR measurements at Marambio, 64° S, Antarctica</t>
  </si>
  <si>
    <t>ULTRAVIOLET-RADIATION; TRACEABILITY; SODANKYLA; SURFACE</t>
  </si>
  <si>
    <t>A ground-based ultraviolet (GUV) multi-filter radiometer was set up at Marambio, 64 degrees S, 56 degrees W, Antarctica, in 2017. The instrument continuously measures ultraviolet (UV) radiation, visible (VIS) radiation and photosynthetically active radiation (PAR). The measurements are designed for providing high-quality long-term time series that can be used to assess the impact of global climate change in the Antarctic region. The quality assurance includes regular absolute calibrations and solar comparisons performed at Marambio and at Sodankyla, Finland. The measurements continue observations at Marambio that were performed with (Norwegian Institute for Air Re-search UV Radiometer (NILU-UV) radiometers between 2000 and 2010 as part of the Antarctic NILU-UV network. These measurements are ideally suited for assessing the effects of the ongoing stratospheric ozone recovery on the ecosystem, as the data products include information on radiation at various wavelengths ranging from UV to VIS so that changes on biologically effective radiation due to ozone can be separated from those due to other factors. Data products include total ozone, photosynthetically active radiation (PAR), visible (VIS) radiation at 555 nm, UV index, UV irradiance at 5 channels, UVB and UVA dose rate and daily dose, and biologically weighted UV dose rate and daily dose, calculated with 10 different action spectra. The data from the last 5 d and the daily maximum UV index time series are plotted and updated daily on the following web page: http://fmiarc.fmi.fi/sub_sites/GUVant/ (last access: 17 April 2020). The first 2 years of UV measurements were very different in terms of the results: for October, November and December the monthly average of daily maximum UVB dose rates were clearly higher in 2018 than in 2017. The largest difference was observed in October, when the average of daily maximum UVB dose rates was 76 and 102 mu Wcm(-2) in 2017 and 2018, respectively. Monthly averages of the 3 months were similar in 2018, while in 2017 the monthly average of October was lower than those of November and December. The VIS and PAR time series show that daily maxima in 2018-2019 exceed those in 2017-2018 during late spring and summer (mid-November-January). The studied dataset, including daily maximum irradiances at five UV channels and one VIS channel; daily maximum UVB, UVA, and PAR dose rates; noon UVB, UVA, and PAR dose rates; noon total column ozone; and UVB and UVA daily doses, is freely accessible at https://doi.org/10.5281/zenodo.3688700 (Lakkala et al., 2019).</t>
  </si>
  <si>
    <t>[Lakkala, Kaisa; Aun, Margit; Asmi, Eija; Meinander, Outi; Aaltonen, Veijo; Arola, Antti; de Leeuw, Gerrit] Finnish Meteorol Inst, Climate Res Programme, Helsinki, Finland; [Lakkala, Kaisa; Karppinen, Tomi] Finnish Meteorol Inst, Space &amp; Earth Observat Ctr, Sodankyla, Finland; [Aun, Margit] Univ Tartu, Dept Remote Sensing, Tartu Observ, Tartu, Estonia; [Sanchez, Ricardo; Asmi, Eija; Nollas, Fernando] Serv Meteorol Nacl, Buenos Aires, DF, Argentina; [Bernhard, Germar] Biospherical Instruments Inc, San Diego, CA USA; [Huelsen, Gregor] World Radiat Ctr, Physikalisc Meteorol Observatorium Davos, Davos, Switzerland</t>
  </si>
  <si>
    <t>Finnish Meteorological Institute; Finnish Meteorological Institute; University of Tartu; Tartu Observatory</t>
  </si>
  <si>
    <t>Lakkala, K (corresponding author), Finnish Meteorol Inst, Climate Res Programme, Helsinki, Finland.;Lakkala, K (corresponding author), Finnish Meteorol Inst, Space &amp; Earth Observat Ctr, Sodankyla, Finland.</t>
  </si>
  <si>
    <t>kaisa.lakkala@fmi.fi</t>
  </si>
  <si>
    <t>Aaltonen, Veijo/J-8814-2017; Aun, Margit/G-7695-2019; de Leeuw, Gerrit/AAI-3270-2020; Bernhard, Germar/AAZ-7169-2020; Arola, Antti/S-8917-2019; Meinander, Outi I/M-8589-2014; Lakkala, Kaisa/AAN-4342-2020</t>
  </si>
  <si>
    <t>Aun, Margit/0000-0002-7768-8929; de Leeuw, Gerrit/0000-0002-1649-6333; Bernhard, Germar/0000-0002-1264-0756; Arola, Antti/0000-0002-9220-0194; Lakkala, Kaisa/0000-0003-2840-1132; Asmi, Eija/0000-0002-9226-2360; Karppinen, Tomi/0000-0001-6570-1615; Meinander, Outi/0000-0001-6608-3951; Nollas, Fernando/0000-0002-8394-5717</t>
  </si>
  <si>
    <t>Nordic Center of Excellence CRAICC; Academy of Finland Center of Excellence program [272041]; Ministry for Foreign Affairs of Finland IBA project [PC0TQ4BT-25]; EU Interact BLACK project (H2020 grant) [730938]; Academy of Finland NABCEA project [296302]; Academy of Finland (AKA) [296302] Funding Source: Academy of Finland (AKA)</t>
  </si>
  <si>
    <t>Nordic Center of Excellence CRAICC; Academy of Finland Center of Excellence program(Research Council of Finland); Ministry for Foreign Affairs of Finland IBA project; EU Interact BLACK project (H2020 grant); Academy of Finland NABCEA project; Academy of Finland (AKA)(Research Council of Finland)</t>
  </si>
  <si>
    <t>We thank the operators of the GUV radiometers at Marambio. The operators of the Finnish Brewers in Sodankyla are acknowledged for the daily operation and quality control of the measurements. Edith Rodriguez is acknowledged for help with logistics. Hanne Suokanerva and Riika Ylitalo are acknowledged for data dissemination. Outi Meinander was supported by the Nordic Center of Excellence CRAICC, Academy of Finland Center of Excellence program (project no. 272041), Ministry for Foreign Affairs of Finland IBA project (no. PC0TQ4BT-25), EU Interact BLACK project (H2020 grant agreement no. 730938) and the Academy of Finland NABCEA project (no. 296302).</t>
  </si>
  <si>
    <t>10.5194/essd-12-947-2020</t>
  </si>
  <si>
    <t>LI3RN</t>
  </si>
  <si>
    <t>WOS:000529403500001</t>
  </si>
  <si>
    <t>Ji, XW; Abakumov, E; Tomashunas, V; Polyakov, V; Kouzov, S</t>
  </si>
  <si>
    <t>Ji, Xiaowen; Abakumov, Evgeny; Tomashunas, Vitaly; Polyakov, Vyacheslav; Kouzov, Sergey</t>
  </si>
  <si>
    <t>Geochemical pollution of trace metals in permafrost-affected soil in the Russian Arctic marginal environment</t>
  </si>
  <si>
    <t>ENVIRONMENTAL GEOCHEMISTRY AND HEALTH</t>
  </si>
  <si>
    <t>Trace metals; Soil pollution; Arctic; Permafrost; Ecological risk</t>
  </si>
  <si>
    <t>HEAVY-METALS; KOLA-PENINSULA; THERMAL STATE; ORGANIC-MATTER; CLIMATE-CHANGE; 0-5 CM; CONTAMINATION; CATCHMENTS; SEDIMENTS; ELEMENTS</t>
  </si>
  <si>
    <t>The Arctic marginal environment has been considered as far from industrial areas and low population. During June-July of 2016 Russian High Latitude expedition, 93 samples of soil genetic horizon from 25 soil profiles dug till frozen ground were sampled from 8 islands and 2 capes of the Russian Arctic without direct anthropogenic influences. Nine trace metals (Pb, Cd, Cu, Ni, Co, Zn, Fe, Mn and Hg) were measured and quantified by energy-dispersive X-ray analysis for elemental concentrations. Through analysis of divided soil groups (Haplothels, Turbels, Historthels), the factors of organic matter and cryoturbation had a significant influence on metals' distribution except for Fe and Mn. From summarized soil master horizons (O, A, B, C), Fe and Mn are abundant in all horizons suggesting as geochemical background values. Cu, Pb, Co and Ni are distributed specifically in different horizons with leaching and accumulation process, whereas Hg is evenly disturbed in all horizons. The correlation analysis reveals that distribution of most metals in present soils is highly depended on soil properties (pH, TOC, clay and silt). Li was selected as normalizing element for metals' concentrations from mineral layers to establish geochemical baseline concentrations. The concentrations of trace metals have been assessed by geoaccumulation index (I-geo) and enrichment factor, showing only Co and Zn are moderately polluted and slightly polluted, and Co, Cu, Zn and Pb are enriched in topsoil. Other indices as modified degree of contamination (mC(degree)) and pollution load index (PLI), mC(degree) show moderate degree of pollution and PLI shows unpolluted to moderate pollution load. The ecological risk indices, e.g., ecological risk factor (E-r) and potential ecological risk index, show low ecological risk potential.</t>
  </si>
  <si>
    <t>[Ji, Xiaowen; Abakumov, Evgeny; Tomashunas, Vitaly; Polyakov, Vyacheslav; Kouzov, Sergey] St Petersburg State Univ, Dept Appl Ecol, 16 Line,29 Vasilyevskiy Isl, St Petersburg 199178, Russia; [Polyakov, Vyacheslav] Arctic &amp; Antarctic Res Inst, St Petersburg 199397, Russia; [Polyakov, Vyacheslav] St Petersburg State Agr Univ, Dept Soil Sci &amp; Agrochem, St Petersburg 199397, Russia</t>
  </si>
  <si>
    <t>Saint Petersburg State University; Arctic &amp; Antarctic Research Institute</t>
  </si>
  <si>
    <t>Ji, XW (corresponding author), St Petersburg State Univ, Dept Appl Ecol, 16 Line,29 Vasilyevskiy Isl, St Petersburg 199178, Russia.</t>
  </si>
  <si>
    <t>jixiaowen4321@qq.com</t>
  </si>
  <si>
    <t>Abakumov, e_abakumov@mail.ru/ADJ-1297-2022; Abakumov, Evgeny/AAO-8580-2020; Kouzov, Sergey/H-7984-2016; Polyakov, Vyacheslav/H-5483-2016</t>
  </si>
  <si>
    <t>Abakumov, e_abakumov@mail.ru/0000-0002-5248-9018; Abakumov, Evgeny/0000-0002-5248-9018; Kouzov, Sergey/0000-0001-5261-087X; Polyakov, Vyacheslav/0000-0001-6171-3221; Ji, Xiaowen/0000-0002-0507-7520</t>
  </si>
  <si>
    <t>Russian Foundation for Basic research [18-44-890003, 19-416-890002, 19-05-50107]; Grant of Saint Petersburg State University Urbanized ecosystems of the Russian Arctic: dynamics; state and sustainable development [39377455]</t>
  </si>
  <si>
    <t>Russian Foundation for Basic research(Russian Foundation for Basic Research (RFBR)Spanish Government); Grant of Saint Petersburg State University Urbanized ecosystems of the Russian Arctic: dynamics; state and sustainable development</t>
  </si>
  <si>
    <t>This work was supported by Grant of Russian Foundation for Basic research (18-44-890003, 19-416-890002, and 19-05-50107) and by a Grant of Saint Petersburg State University Urbanized ecosystems of the Russian Arctic: dynamics; state and sustainable development (Grant No. 39377455). The authors are grateful to Dr. Julia Antcibor from Institute of Soil Science, University of Hamburg, for her assistance in laboratory. We would like to thank Miss Yu Su from the School of Visual Arts at BFA Computer Art for helping with data visualization and Miss Kuznetsova Ekaterina from School of Journalism and Communication, Tsinghua University, for helping with the Russian translation. We are very grateful to two anonymous reviewers for carefully pointing out the mistakes and giving good suggestions for revision of our manuscript.</t>
  </si>
  <si>
    <t>0269-4042</t>
  </si>
  <si>
    <t>1573-2983</t>
  </si>
  <si>
    <t>ENVIRON GEOCHEM HLTH</t>
  </si>
  <si>
    <t>Environ. Geochem. Health</t>
  </si>
  <si>
    <t>10.1007/s10653-020-00587-2</t>
  </si>
  <si>
    <t>Engineering, Environmental; Environmental Sciences; Public, Environmental &amp; Occupational Health; Water Resources</t>
  </si>
  <si>
    <t>Engineering; Environmental Sciences &amp; Ecology; Public, Environmental &amp; Occupational Health; Water Resources</t>
  </si>
  <si>
    <t>PC2EU</t>
  </si>
  <si>
    <t>WOS:000529473600001</t>
  </si>
  <si>
    <t>Li, J; Gu, XQ; Gui, YY</t>
  </si>
  <si>
    <t>Li, Jiang; Gu, Xiaoqian; Gui, Yuanyuan</t>
  </si>
  <si>
    <t>Prokaryotic Diversity and Composition of Sediments From Prydz Bay, the Antarctic Peninsula Region, and the Ross Sea, Southern Ocean</t>
  </si>
  <si>
    <t>prokaryotic diversity; 16S rRNA gene; geophysicochemical factors; high-throughput sequencing (HTS); the Southern Ocean</t>
  </si>
  <si>
    <t>BACTERIAL DIVERSITY; MICROBIAL COMMUNITY; SP-NOV; METAGENOMIC ASSESSMENT; SURFACE SEDIMENTS; GEN. NOV.; BIOGEOGRAPHY; PATTERNS; ECOLOGY; BACTERIOPLANKTON</t>
  </si>
  <si>
    <t>The V3-V4 hypervariable regions of the 16S ribosomal RNA gene were analyzed to assess prokaryotic diversity and community compositions within 19 surface sediment samples collected from three different regions (depth: 250-3,548 m) of Prydz Bay, the Antarctic Peninsula region, and the Ross Sea. In our results, we characterized 1,079,709 clean tag sequences representing 43,227 operational taxonomic units (OTUs, 97% similarity). The prokaryotic community distribution exhibited obvious geographical differences, and the sequences formed three distinct clusters according to the samples' origins. In general, the biodiversity of Prydz Bay was higher than those of the Antarctic Peninsula region and the Ross Sea, and there were similar prokaryotic communities in different geographic locations. The most dominant clades in the prokaryotic communities were Proteobacteria, Bacteroidetes, Thaumarchaeota, Oxyphotobacteria, Deinococcus-Thermus, Firmicutes, Acidobacteria, Fusobacteria, and Planctomycetes, but unique prokaryotic community compositions were found in each of the sampling regions. Our results also demonstrated that the prokaryotic diversity and community distribution were mainly influenced by geographical and physicochemical factors, such as Zn, V, Na, K, water depth, and especially geographical distance (longitude variation of sample location) and Ba ion content. Moreover, geochemical factors such as nutrient contents (TC, P, and Ca) also played important roles in prokaryotic diversity and community distribution. This represents the first report that Ba ion content has an obvious effect on prokaryotic diversity and community distribution in Southern Ocean sediments.</t>
  </si>
  <si>
    <t>[Li, Jiang; Gu, Xiaoqian] Minist Nat Resources, Inst Oceanog 1, Marine Bioresource &amp; Environm Res Ctr, Qingdao, Peoples R China; [Li, Jiang; Gu, Xiaoqian] Minist Nat Resources, Inst Oceanog 1, Minist Nat Resources MNR Key Lab Sci &amp; Technol Ma, Qingdao, Peoples R China; [Gui, Yuanyuan] Qingdao Univ, Coll Environm Sci &amp; Engn, Qingdao, Peoples R China</t>
  </si>
  <si>
    <t>First Institute of Oceanography, Ministry of Natural Resources; Ministry of Natural Resources of the People's Republic of China; First Institute of Oceanography, Ministry of Natural Resources; Ministry of Natural Resources of the People's Republic of China; Qingdao University</t>
  </si>
  <si>
    <t>Li, J (corresponding author), Minist Nat Resources, Inst Oceanog 1, Marine Bioresource &amp; Environm Res Ctr, Qingdao, Peoples R China.;Li, J (corresponding author), Minist Nat Resources, Inst Oceanog 1, Minist Nat Resources MNR Key Lab Sci &amp; Technol Ma, Qingdao, Peoples R China.</t>
  </si>
  <si>
    <t>lijiang@fio.org.cn</t>
  </si>
  <si>
    <t>Pan, Yue/KFS-4602-2024; , lijiang/AAD-4033-2021</t>
  </si>
  <si>
    <t>Key Research and Development Project of China [2018YFC1406704]; Microbiological investigation of surface sediments from Antarctic important Sea regions [JD0120002]; Chinese Polar Environment Comprehensive Investigation &amp; Assessment Programs [CHINRE2017-01-05]</t>
  </si>
  <si>
    <t>Key Research and Development Project of China; Microbiological investigation of surface sediments from Antarctic important Sea regions; Chinese Polar Environment Comprehensive Investigation &amp; Assessment Programs</t>
  </si>
  <si>
    <t>This work was supported financially by the Key Research and Development Project of China (2018YFC1406704), Microbiological investigation of surface sediments from Antarctic important Sea regions (JD0120002) and by the Chinese Polar Environment Comprehensive Investigation &amp; Assessment Programs (CHINRE2017-01-05).</t>
  </si>
  <si>
    <t>10.3389/fmicb.2020.00783</t>
  </si>
  <si>
    <t>LO1IJ</t>
  </si>
  <si>
    <t>WOS:000533381500001</t>
  </si>
  <si>
    <t>Wei, W; Blankenship, DD; Greenbaum, JS; Gourmelen, N; Dow, CF; Richter, TG; Greene, CA; Young, DA; Lee, S; Kim, TW; Lee, WS; Assmann, KM</t>
  </si>
  <si>
    <t>Wei, Wei; Blankenship, Donald D.; Greenbaum, Jamin S.; Gourmelen, Noel; Dow, Christine F.; Richter, Thomas G.; Greene, Chad A.; Young, Duncan A.; Lee, SangHoon; Kim, Tae-Wan; Lee, Won Sang; Assmann, Karen M.</t>
  </si>
  <si>
    <t>Getz Ice Shelf melt enhanced by freshwater discharge from beneath the West Antarctic Ice Sheet</t>
  </si>
  <si>
    <t>AMUNDSEN SEA EMBAYMENT; ICEBRIDGE GRAVITY; BATHYMETRY; GLACIER; SURFACE; MODEL; THICKNESS; MELTWATER; SEDIMENT; DRAINAGE</t>
  </si>
  <si>
    <t>Antarctica's Getz Ice Shelf has been rapidly thinning in recent years, producing more meltwater than any other ice shelf in the world. The influx of fresh water is known to substantially influence ocean circulation and biological productivity, but relatively little is known about the factors controlling basal melt rate or how basal melt is spatially distributed beneath the ice shelf. Also unknown is the relative importance of subglacial discharge from the grounded ice sheet in contributing to the export of fresh water from the ice shelf cavity. Here we compare the observed spatial distribution of basal melt rate to a new sub-ice-shelf bathymetry map inferred from airborne gravity surveys and to locations of subglacial discharge from the grounded ice sheet. We find that melt rates are high where bathymetric troughs provide a pathway for warm Circumpolar Deep Water to enter the ice shelf cavity and that melting is enhanced where subglacial discharge fresh water flows across the grounding line. This is the first study to address the relative importance of meltwater production of the Getz Ice Shelf from both ocean and subglacial sources.</t>
  </si>
  <si>
    <t>[Wei, Wei; Blankenship, Donald D.; Greenbaum, Jamin S.; Richter, Thomas G.; Young, Duncan A.] Univ Texas Austin, Inst Geophys, Austin, TX 78712 USA; [Wei, Wei; Blankenship, Donald D.; Greenbaum, Jamin S.; Richter, Thomas G.; Young, Duncan A.] Univ Texas Austin, Jackson Sch Geosci, Dept Geol Sci, Austin, TX 78712 USA; [Gourmelen, Noel] Univ Edinburgh, Sch GeoSci, Edinburgh, Midlothian, Scotland; [Dow, Christine F.] Univ Waterloo, Dept Geog &amp; Environm Management, Waterloo, ON, Canada; [Greene, Chad A.] CALTECH, Jet Prop Lab, Pasadena, CA USA; [Lee, SangHoon; Kim, Tae-Wan; Lee, Won Sang] Korea Polar Res Inst, Incheon, South Korea; [Assmann, Karen M.] Univ Gothenburg, Dept Earth Sci, Gothenburg, Sweden; [Assmann, Karen M.] Inst Marine Res, Tromso, Norway</t>
  </si>
  <si>
    <t>University of Texas System; University of Texas Austin; University of Texas System; University of Texas Austin; University of Edinburgh; University of Waterloo; California Institute of Technology; National Aeronautics &amp; Space Administration (NASA); NASA Jet Propulsion Laboratory (JPL); Korea Polar Research Institute (KOPRI); University of Gothenburg; Institute of Marine Research - Norway</t>
  </si>
  <si>
    <t>Wei, W (corresponding author), Univ Texas Austin, Inst Geophys, Austin, TX 78712 USA.;Wei, W (corresponding author), Univ Texas Austin, Jackson Sch Geosci, Dept Geol Sci, Austin, TX 78712 USA.</t>
  </si>
  <si>
    <t>wwei@utexas.edu</t>
  </si>
  <si>
    <t>Kim, Tae-Wan/JGM-9981-2023; Greene, Chad/HTQ-9931-2023; Blankenship, Donald D./G-5935-2010; Young, Duncan/G-6256-2010</t>
  </si>
  <si>
    <t>Kim, Tae-Wan/0000-0001-5257-7256; Greene, Chad/0000-0001-6710-6297; Young, Duncan/0000-0002-6866-8176; Wei, Wei/0000-0002-0093-2727; Greenbaum, Jamin Stevens/0000-0002-0745-7113</t>
  </si>
  <si>
    <t>National Science Foundation [PLR-1543452]; G. Unger Vetlesen Foundation</t>
  </si>
  <si>
    <t>National Science Foundation(National Science Foundation (NSF)); G. Unger Vetlesen Foundation</t>
  </si>
  <si>
    <t>This research has been supported by the National Science Foundation (grant no. PLR-1543452) and the G. Unger Vetlesen Foundation.</t>
  </si>
  <si>
    <t>APR 27</t>
  </si>
  <si>
    <t>10.5194/tc-14-1399-2020</t>
  </si>
  <si>
    <t>LI3PC</t>
  </si>
  <si>
    <t>WOS:000529396600001</t>
  </si>
  <si>
    <t>Laluraj, CM; Rahaman, W; Thamban, M; Srivastava, R</t>
  </si>
  <si>
    <t>Laluraj, C. M.; Rahaman, Waliur; Thamban, Meloth; Srivastava, Rohit</t>
  </si>
  <si>
    <t>Enhanced Dust Influx to South Atlantic Sector of Antarctica During the Late-20th Century: Causes and Contribution to Radiative Forcing</t>
  </si>
  <si>
    <t>dust record; Dronning Maud Land; aerosol radiative forcing; 20th century Antarctic climate</t>
  </si>
  <si>
    <t>LONG-RANGE TRANSPORT; DRONNING MAUD LAND; EAST ANTARCTICA; ICE CORE; SIZE DISTRIBUTION; MINERAL DUST; PATAGONIA DESERT; MULTIPLE SOURCES; VICTORIA LAND; AEOLIAN DUST</t>
  </si>
  <si>
    <t>Atmospheric dust influences global climate and ocean biogeochemistry. Here we present a high-resolution ice core dust record (1905-2005 CE) from coastal Dronning Maud Land (71 degrees 20 ' S, 11 degrees 35 ' E), East Antarctica, to understand dust flux variability, its causes, and potential contribution to radiative forcing during the 20th century in the South Atlantic sector of East Antarctica (SASA). The dust flux profile (sum of 1-25 mu m size fractions) reveals three stepwise increase during 1905-1929, 1930-1979, and 1980-2005 CE time with an average of 0.83, 4.7, and 12.88 mg center dot m(-2)center dot year(-1), respectively. Our investigation for such dramatic dust flux increase reveals that the increased aridity and favorable wind conditions over Southern South America (SSA), a potential dust source to Antarctica, caused increase in dust production and transport during the late 20th century. The dust flux variability in Southern Hemisphere is concomitant with in-phase relationship between El-Nino Southern Oscillation and Pacific Decadal Oscillations, which influenced the spatial distribution of global wet-dry phase (precipitation pattern). Further, shifting of Southern Annular Mode to positive phase made wind conditions more conducive for long-range dust transport from SSA to coastal Dronning Maud Land region. To the best of our knowledge, this is the first report of past radiative forcing estimates for Antarctica using ice core dust record into a radiative transfer model. Our estimates of radiative forcing corresponding to the enhanced dust flux yield nearly 30% increase in aerosol forcing during the late 20th century. This has resulted 40% decrease in atmospheric cooling rate, which contributed to net atmospheric warming over SASA.</t>
  </si>
  <si>
    <t>[Laluraj, C. M.; Rahaman, Waliur; Thamban, Meloth; Srivastava, Rohit] Natl Ctr Polar &amp; Ocean Res, Vasco Da Gama, India</t>
  </si>
  <si>
    <t>Laluraj, CM (corresponding author), Natl Ctr Polar &amp; Ocean Res, Vasco Da Gama, India.</t>
  </si>
  <si>
    <t>lalucm@ncpor.res.in</t>
  </si>
  <si>
    <t>; Srivastava, Rohit/N-4164-2013</t>
  </si>
  <si>
    <t>Rahaman, Waliur/0000-0001-6439-4529; Thamban, Meloth/0000-0003-3379-8189; Srivastava, Rohit/0000-0002-1552-9156; , Dr Laluraj C M/0000-0001-6826-0608</t>
  </si>
  <si>
    <t>Ministry of Earth Sciences (Government of India)</t>
  </si>
  <si>
    <t>Ministry of Earth Sciences (Government of India)(Ministry of Earth Science (MoES), Government of India)</t>
  </si>
  <si>
    <t>We thank the Director of National Centre for Polar and Ocean Research for encouragement and the Ministry of Earth Sciences (Government of India) for the financial support vide the project Cryosphere and Climate. We are grateful to A. Rajakumar (Indian Institutes of Technology, Kharagpur) and Arun Chaturvedi (Geological Survey of India) for their field efforts and B. L. Redkar and Ashish Paiguinkar for their support in the laboratory analysis. Special thanks to Joseph R McConnell (Desert Research Institute, USA) for valuable sharing the dust flux data from James Ross Island ice core. We sincerely thank John Turner (British Antarctic Survey, UK) for valuable suggestions to improve the quality of manuscript. We gratefully acknowledge the NOAA Air Resources Laboratory (ARL) for the provision of the HYSPLIT transport and dispersion model used in this publication. This is NCPOR contribution No. J-72/2019-20.</t>
  </si>
  <si>
    <t>e2019JD030675</t>
  </si>
  <si>
    <t>10.1029/2019JD030675</t>
  </si>
  <si>
    <t>LJ2NB</t>
  </si>
  <si>
    <t>WOS:000530005500008</t>
  </si>
  <si>
    <t>Beraki, AF; Morioka, Y; Engelbrecht, FA; Nonaka, M; Thatcher, M; Kobo, N; Behera, S</t>
  </si>
  <si>
    <t>Beraki, Asmerom F.; Morioka, Yushi; Engelbrecht, Francois A.; Nonaka, Masami; Thatcher, Marcus; Kobo, Nomkwezane; Behera, Swadhin</t>
  </si>
  <si>
    <t>Examining the impact of multiple climate forcings on simulated Southern Hemisphere climate variability</t>
  </si>
  <si>
    <t>Dipole-like sea-ice pattern; Coupled interaction; Feedback mechanism; ESM; Model sensitivity; SAM</t>
  </si>
  <si>
    <t>ANTARCTIC SEA-ICE; ANNULAR MODE; MANN-KENDALL; OCEAN; TRENDS; AMUNDSEN; OSCILLATION; CIRCULATION; ATMOSPHERE; TELECONNECTION</t>
  </si>
  <si>
    <t>The study examines the influence of external climate forcings, and atmosphere-ocean-sea-ice coupled interaction on the Southern Hemisphere (SH) atmospheric circulation variability. We analysed observed and simulated changes in view of Antarctic sea-ice and Southern Ocean surface temperature trends over recent decades. The experiment embraces both idealised and comprehensive methods that involves an Earth System Model (ESM) prototype. The sensitivity experiment is conducted in a manner that decomposes the signatures of sea-ice, sea surface temperature and feedback mechanisms. The results reveal that the Southern Annular Mode (SAM) multidecadal variability is found to be modulated by coupled interactions whereas its sub-seasonal to interannual vacillation seems to follow a random trajectory. The latter may strengthen the notion that its predictability is limited even with the use of ESMs. Most of the atmospheric circulation variability and recent changes may be explained by the ocean thermal forcing and coupled interactions. However, the influence of sea-ice forcing alone is largely indistinguishable and predominantly localised in nature. The result also confirms that the Antarctic dipole-like sea-ice pattern, a leading climate mode in the SH, has intensified in the last three decades irrespective of season. The probable indication is that processes within the Southern Ocean may play a key role, which deserves further investigation.</t>
  </si>
  <si>
    <t>[Beraki, Asmerom F.; Kobo, Nomkwezane] CSIR Smart Places, Holist Climate Change Impact, Pretoria, South Africa; [Beraki, Asmerom F.] Univ Pretoria, Dept Geog Geoinformat &amp; Meteorol, Pretoria, South Africa; [Engelbrecht, Francois A.] Univ Witwatersrand, Global Change Inst, Johannesburg, South Africa; [Morioka, Yushi; Nonaka, Masami; Behera, Swadhin] JAMSTEC, Applicat Lab, Yokohama, Kanagawa, Japan; [Thatcher, Marcus] CSIRO Marine &amp; Atmospher Res, Aspendale, Vic, Australia</t>
  </si>
  <si>
    <t>University of Pretoria; University of Witwatersrand; Japan Agency for Marine-Earth Science &amp; Technology (JAMSTEC); Commonwealth Scientific &amp; Industrial Research Organisation (CSIRO)</t>
  </si>
  <si>
    <t>Beraki, AF (corresponding author), CSIR Smart Places, Holist Climate Change Impact, Pretoria, South Africa.;Beraki, AF (corresponding author), Univ Pretoria, Dept Geog Geoinformat &amp; Meteorol, Pretoria, South Africa.</t>
  </si>
  <si>
    <t>asmiefb@gmail.com</t>
  </si>
  <si>
    <t>Morioka, Yushi/G-3431-2014; Nonaka, Masami/G-3417-2014; Behera, Swadhin K./B-7839-2009; Thatcher, Marcus/G-4010-2011</t>
  </si>
  <si>
    <t>Morioka, Yushi/0000-0002-2709-4911; Behera, Swadhin K./0000-0001-8692-2388; Beraki, Asmerom Fissehatsion/0000-0003-0979-9114; Thatcher, Marcus/0000-0003-4139-5515</t>
  </si>
  <si>
    <t>National Research foundation (NRF) through the Alliance for Collaboration on Climate &amp; Earth Systems Science (ACCESS) [114689]; iDEWS project under Japan Science and Technology Agency/Japan Agency for Medical Research and Development through the Science and Technology Research Partnership for Sustainable Development (SATREPS); ACCESS in South Africa</t>
  </si>
  <si>
    <t>National Research foundation (NRF) through the Alliance for Collaboration on Climate &amp; Earth Systems Science (ACCESS); iDEWS project under Japan Science and Technology Agency/Japan Agency for Medical Research and Development through the Science and Technology Research Partnership for Sustainable Development (SATREPS); ACCESS in South Africa</t>
  </si>
  <si>
    <t>The authors are thankful to the Centre for High Performance Computing (CHPC) for providing computational facility. The work is supported by the National Research foundation (NRF, Grant No: 114689) through the Alliance for Collaboration on Climate &amp; Earth Systems Science (ACCESS). We also acknowledge the iDEWS project, which supported the study under the auspices of the Japan Science and Technology Agency/Japan Agency for Medical Research and Development through the Science and Technology Research Partnership for Sustainable Development (SATREPS), and the ACCESS in South Africa. The authors also wish to thank the anonymous reviews for their valuable comments. Mostly, NCAR Command Language (NCL) was used for analysis and plotting (https://www.ncl.ucar.edu).</t>
  </si>
  <si>
    <t>11-12</t>
  </si>
  <si>
    <t>10.1007/s00382-020-05253-y</t>
  </si>
  <si>
    <t>LS3UC</t>
  </si>
  <si>
    <t>WOS:000529130800002</t>
  </si>
  <si>
    <t>Projected shifts in the foraging habitat of crabeater seals along the Antarctic Peninsula</t>
  </si>
  <si>
    <t>KRILL EUPHAUSIA-SUPERBA; SOUTHERN ANNULAR MODE; CLIMATE-CHANGE; WEDDELL SEA; WEST; ICE; VARIABILITY; ECOSYSTEMS; MOVEMENT; TRANSPORT</t>
  </si>
  <si>
    <t>Crabeater seals exhibit extreme dietary specialization, feeding almost exclusively on Antarctic krill. This specialization has inextricably linked habitat use, life history and evolution of this pinniped species to the distribution of its prey. Therefore, the foraging habitat of crabeater seals can be used to infer the distribution of Antarctic krill. Here, we combined seal movements and diving behaviour with environmental variables to build a foraging habitat model for crabeater seals for the rapidly changing western Antarctic Peninsula (WAP). Our projections show that future crabeater seal foraging habitat and, by inference, krill distribution will expand towards offshore waters and the southern WAP in response to changes in circulation, water temperature and sea ice distribution. Antarctic krill biomass is projected to be negatively affected by the environmental changes, which are anticipated to manifest as a decrease in krill densities in coastal waters, with impacts on the land-/ice-based krill predator community, particularly in the northern WAP. Crabeater seals feed predominantly on Antarctic krill. Combining seal tracks and diving behaviour with environmental variables allows the future foraging habitat, and therefore krill distribution, to be predicted, suggesting a shift offshore and south along the western Antarctic Peninsula.</t>
  </si>
  <si>
    <t>[Huckstadt, Luis A.; Costa, Daniel P.] Univ Calif Santa Cruz, Dept Ecol &amp; Evolutionary Biol, Santa Cruz, CA 95064 USA; [Pinones, Andrea] Univ Austral Chile, Inst Ciencias Marinas &amp; Limnol, Valdivia, Chile; [Pinones, Andrea] Univ Austral Chile, Ctr FONDAP Invest Dinam Ecosistemas Marinos, Valdivia, Chile; [Palacios, Daniel M.] Oregon State Univ, Hatfield Marine Sci Ctr, Marine Mammal Inst, Newport, OR USA; [Palacios, Daniel M.] Oregon State Univ, Dept Fisheries &amp; Wildlife, Newport, OR USA; [McDonald, Birgitte I.] San Jose State Univ, Moss Landing Marine Labs, Moss Landing, CA USA; [Dinniman, Michael S.; Hofmann, Eileen E.] Old Dominion Univ, Ctr Coastal Phys Oceanog, Norfolk, VA USA; [Burns, Jennifer M.] Univ Alaska Anchorage, Dept Biol Sci, Anchorage, AK USA; [Crocker, Daniel E.] Sonoma State Univ, Dept Biol, Rohnert Pk, CA 94928 USA</t>
  </si>
  <si>
    <t>University of California System; University of California Santa Cruz; Universidad Austral de Chile; Universidad Austral de Chile; Oregon State University; Oregon State University; California State University System; San Jose State University; Moss Landing Marine Laboratories; Old Dominion University; University of Alaska System; University of Alaska Anchorage; California State University System; Sonoma State University</t>
  </si>
  <si>
    <t>Hückstädt, LA (corresponding author), Univ Calif Santa Cruz, Dept Ecol &amp; Evolutionary Biol, Santa Cruz, CA 95064 USA.</t>
  </si>
  <si>
    <t>Palacios, Daniel M./B-9180-2008; Burns, Jennifer M/C-4159-2013; Huckstadt, Luis/JNR-7637-2023; McDonald, Birgitte I/I-3602-2019; Huckstadt, Luis A./J-8532-2019</t>
  </si>
  <si>
    <t>Palacios, Daniel M./0000-0001-7069-7913; McDonald, Birgitte I/0000-0001-5028-066X; Huckstadt, Luis A./0000-0002-2453-7350; Dinniman, Michael/0000-0001-7519-9278; Burns, Jennifer/0000-0001-9652-2943; Pinones, Andrea/0000-0002-1737-9016</t>
  </si>
  <si>
    <t>CONICYT-Fulbright (Chile); National Science Foundation Office of Polar Programs [ANT-0110687, 0840375, 0533332, 0838937]; National Undersea Research Program; National Oceanographic Partnership through the Office of Naval Research; EAMP;P Sound and Marine Life Industry Project of the IAGOP [JIP 00 07-23]; CONICYT-PAI [79160077]; FONDAP [15150003]; Office of Polar Programs (OPP); Directorate For Geosciences [0840375] Funding Source: National Science Foundation</t>
  </si>
  <si>
    <t>CONICYT-Fulbright (Chile); National Science Foundation Office of Polar Programs(National Science Foundation (NSF)NSF - Directorate for Geosciences (GEO)); National Undersea Research Program; National Oceanographic Partnership through the Office of Naval Research(Office of Naval Research); EAMP;P Sound and Marine Life Industry Project of the IAGOP; CONICYT-PAI; FONDAP; Office of Polar Programs (OPP); Directorate For Geosciences(National Science Foundation (NSF)NSF - Directorate for Geosciences (GEO))</t>
  </si>
  <si>
    <t>We thank the National Science Foundation, United States Antarctic Program, Palmer Station, RV Laurence M. Gould crew and AGUNSA Chile for logistics support. Many people assisted with the fieldwork, particularly M. Hindell, N. Gales, A. Friedlaender, C. Kuhn, T. Goldstein, D. Shuman, M. Fedak, M. Goebel, P. Robinson, S. Villegas-Amtmann and S. Simmons. Animal handling was authorized by the University of California, Santa Cruz Institutional Animal Care and Use Committee and conducted under National Marine Fisheries Service permits 87-1593 and 87-1851-00. This study was part of LAH Doctoral studies, funded by CONICYT-Fulbright (Chile). The fieldwork was funded under National Science Foundation Office of Polar Programs grants ANT-0110687, 0840375, 0533332 and 0838937, the National Undersea Research Program and the National Oceanographic Partnership through the Office of Naval Research. L.A.H. was funded under JIP 00 07-23 from the E&amp;P Sound and Marine Life Industry Project of the IAGOP. A.P. thanks CONICYT-PAI 79160077 and FONDAP 15150003.</t>
  </si>
  <si>
    <t>10.1038/s41558-020-0745-9</t>
  </si>
  <si>
    <t>LK7LJ</t>
  </si>
  <si>
    <t>WOS:000528994000001</t>
  </si>
  <si>
    <t>Bond, AL; McClelland, GTW; Cuthbert, RJ; Glass, T; Repetto, J; Ryan, PG</t>
  </si>
  <si>
    <t>Bond, Alexander L.; McClelland, Gregory T. W.; Cuthbert, Richard J.; Glass, Trevor; Repetto, Julian; Ryan, Peter G.</t>
  </si>
  <si>
    <t>No change in Atlantic Yellow-nosed Albatross (Thalassarche chlororhynchos) egg size over 160 years</t>
  </si>
  <si>
    <t>EMU-AUSTRAL ORNITHOLOGY</t>
  </si>
  <si>
    <t>Albatross; egg size; life-history; maternal investment; Tristan da Cunha</t>
  </si>
  <si>
    <t>PELAGIC LONGLINE FISHERY; POPULATION TRENDS; CLIMATE-CHANGE; REPRODUCTIVE SUCCESS; FRATERCULA-ARCTICA; MEASUREMENT ERROR; PARENTAL QUALITY; BREEDING SUCCESS; SEABIRD BYCATCH; BODY-SIZE</t>
  </si>
  <si>
    <t>Biotic and abiotic conditions in the world's oceans have changed considerably in the last two centuries as a result of anthropogenic factors, including whaling, sealing, fishing, and climate change. For species that have limited variation in life-history traits, life-history characteristics may impede the ability to adapt to changing environmental conditions. Albatrosses are one such group, where breeding investment is limited to a single egg every one or two years. At a coarse level, individuals may decide whether to breed or not, or whether to incubate an egg or not, but one of the only finer-scale adjustment in parental investment involves altering egg size, along with parental foraging and chick provisioning. We investigated changes in egg size in Atlantic Yellow-nosed Albatrosses (Thalassarche chlororhynchos) breeding at Tristan da Cunha, South Atlantic Ocean, from 1856 to 2015. We found no change in egg length, or breadth, which may suggest that with regards to this life-history parameter, Atlantic Yellow-nosed Albatrosses appear to have been able to buffer the effects of the trophic, climatic and oceanographic changes in the South Atlantic Ocean.</t>
  </si>
  <si>
    <t>[Bond, Alexander L.] Nat Hist Museum, Dept Life Sci, Bird Grp, Tring, Herts, England; [Bond, Alexander L.; McClelland, Gregory T. W.; Cuthbert, Richard J.] Royal Soc Protect Birds, RSPB Ctr Conservat Sci, Sandy, Beds, England; [McClelland, Gregory T. W.; Glass, Trevor; Repetto, Julian] Govt Tristan Da Cunha, Conservat Dept, Edinburgh Of Seven Seas, Tristan da Cunh; [Cuthbert, Richard J.] Conservat Solut, Woodbridge, Suffolk, England; [Ryan, Peter G.] Univ Cape Town, DST NRF Ctr Excellence, FitzPatrick Inst African Ornithol, Rondebosch, South Africa</t>
  </si>
  <si>
    <t>Natural History Museum London; Royal Society for Protection of Birds; University of Cape Town; National Research Foundation - South Africa</t>
  </si>
  <si>
    <t>Bond, AL (corresponding author), Nat Hist Museum, Dept Life Sci, Bird Grp, Tring, Herts, England.;Bond, AL (corresponding author), Royal Soc Protect Birds, RSPB Ctr Conservat Sci, Sandy, Beds, England.</t>
  </si>
  <si>
    <t>Bond, Alexander L/A-3786-2010</t>
  </si>
  <si>
    <t>Royal Society for the Protection of Birds, the UK partner in BirdLife International</t>
  </si>
  <si>
    <t>We thank J. Bradley, D. Davies, B. Dilley, D. Fox, C. Jones, W. Kuntz, J. Mcgillan, A. Mitham, M. Risi, E. Sommer, G. Swain, and C. Taylor for assistance in the field, D. Russell (Natural History Museum) and B. McGowan (National Museums Scotland) provided access to historical collections, and Ovenstone Agencies (Pty) Ltd, and the South African National Antarctic Program (SANAP) provided logistical support and transport on the MFV Edinburgh, MV Baltic Trader, and SA Agulhas II. The Administrator and Island Council of Tristan da Cunha approved this research, and the Royal Society for the Protection of Birds, the UK partner in BirdLife International, provided funding. Data are available on figshare at https://doi.org/10.6084/m9.figshare.9784085.Comments from M. Carroll and three anonymous reviewers improved this manuscript.</t>
  </si>
  <si>
    <t>TAYLOR &amp; FRANCIS AUSTRALIA</t>
  </si>
  <si>
    <t>MELBOURNE</t>
  </si>
  <si>
    <t>LEVEL 2, 11 QUEENS RD, MELBOURNE, VIC 3004, AUSTRALIA</t>
  </si>
  <si>
    <t>0158-4197</t>
  </si>
  <si>
    <t>1448-5540</t>
  </si>
  <si>
    <t>EMU</t>
  </si>
  <si>
    <t>Emu</t>
  </si>
  <si>
    <t>10.1080/01584197.2020.1752733</t>
  </si>
  <si>
    <t>MQ1NB</t>
  </si>
  <si>
    <t>WOS:000533248300001</t>
  </si>
  <si>
    <t>Kuo, CH; Kou, BS; Tsai, SW</t>
  </si>
  <si>
    <t>Kuo, Chen-Hao; Kou, Bo-Son; Tsai, Shau-Wei</t>
  </si>
  <si>
    <t>CALB-catalyzed kinetic resolution of (RS)-3-benzoylthio-2-methylpropyl azolides: kinetic and thermodynamic analysis</t>
  </si>
  <si>
    <t>BIOCATALYSIS AND BIOTRANSFORMATION</t>
  </si>
  <si>
    <t>CALB; hydrolytic resolution; (S)-3-benzoylthio-2-methylpropanoic acid; azolide; Zofenopril</t>
  </si>
  <si>
    <t>CONVERTING ENZYME-INHIBITORS; ANTIHYPERTENSIVE EFFICACY; HYDROLYTIC RESOLUTION; DOUBLE-BLIND; LIPASE; ZOFENOPRIL; INFARCTION; ACID</t>
  </si>
  <si>
    <t>Zofenopril as an ACE inhibitor expired recently was found to have a favourable safety profile in comparison with other ACE inhibitors in treating high blood pressure, congestive heart failure, and acute myocardial infarction. It can be synthesised from the key building blocks of (S)-3-benzoylthio-2-methylpropanoic acid and (4S)-phenylthio-L-proline. In this report, an efficient hydrolytic resolution via Candida antarctic lipase B (CALB) for preparing the former block in isopropyl ether (IPE) containing (RS)-3-benzoylthio-2-methylpropyl pyrazolide (1) and water was developed. Quantitative improvements of the enzyme activity and enantioselectivity in terms of k(2S)K(mS)(-1) = 5.726 L h(-1) g(-1) and E = 217 at 45 degrees C were found from the kinetic analysis. Insights into the CALB performance via thermodynamic analysis were then addressed and compared with those by using (RS)-3-benzoylthio-2-methylpropyl 1,2,4-triazolide (2) as the substrate. A putative thermodynamic model was moreover hypothesised for elucidating the more enthalpy reduction of 68.92-70.86 kJ mol(-1) from the acyl part of (S)-1 and (S)-2 as well as that of 23.69-25.63 kJ mol(-1) from the triad imidazolium to Ser105 and leaving 1,2,4-triazole moiety of (R)-2 and (S)-2 on stabilising the corresponding transition states.</t>
  </si>
  <si>
    <t>[Kuo, Chen-Hao; Kou, Bo-Son; Tsai, Shau-Wei] Chang Gung Univ, Dept Chem &amp; Mat Engn, 259 Wen Hwa 1st Rd, Taoyuan 33302, Taiwan</t>
  </si>
  <si>
    <t>Chang Gung University</t>
  </si>
  <si>
    <t>Tsai, SW (corresponding author), Chang Gung Univ, Dept Chem &amp; Mat Engn, 259 Wen Hwa 1st Rd, Taoyuan 33302, Taiwan.</t>
  </si>
  <si>
    <t>tsai@mail.cgu.edu.tw</t>
  </si>
  <si>
    <t>MOST [1082221-E-182-03]; Ministry of Science and Technology (MOST), Taiwan, R.O.C.</t>
  </si>
  <si>
    <t>MOST; Ministry of Science and Technology (MOST), Taiwan, R.O.C.</t>
  </si>
  <si>
    <t>This work was financially supported [Project No. MOST 1082221-E-182-03] by Ministry of Science and Technology (MOST), Taiwan, R.O.C.</t>
  </si>
  <si>
    <t>1024-2422</t>
  </si>
  <si>
    <t>1029-2446</t>
  </si>
  <si>
    <t>BIOCATAL BIOTRANSFOR</t>
  </si>
  <si>
    <t>Biocatal. Biotransform.</t>
  </si>
  <si>
    <t>SEP 2</t>
  </si>
  <si>
    <t>10.1080/10242422.2020.1752198</t>
  </si>
  <si>
    <t>Biochemistry &amp; Molecular Biology; Biotechnology &amp; Applied Microbiology</t>
  </si>
  <si>
    <t>MK8ZP</t>
  </si>
  <si>
    <t>WOS:000531979100001</t>
  </si>
  <si>
    <t>Rosa, LH; de Sousa, JRP; de Menezes, GCA; Coelho, LD; Carvalho-Silvan, M; Convey, P; Câmara, PEAS</t>
  </si>
  <si>
    <t>Rosa, Luiz Henrique; Paiva de Sousa, Jordana Rosa; Alves de Menezes, Graciele Cunha; Coelho, Livia da Costa; Carvalho-Silvan, Micheline; Convey, Peter; Aguiar Saraiva Camara, Paulo Eduardo</t>
  </si>
  <si>
    <t>Opportunistic fungi found in fairy rings are present on different moss species in the Antarctic Peninsula</t>
  </si>
  <si>
    <t>Antarctica; Climate changes; Fungi; Mosses; Plant diseases</t>
  </si>
  <si>
    <t>COMB. NOV.; DIVERSITY; COMMUNITIES; MACROALGAE; FOREST; DESTRUCTANS; GEOMYCES</t>
  </si>
  <si>
    <t>We surveyed the distribution and diversity of fungi present in moss fairy rings from the South Shetland Islands. In the different islands accessed, the mosses Bartramia patens, Brachythecium austrosalebrosum, Bryum pseudotriquetrum, Pohlia nutans, Polytrichastrum alpinum, Sanionia uncinata, Syntrichia magellanica, and Syntrichia saxicola were infected with fairy rings. Among them, B. patens, B. pseudotriquetrum, P. nutans, P. alpinum, S. magellanica, and S. saxicola were reported for the first time as species susceptible to infection with fairy rings. From five different fairy ring moss species sampled, we isolated 40 fungal taxa identified as belonging to the genera Alpinaria, Cadophora, Cladosporium, Chalara, Cosmospora, Drechmera, Glarea, Gyoerffyella, Hymenoscyphus, Juncaceicola, Melanodiplodia, Mortierella, Mycosysmbioses, Pseudogymnoascus, Phoma, and Velucrispora. A high level of fungal richness was associated with the infected mosses, and Mortierella was the dominant genus. However, most of the fungi were present as minor components of the fungal assemblages. Among the mosses studied, S. uncinata harboured the greatest fungal diversity. Some fungal taxa present have previously been reported as opportunistic plant pathogens, including Cladosporium sp. and Phoma herbarum. We hypothesize that some of the fungi recovered from fairy ring mosses might represent secondary opportunistic pathogens and contribute to the reduced natural defences of the infected mosses, thus accelerating the dissemination of the pathogenic fairy rings in the Antarctic Peninsula. In addition, the presence of fairy rings on previously unreported moss species suggests that the disease may be becoming more widespread in Antarctica.</t>
  </si>
  <si>
    <t>[Rosa, Luiz Henrique; Paiva de Sousa, Jordana Rosa; Alves de Menezes, Graciele Cunha; Coelho, Livia da Costa] Univ Fed Minas Gerais, Inst Ciencias Biol, Dept Microbiol, Lab Microbiol Polar &amp; Conexoes Trop, POB 486, BR-31270901 Belo Horizonte, MG, Brazil; [Carvalho-Silvan, Micheline; Aguiar Saraiva Camara, Paulo Eduardo] Univ Brasilia, Dept Bot, Brasilia, DF, Brazil; [Convey, Peter] NERC, British Antarctic Suryey, Cambridge CB3 0ET, England</t>
  </si>
  <si>
    <t>Universidade Federal de Minas Gerais; Universidade de Brasilia; UK Research &amp; Innovation (UKRI); Natural Environment Research Council (NERC); NERC British Antarctic Survey</t>
  </si>
  <si>
    <t>Rosa, LH (corresponding author), Univ Fed Minas Gerais, Inst Ciencias Biol, Dept Microbiol, Lab Microbiol Polar &amp; Conexoes Trop, POB 486, BR-31270901 Belo Horizonte, MG, Brazil.</t>
  </si>
  <si>
    <t>Convey, Peter/AAV-5728-2020; Camara, Paulo/GPP-2054-2022</t>
  </si>
  <si>
    <t>Convey, Peter/0000-0001-8497-9903; Camara, Paulo/0000-0002-3944-996X; Cunha Alves de Menezes, Graciele/0000-0002-9427-1893; Silva, Micheline/0000-0002-2389-3804</t>
  </si>
  <si>
    <t>CNPq; PROANTAR; FAPEMIG; Coordenacao de Aperfeicoamento de Pessoal de Nivel Superior-Brasil (CAPES); INCT Criosfera 2; NERC; Spanish Polar Committee; NERC [bas0100036] Funding Source: UKRI</t>
  </si>
  <si>
    <t>CNPq(Conselho Nacional de Desenvolvimento Cientifico e Tecnologico (CNPQ)); PROANTAR; FAPEMIG(Fundacao de Amparo a Pesquisa do Estado de Minas Gerais (FAPEMIG)); Coordenacao de Aperfeicoamento de Pessoal de Nivel Superior-Brasil (CAPES)(Coordenacao de Aperfeicoamento de Pessoal de Nivel Superior (CAPES)); INCT Criosfera 2; NERC(UK Research &amp; Innovation (UKRI)Natural Environment Research Council (NERC)); Spanish Polar Committee; NERC(UK Research &amp; Innovation (UKRI)Natural Environment Research Council (NERC))</t>
  </si>
  <si>
    <t>This study received financial support from CNPq, PROANTAR, FAPEMIG, Coordenacao de Aperfeicoamento de Pessoal de Nivel Superior-Brasil (CAPES), INCT Criosfera 2. P. Convey is supported by NERC core funding to the British Antarctic Survey's 'Biodiversity, Evolution and Adaptation' Team. We are also grateful for the generous support of the Spanish Polar Committee and its staff at Gabriel de Castilla and Juan Carlos I bases. Finally we are grateful for the comments of three anonymous reviewers for suggestions improving this manuscript.</t>
  </si>
  <si>
    <t>10.1007/s00300-020-02663-w</t>
  </si>
  <si>
    <t>WOS:000528651500002</t>
  </si>
  <si>
    <t>Fujimoto, S; Suzuki, AC; Ito, M; Tamura, T; Tsujimoto, M</t>
  </si>
  <si>
    <t>Fujimoto, Shinta; Suzuki, Atsushi C.; Ito, Masato; Tamura, Takeshi; Tsujimoto, Megumu</t>
  </si>
  <si>
    <t>Marine tardigrades from Lutzow-Holm Bay, East Antarctica with the description of a new species</t>
  </si>
  <si>
    <t>Marine meiofauna; Molecular phylogenetics; Postembryonic development; Styraconyx; Zoogeography</t>
  </si>
  <si>
    <t>MEIOFAUNA COMMUNITIES; WEDDELL SEA; GENUS; ARTHROTARDIGRADA; INVERTEBRATES; BIODIVERSITY; DIVERSITY; TRANSECT; TAXONOMY; GENERA</t>
  </si>
  <si>
    <t>Marine tardigrades in the Antarctic and sub-Antarctic regions are poorly understood. During the 59th Japan Antarctic Research Expedition, a sediment sample was collected from Lutzow-Holm Bay, East Antarctica. The sediment sample yielded three species of marine tardigrades belonging to the family Styraconyxidae Kristensen &amp; Renaud-Mornant, 1983: Angursa antarctica Villora-Moreno, 1998, Styraconyx cf. qivitoq Kristensen &amp; Higgins, 1984, and S. takeshii sp. nov. The new species resembles S. nanoqsunguak Kristensen &amp; Higgins, 1984 by the overall morphology, but the new species has thick seminal receptacle ducts that do not terminate in typical, swelled vesicles, in contrast to S. nanoqsunguak's narrow seminal receptacle ducts that terminate in small vesicles. The presence of the undivided mouth papilla and the larger body further differentiates the new species from S. nanoqsunguak. We also report a young adult female with a gonopore, but lacking seminal receptacles in the new species. As well as morphological information, we provided the sequences of the new species' nuclear 28S rRNA and mitochondrial cytochrome c oxidase subunit I fragments. Using the former molecular data, phylogenetic analyses of Styraconyxidae were conducted and polyphyly of Styraconyx was suggested. The biogeography of marine tardigrades in the Antarctic and sub-Antarctic regions are also discussed.</t>
  </si>
  <si>
    <t>[Fujimoto, Shinta] Tohoku Univ, Res Ctr Marine Biol, Grad Sch Life Sci, 9 Sakamoto, Aomori 0393501, Japan; [Suzuki, Atsushi C.] Keio Univ, Dept Biol, Sch Med, Yokohama, Kanagawa 2238521, Japan; [Ito, Masato] Hokkaido Univ, Inst Low Temp Sci, Kita Ku, Kita 19,Nishi 8, Sapporo, Hokkaido 0600819, Japan; [Ito, Masato] Japan Agcy Marine Earth Sci &amp; Technol, Inst Arctic Climate &amp; Environm Res, 15-2 Natsushima Cho, Yokosuka, Kanagawa 2370061, Japan; [Tamura, Takeshi; Tsujimoto, Megumu] Natl Inst Polar Res, 10-3 Midori Machi, Tachikawa, Tokyo 1908518, Japan; [Tamura, Takeshi] SOKENDAI Grad Univ Adv Studies, Tachikawa, Tokyo 1908518, Japan; [Tamura, Takeshi] Univ Tasmania, Antarctic Climate Sr Ecosyst Cooperat Res Ctr, Hobart, Tas 7001, Australia; [Tsujimoto, Megumu] Keio Univ, Fac Environm &amp; Informat Studies, 5322 Endo, Fujisawa, Kanagawa 2520882, Japan</t>
  </si>
  <si>
    <t>Tohoku University; Keio University; Hokkaido University; Japan Agency for Marine-Earth Science &amp; Technology (JAMSTEC); Research Organization of Information &amp; Systems (ROIS); National Institute of Polar Research (NIPR) - Japan; Graduate University for Advanced Studies - Japan; University of Tasmania; Keio University</t>
  </si>
  <si>
    <t>Fujimoto, S (corresponding author), Tohoku Univ, Res Ctr Marine Biol, Grad Sch Life Sci, 9 Sakamoto, Aomori 0393501, Japan.</t>
  </si>
  <si>
    <t>shinta.f@water-bears.com</t>
  </si>
  <si>
    <t>Tsujimoto, Megumu/JCE-5500-2023; Suzuki, Atsushi/E-9704-2014</t>
  </si>
  <si>
    <t>Tsujimoto, Megumu/0000-0001-5160-6086; Fujimoto, Shinta/0000-0002-1739-3010; Suzuki, Atsushi/0000-0002-3027-7110</t>
  </si>
  <si>
    <t>NIPR [28-43]; Research Project Fund of the Research and Education Center for Natural Science, Keio University; JSPS [JP25241001, JP17H01615]; MEXT [JP17H06322]</t>
  </si>
  <si>
    <t>NIPR(National Institute of Polar Research (NIPR) - Japan); Research Project Fund of the Research and Education Center for Natural Science, Keio University; JSPS(Ministry of Education, Culture, Sports, Science and Technology, Japan (MEXT)Japan Society for the Promotion of Science); MEXT(Ministry of Education, Culture, Sports, Science and Technology, Japan (MEXT))</t>
  </si>
  <si>
    <t>We sincerely acknowledge the master and crew of the icebreaker Shirase and the observation members and supporting members of JARE59 for their great contribution to the field operation. We would also like to thank Paul Bartels, Sandra McInnes, and one anonymous reviewer for their helpful comments to improve the manuscript. This study is a part of JARE 59 supported by NIPR and the result of the research meeting held there in December 2018. This study was also supported by the Research Project Fund of the Research and Education Center for Natural Science, Keio University, NIPR through General Collaboration Project No. 28-43, JSPS Grant-in-Aid for Scientific Research (JP25241001, JP17H01615), and MEXT Grant-in-Aid for Scientific Research (JP17H06322).</t>
  </si>
  <si>
    <t>10.1007/s00300-020-02671-w</t>
  </si>
  <si>
    <t>WOS:000528651500003</t>
  </si>
  <si>
    <t>Rathore, S; Bindoff, NL; Phillips, HE; Feng, M</t>
  </si>
  <si>
    <t>Rathore, Saurabh; Bindoff, Nathaniel L.; Phillips, Helen E.; Feng, Ming</t>
  </si>
  <si>
    <t>Recent hemispheric asymmetry in global ocean warming induced by climate change and internal variability</t>
  </si>
  <si>
    <t>SOUTHERN-OCEAN; NORTH-ATLANTIC; HEAT-CONTENT; REEVALUATION; SLOWDOWN; PACIFIC; HIATUS; CMIP5; WATER</t>
  </si>
  <si>
    <t>Recent research shows that 90% of the net global ocean heat gain during 2005-2015 was confined to the southern hemisphere with little corresponding heat gain in the northern hemisphere ocean. We propose that this heating pattern of the ocean is driven by anthropogenic climate change and an asymmetric climate variation between the two hemispheres. This asymmetric variation is found in the pre-industrial control simulations from 11 climate models. While both layers (0-700m and 700-2000m) experience steady anthropogenic warming, the 0-700m layer experiences large internal variability, which primarily drives the observed hemispheric asymmetry of global ocean heat gain in 0-2000m layer. We infer that the rate of global ocean warming is consistent with the climate simulations for this period. However, the observed hemispheric asymmetry in heat gain can be explained by the Earth's internal climate variability without invoking alternate hypotheses, such as asymmetric aerosol loading. Observations of global ocean heat content during 2005-2015 have shown a strong hemispheric asymmetry, and the southern hemisphere accounts 92% of the total heat gain. Here, the authors show that the rate of observed global ocean warming is consistent with a forced symmetric climate change signal and an asymmetric climate variation for this period.</t>
  </si>
  <si>
    <t>[Rathore, Saurabh; Bindoff, Nathaniel L.; Phillips, Helen E.] Univ Tasmania, Inst Marine &amp; Antarctic Studies, Hobart, Tas, Australia; [Rathore, Saurabh] ARC Ctr Excellence Climate Syst Sci, Hobart, Tas, Australia; [Bindoff, Nathaniel L.] CSIRO Oceans &amp; Atmosphere, Hobart, Tas, Australia; [Bindoff, Nathaniel L.] Australian Antarctic Program Partnership, Hobart, Tas, Australia; [Bindoff, Nathaniel L.; Phillips, Helen E.] ARC Ctr Excellence Climate Extremes, Hobart, Tas, Australia; [Feng, Ming] CSIRO Oceans &amp; Atmosphere, Indian Ocean Marine Res Ctr, Crawley, WA, Australia; [Feng, Ming] CSIRO, Ctr Southern Hemisphere Oceans Res, Hobart, Tas, Australia</t>
  </si>
  <si>
    <t>University of Tasmania; ARC Centre of Excellence for Climate System Science; Commonwealth Scientific &amp; Industrial Research Organisation (CSIRO); Commonwealth Scientific &amp; Industrial Research Organisation (CSIRO); University of Western Australia; Commonwealth Scientific &amp; Industrial Research Organisation (CSIRO)</t>
  </si>
  <si>
    <t>Bindoff, NL (corresponding author), Univ Tasmania, Inst Marine &amp; Antarctic Studies, Hobart, Tas, Australia.;Bindoff, NL (corresponding author), CSIRO Oceans &amp; Atmosphere, Hobart, Tas, Australia.;Bindoff, NL (corresponding author), Australian Antarctic Program Partnership, Hobart, Tas, Australia.;Bindoff, NL (corresponding author), ARC Ctr Excellence Climate Extremes, Hobart, Tas, Australia.</t>
  </si>
  <si>
    <t>n.bindoff@utas.edu.au</t>
  </si>
  <si>
    <t>Bindoff, Nathaniel Lee/C-8050-2011; Rathore, Saurabh/GQA-8434-2022; Bindoff, Nathaniel Lee/IVV-0333-2023; Phillips, Helen/I-3761-2013; Feng, Ming/F-5411-2010</t>
  </si>
  <si>
    <t>Bindoff, Nathaniel Lee/0000-0001-5662-9519; Bindoff, Nathaniel Lee/0000-0001-5662-9519; Phillips, Helen/0000-0002-2941-7577; Rathore, Saurabh/0000-0001-6677-6838; Feng, Ming/0000-0002-2855-7092</t>
  </si>
  <si>
    <t>Earth System and Climate Change Hub of the Australian government's National Environmental Science Programme</t>
  </si>
  <si>
    <t>This research was funded through the Earth System and Climate Change Hub of the Australian government's National Environmental Science Programme. Authors also acknowledge CSHOR, a joint initiative between the Qingdao National Laboratory for Marine Science and Technology (QNLM), CSIRO, University of New South Wales, and University of Tasmania. The assistance of resources from the National Computational Infrastructure supported by the Australian Government and the World Climate Research Programme's Working Group on Coupled Modelling are duly acknowledged for CMIP5 data. Authors thank Rishav Goyal and Ramkrushnbhai Patel for CMIP5 data access and technical help. Authors also want to acknowledge PyFerret and CDO software for analysis and plotting.</t>
  </si>
  <si>
    <t>APR 24</t>
  </si>
  <si>
    <t>10.1038/s41467-020-15754-3</t>
  </si>
  <si>
    <t>MZ0NP</t>
  </si>
  <si>
    <t>WOS:000558820800026</t>
  </si>
  <si>
    <t>Faria, SC; Bianchini, A; Lauer, MM; Zimbardi, ALRL; Tapella, F; Romero, MC; McNamara, JC</t>
  </si>
  <si>
    <t>Faria, Samuel Coelho; Bianchini, Adalto; Lauer, Mariana Machado; Ribeiro Latorre Zimbardi, Ana Lucia; Tapella, Federico; Carolina Romero, Maria; McNamara, John Campbell</t>
  </si>
  <si>
    <t>Living on the Edge: Physiological and Kinetic Trade-Offs Shape Thermal Tolerance in Intertidal Crabs From Tropical to Sub-Antarctic South America</t>
  </si>
  <si>
    <t>FRONTIERS IN PHYSIOLOGY</t>
  </si>
  <si>
    <t>evolutionary physiology; thermal adaptation; critical limits; oxygen consumption; lactate; LDH; Brachyura</t>
  </si>
  <si>
    <t>LACTATE-DEHYDROGENASE; PHYLOGENETIC SIGNAL; MAXIMUM-LIKELIHOOD; CONFORMATIONAL FLEXIBILITY; TEMPERATURE-ACCLIMATION; MOLECULAR PHYLOGENY; DECAPOD CRUSTACEANS; EVOLUTIONARY TREES; OXYGEN LIMITATION; COLD ADAPTATION</t>
  </si>
  <si>
    <t>Temperature is an important abiotic factor that drives the evolution of ectotherms owing to its pervasive effects at all levels of organization. Although a species' thermal tolerance is environmentally driven within a spatial cline, it may be constrained over time due to differential phylogenetic inheritance. At the limits of thermal tolerance, hemolymph oxygen is reduced and lactate formation is increased due to mismatch between oxygen supply and demand; imbalance between enzyme flexibility/stability also impairs the ability to generate energy. Here, we characterized the effects of lower (LL50) and upper (UL50) critical thermal limits on selected descriptors of aerobic and anaerobic metabolism in 12 intertidal crab species distributed from northern Brazil (approximate to 7.8 degrees S) to southern Patagonia (approximate to 53.2 degrees S), considering their phylogeny. We tested for (i) functional trade-offs regarding aerobic and anaerobic metabolism and LDH kinetics in shaping thermal tolerance; (ii) influence of shared ancestry and thermal province on metabolic evolution; and (iii) presence of evolutionary convergences and adaptive peaks in the crab phylogeny. The tropical and subtropical species showed similar systemic and kinetic responses, both differing from the sub-Antarctic crabs. The lower UL50's of the sub-Antarctic crabs may reflect mismatch between the evolution of aerobic and anaerobic metabolism since these crabs exhibit lower oxygen consumption but higher lactate formation than tropical and subtropical species also at their respective UL50's. LDH activity increased with temperature increase, while K-m(Pyr) remained fairly constant; catalytic coefficient correlated negatively with thermal niche. Thermal tolerance may rely on a putative evolutionary trade-off between aerobic and anaerobic metabolism regarding energy supply, while temperature compensation of kinetic performance is driven by thermal habitat as revealed by the LDH affinity/efficiency equilibrium. The overall physiological evolution revealed two homoplastic adaptive peaks in the sub-Antarctic crabs with a further shift in the tropical/subtropical clade. The physiological traits at UL50 have evolved in a phylogenetic manner while all others were more plastic. Thus, shared inheritance and thermal environment have driven the crabs' thermal tolerance and metabolic evolution, revealing physiological transformations that have arisen in both colder and warmer climes, especially at higher levels of biological organization and phylogenetic diversity.</t>
  </si>
  <si>
    <t>[Faria, Samuel Coelho; McNamara, John Campbell] Univ Sao Paulo, Fac Filosofia Ciencias &amp; Letras Ribeirao Preto, Dept Biol, Ribeirao Preto, Brazil; [Bianchini, Adalto; Lauer, Mariana Machado] Univ Fed Rio Grande, Inst Ciencias Biol, Rio Grande, Brazil; [Ribeiro Latorre Zimbardi, Ana Lucia] Univ Sao Paulo, Fac Filosofia Ciencias &amp; Letras Ribeirao Preto, Dept Quim, Ribeirao Preto, Brazil; [Tapella, Federico; Carolina Romero, Maria] CADIC CONICET, Ctr Austral Invest Cient, Ushuaia, Argentina; [McNamara, John Campbell] Univ Sao Paulo, Ctr Biol Marinha, Sao Sebastiao, Brazil</t>
  </si>
  <si>
    <t>Universidade de Sao Paulo; Universidade Federal do Rio Grande; Universidade de Sao Paulo; Consejo Nacional de Investigaciones Cientificas y Tecnicas (CONICET); Universidade de Sao Paulo</t>
  </si>
  <si>
    <t>McNamara, JC (corresponding author), Univ Sao Paulo, Fac Filosofia Ciencias &amp; Letras Ribeirao Preto, Dept Biol, Ribeirao Preto, Brazil.;McNamara, JC (corresponding author), Univ Sao Paulo, Ctr Biol Marinha, Sao Sebastiao, Brazil.</t>
  </si>
  <si>
    <t>mcnamara@ffclrp.usp.br</t>
  </si>
  <si>
    <t>McNamara, John Campbell/B-9823-2012; Faria, Samuel C/E-6819-2013; Bianchini, Adalto/C-5384-2013</t>
  </si>
  <si>
    <t>McNamara, John Campbell/0000-0002-6530-8706; Faria, Samuel C/0000-0003-3143-2191; Bianchini, Adalto/0000-0002-7627-7650</t>
  </si>
  <si>
    <t>Fundacao de Amparo a Pesquisa do Estado de Sao Paulo (FAPESP) [2011/088520, 2011/22537-0, 2020/04135-1]; Conselho Nacional de Desenvolvimento Cientifico e Tecnologico (CNPq) [450320/2010-3, 300662/20092]; Coordenacao de Aperfeicoamento de Pessoal de Nivel Superior [CAPES 33002029031P8, 001]</t>
  </si>
  <si>
    <t>Fundacao de Amparo a Pesquisa do Estado de Sao Paulo (FAPESP)(Fundacao de Amparo a Pesquisa do Estado de Sao Paulo (FAPESP)); Conselho Nacional de Desenvolvimento Cientifico e Tecnologico (CNPq)(Conselho Nacional de Desenvolvimento Cientifico e Tecnologico (CNPQ)); Coordenacao de Aperfeicoamento de Pessoal de Nivel Superior(Coordenacao de Aperfeicoamento de Pessoal de Nivel Superior (CAPES))</t>
  </si>
  <si>
    <t>This work was supported by the Fundacao de Amparo a Pesquisa do Estado de Sao Paulo (FAPESP scholarship #2011/088520 to SF, and grants #2011/22537-0 and #2020/04135-1 to JM), the Conselho Nacional de Desenvolvimento Cientifico e Tecnologico (CNPq #450320/2010-3 and #300662/20092 to JM) and the Coordenacao de Aperfeicoamento de Pessoal de Nivel Superior (CAPES 33002029031P8, finance code 001, to JM). SF was a post-doctoral investigator (FAPESP #2018/17252-6).</t>
  </si>
  <si>
    <t>1664-042X</t>
  </si>
  <si>
    <t>FRONT PHYSIOL</t>
  </si>
  <si>
    <t>Front. Physiol.</t>
  </si>
  <si>
    <t>10.3389/fphys.2020.00312</t>
  </si>
  <si>
    <t>LO3XS</t>
  </si>
  <si>
    <t>WOS:000533564000001</t>
  </si>
  <si>
    <t>Jena, B; Pillai, AN</t>
  </si>
  <si>
    <t>Jena, Babula; Pillai, Anilkumar N.</t>
  </si>
  <si>
    <t>Satellite observations of unprecedented phytoplankton blooms in the Maud Rise polynya, Southern Ocean</t>
  </si>
  <si>
    <t>AMUNDSEN SEA; PRIMARY PRODUCTIVITY; ICE RETREAT; ROSS SEA; IRON; ABSORPTION; DYNAMICS; WATER; GROWTH; DISTRIBUTIONS</t>
  </si>
  <si>
    <t>The appearance of phytoplankton blooms within sea ice cover is of high importance considering the upper ocean primary production that controls the biological pump, with implications for atmospheric CO2 and global climate. Satellite-derived chlorophyll a concentration showed unprecedented phytoplankton blooms in the Maud Rise polynya, Southern Ocean, with chlorophyll a reaching up to 4.67 mg m(-3) during 2017. Multi-satellite data indicated that the bloom appeared for the first time since the entire mission records started in 1978. An Argo float located in the polynya edge provided evidence of bloom conditions in austral spring 2017 (chlorophyll a up to 5.47 mg m(-3)) compared to the preceding years with prevailing low chlorophyll a. The occurrence of bloom was associated with the supply of nutrients into the upper ocean through Ekman upwelling (driven by wind stress curl and cyclonic ocean eddies) and improved light conditions of up to 61.9 einstein m(-2) d(-1). The net primary production from the Aqua Moderate Resolution Imaging Spectroradiometer chlorophyll-based algorithm showed that the Maud Rise polynya was as productive as the Antarctic coastal polynyas, with carbon fixation rates reaching up to 415.08 mg C m(-2) d(-1). The study demonstrates how the phytoplankton in the Southern Ocean (specifically over the shallow bathymetric region) would likely respond in the future under warming climate conditions and continued melting of Antarctic sea ice.</t>
  </si>
  <si>
    <t>[Jena, Babula; Pillai, Anilkumar N.] Govt India, ESSO Natl Ctr Polar &amp; Ocean Res, Minist Earth Sci, Vasco Da Gama, India</t>
  </si>
  <si>
    <t>Jena, B (corresponding author), Govt India, ESSO Natl Ctr Polar &amp; Ocean Res, Minist Earth Sci, Vasco Da Gama, India.</t>
  </si>
  <si>
    <t>bjena@ncpor.res.in</t>
  </si>
  <si>
    <t>Ministry of Earth Sciences</t>
  </si>
  <si>
    <t>This research is supported by the Ministry of Earth Sciences and NCPOR.</t>
  </si>
  <si>
    <t>10.5194/tc-14-1385-2020</t>
  </si>
  <si>
    <t>LI3GY</t>
  </si>
  <si>
    <t>WOS:000529373800002</t>
  </si>
  <si>
    <t>Alvarez-Herrera, G; Agnolin, F; Novas, F</t>
  </si>
  <si>
    <t>Alvarez-Herrera, Gerardo; Agnolin, Federico; Novas, Fernando</t>
  </si>
  <si>
    <t>A rostral neurovascular system in the mosasaur Taniwhasaurus antarcticus</t>
  </si>
  <si>
    <t>SCIENCE OF NATURE</t>
  </si>
  <si>
    <t>Mosasaur; Tylosaurinae; Neurovascular system; Trigeminus nerve</t>
  </si>
  <si>
    <t>MORPHOLOGY; REPTILIA; SQUAMATA</t>
  </si>
  <si>
    <t>Mosasaurs were a cosmopolitan group of marine squamate reptiles that lived during the Late Cretaceous period. Tylosaurinae mosasaurs were characterized for having an edentulous rostrum anterior to the premaxillary teeth. External morphology of the snout of the tylosaurine Taniwhasaurus antarcticus from the Upper Cretaceous beds at James Ross Island (Antarctic Peninsula) shows a complex anatomy with diverse large foramina and bone sculpture. A computed tomography scan of the Taniwhasaurus rostrum revealed a complex internal neurovascular system of branched channels in the anteriormost part of the snout. Systems like this are present in extant aquatic vertebrates such as cetaceans and crocodiles to aid them with prey detection, and are inferred to have functioned in a similar manner for several extinct reptile clades such as plesiosaurs and ichthyosaurs. Thus, it is probable that Taniwhasaurus also was able to detect prey with an enhanced neural system located in its rostrum. This condition may be more widespread than previously thought among mosasaurs and other marine reptiles.</t>
  </si>
  <si>
    <t>[Alvarez-Herrera, Gerardo; Agnolin, Federico; Novas, Fernando] Museo Argentino Ciencias Nat Bernardino Rivadav, Lab Anat Comparada &amp; Evoluc Vertebrados, Av Angel Gallardo 470,C1405DJR, Buenos Aires, DF, Argentina; [Agnolin, Federico] Univ Maimonides, Fdn Hist Nat Felix de Azara, Hidalgo 775,C1405BDB, Buenos Aires, DF, Argentina; [Agnolin, Federico; Novas, Fernando] Consejo Nacl Invest Cient &amp; Tecn, Buenos Aires, DF, Argentina</t>
  </si>
  <si>
    <t>Museo Argentino de Ciencias Naturales Bernardino Rivadavia (MACN); Consejo Nacional de Investigaciones Cientificas y Tecnicas (CONICET)</t>
  </si>
  <si>
    <t>Alvarez-Herrera, G (corresponding author), Museo Argentino Ciencias Nat Bernardino Rivadav, Lab Anat Comparada &amp; Evoluc Vertebrados, Av Angel Gallardo 470,C1405DJR, Buenos Aires, DF, Argentina.</t>
  </si>
  <si>
    <t>geralvarezherrera@gmail.com</t>
  </si>
  <si>
    <t>Alvarez-Herrera, Gerardo Paulino/0009-0006-7566-4460</t>
  </si>
  <si>
    <t>0028-1042</t>
  </si>
  <si>
    <t>1432-1904</t>
  </si>
  <si>
    <t>SCI NAT-HEIDELBERG</t>
  </si>
  <si>
    <t>Sci. Nat.</t>
  </si>
  <si>
    <t>10.1007/s00114-020-01677-y</t>
  </si>
  <si>
    <t>LJ1OI</t>
  </si>
  <si>
    <t>WOS:000529941200002</t>
  </si>
  <si>
    <t>Cantero, ALP</t>
  </si>
  <si>
    <t>Pena Cantero, Alvaro L.</t>
  </si>
  <si>
    <t>Species of Acryptolaria Norman, 1875 (Cnidaria: Hydrozoa) collected by US Antarctic and sub-Antarctic expeditions</t>
  </si>
  <si>
    <t>Hydroids; biodiversity; deep-sea; new records; bathymetric distribution; geographical distribution</t>
  </si>
  <si>
    <t>BENTHIC HYDROIDS CNIDARIA; SOUTHERN-OCEAN; LAFOEIDAE; BIODIVERSITY</t>
  </si>
  <si>
    <t>Acryptolaria is a worldwide genus of deep-water benthic hydroids. The genus has relatively high species diversity, with 36 species described so far, yet most of them have been reported only occasionally. As a result, scientific knowledge of their ecology and distribution is scarce. Here I present the results of the study of species of Acryptolaria collected during several Antarctic and sub-Antarctic expeditions under the United States Antarctic Research Program between 1958 and 1986. Eight species were found in the collection (plus one determined to the genus level), with A. operculata having the highest occurrence. Acryptolaria flabellum is reported for the second time; the study also represents the third record for A. corniformis and A. minuta. Despite the scarcity of records, most of the species studied seem to have a wide geographical distribution, which could be related to their deep-water bathymetric distribution and the deep-water circulation of the Great Ocean Conveyor Belt.</t>
  </si>
  <si>
    <t>[Pena Cantero, Alvaro L.] Univ Valencia, Inst Cavanilles Biodiversidad &amp; Biol Evolut, Dept Zool, Apdo Correos 22085, Valencia 46071, Spain</t>
  </si>
  <si>
    <t>University of Valencia</t>
  </si>
  <si>
    <t>Cantero, ALP (corresponding author), Univ Valencia, Inst Cavanilles Biodiversidad &amp; Biol Evolut, Dept Zool, Apdo Correos 22085, Valencia 46071, Spain.</t>
  </si>
  <si>
    <t>alvaro.l.pena@uv.es</t>
  </si>
  <si>
    <t>Pena Cantero, Alvaro/0000-0003-3056-6673</t>
  </si>
  <si>
    <t>10.11646/zootaxa.4767.2.4</t>
  </si>
  <si>
    <t>LH3ZH</t>
  </si>
  <si>
    <t>WOS:000528725100004</t>
  </si>
  <si>
    <t>Gordon, S; Sinclair, A; Mauskopf, P; Coppi, G; Devlin, M; Dober, B; Fissel, L; Galitzki, N; Gao, JS; Hubmayr, J; Lourie, N; Lowe, I; McKenney, C; Nati, F; Romualdez, J</t>
  </si>
  <si>
    <t>Gordon, Sam; Sinclair, Adrian; Mauskopf, Philip; Coppi, Gabriele; Devlin, Mark; Dober, Bradley; Fissel, Laura; Galitzki, Nicholas; Gao, Jiansong; Hubmayr, Johannes; Lourie, Nathan; Lowe, Ian; McKenney, Christopher; Nati, Federico; Romualdez, Javier</t>
  </si>
  <si>
    <t>Preflight Detector Characterization of BLAST-TNG</t>
  </si>
  <si>
    <t>JOURNAL OF LOW TEMPERATURE PHYSICS</t>
  </si>
  <si>
    <t>LEKIDs; Detector readout; Submillimeter astrophysics</t>
  </si>
  <si>
    <t>The Next-Generation Balloon-borne Large-Aperture Submillimeter Telescope (BLAST-TNG) is a submillimeter imaging polarimeter which will map the polarized thermal emission from interstellar dust, revealing magnetic field structures in nearby giant molecular clouds, external galaxies and the diffuse interstellar medium in three bands centered at 250, 350 and 500-mu m (spatial resolution of 30 '', 41 '' and 59 ''). Its camera contains over 2500 dual-polarization sensitive lumped element kinetic inductance detectors, which are read out using field-programmable gate array-based readout electronics. BLAST-TNG was scheduled for a 28-day Antarctic flight during the 2018/2019 summer season, but unfavorable weather conditions pushed the anticipated flight to 2019/2020. We present a summary of key results from the 2018/2019 preflight characterization of the detector and receiver. Included in this summary are detector yields, estimates of in-flight sensitivity, a measurement of the optical passbands and estimates of polarization efficiency.</t>
  </si>
  <si>
    <t>[Gordon, Sam; Sinclair, Adrian; Mauskopf, Philip] Arizona State Univ, Sch Earth &amp; Space Explorat, Tempe, AZ 85287 USA; [Mauskopf, Philip] Arizona State Univ, Dept Phys, Tempe, AZ 85287 USA; [Coppi, Gabriele; Devlin, Mark; Lourie, Nathan; Lowe, Ian; Romualdez, Javier] Univ Penn, Dept Phys &amp; Astron, Philadelphia, PA 19104 USA; [Dober, Bradley; Gao, Jiansong; Hubmayr, Johannes; McKenney, Christopher] NIST, Boulder, CO 80305 USA; [Fissel, Laura] Natl Radio Astron Observ, Charlottesville, VA 22903 USA; [Galitzki, Nicholas] Univ Calif San Diego, Dept Phys, La Jolla, CA 92093 USA; [Nati, Federico] Univ Milano Bicocca, Phys Dept, I-20126 Milan, Italy</t>
  </si>
  <si>
    <t>Arizona State University; Arizona State University-Tempe; Arizona State University; Arizona State University-Tempe; University of Pennsylvania; National Institute of Standards &amp; Technology (NIST) - USA; National Radio Astronomy Observatory (NRAO); University of California System; University of California San Diego; University of Milano-Bicocca</t>
  </si>
  <si>
    <t>Gordon, S (corresponding author), Arizona State Univ, Sch Earth &amp; Space Explorat, Tempe, AZ 85287 USA.</t>
  </si>
  <si>
    <t>sbgordo1@asu.edu</t>
  </si>
  <si>
    <t>Nati, Federico/O-6551-2019</t>
  </si>
  <si>
    <t>Nati, Federico/0000-0002-8307-5088; Mauskopf, Philip/0000-0001-6397-5516; Gordon, Samuel/0000-0002-4668-444X; Coppi, Gabriele/0000-0002-6362-6524</t>
  </si>
  <si>
    <t>NASA Earth and Space Science Fellowship [NNX16AO91H]; NASA BLAST research Grants [NNX13AE50G, NNX14AN63H, 80NSSC18K0481]; NASA [679309, NNX13AE50G, 474373, NNX14AN63H] Funding Source: Federal RePORTER</t>
  </si>
  <si>
    <t>NASA Earth and Space Science Fellowship; NASA BLAST research Grants; NASA(National Aeronautics &amp; Space Administration (NASA))</t>
  </si>
  <si>
    <t>This work was funded in part by a NASA Earth and Space Science Fellowship (NNX16AO91H). We also acknowledge the support from the NASA BLAST research Grants (NNX13AE50G, NNX14AN63H and 80NSSC18K0481).</t>
  </si>
  <si>
    <t>SPRINGER/PLENUM PUBLISHERS</t>
  </si>
  <si>
    <t>233 SPRING ST, NEW YORK, NY 10013 USA</t>
  </si>
  <si>
    <t>0022-2291</t>
  </si>
  <si>
    <t>1573-7357</t>
  </si>
  <si>
    <t>J LOW TEMP PHYS</t>
  </si>
  <si>
    <t>J. Low Temp. Phys.</t>
  </si>
  <si>
    <t>10.1007/s10909-020-02459-6</t>
  </si>
  <si>
    <t>Physics, Applied; Physics, Condensed Matter</t>
  </si>
  <si>
    <t>NL6TZ</t>
  </si>
  <si>
    <t>WOS:000528423500001</t>
  </si>
  <si>
    <t>Vendrami, DLJ; De Noia, M; Telesca, L; Brodte, EM; Hoffman, JI</t>
  </si>
  <si>
    <t>Vendrami, David L. J.; De Noia, Michele; Telesca, Luca; Brodte, Eva-Maria; Hoffman, Joseph, I</t>
  </si>
  <si>
    <t>Genome-wide insights into introgression and its consequences for genome-wide heterozygosity in the Mytilus species complex across Europe</t>
  </si>
  <si>
    <t>EVOLUTIONARY APPLICATIONS</t>
  </si>
  <si>
    <t>genetic variation; genome-wide heterozygosity; hybridization; introgression; Mytilus; Restriction site-associated DNA sequencing (RAD sequencing); stock structure</t>
  </si>
  <si>
    <t>INBREEDING DEPRESSION; FITNESS CORRELATIONS; HYBRID ZONE; R-PACKAGE; GENETIC-VARIATION; MUSSEL MYTILUS; SNP MARKERS; TOOL SET; M-EDULIS; GALLOPROVINCIALIS</t>
  </si>
  <si>
    <t>The three mussel species comprising the Mytilus complex are widespread across Europe and readily hybridize when they occur in sympatry, resulting in a mosaic of populations with varying genomic backgrounds. Two of these species, M. edulis and M. galloprovincialis, are extensively cultivated across Europe, with annual production exceeding 230,000 tonnes. The third species, M. trossulus, is considered commercially damaging as hybridization with this species results in weaker shells and poor meat quality. We therefore used restriction site associated DNA sequencing to generate high-resolution insights into the structure of the Mytilus complex across Europe and to resolve patterns of introgression. Inferred species distributions were concordant with the results of previous studies based on smaller numbers of genetic markers, with M. edulis and M. galloprovincialis predominating in northern and southern Europe respectively, while introgression between these species was most pronounced in northern France and the Shetland Islands. We also detected traces of M. trossulus ancestry in several northern European populations, especially around the Baltic and in northern Scotland. Finally, genome-wide heterozygosity, whether quantified at the population or individual level, was lowest in M. edulis, intermediate in M. galloprovincialis, and highest in M. trossulus, while introgression was positively associated with heterozygosity in M. edulis but negatively associated with heterozygosity in M. galloprovincialis. Our study will help to inform mussel aquaculture by providing baseline information on the genomic backgrounds of different Mytilus populations across Europe and by elucidating the effects of introgression on genome-wide heterozygosity, which is known to influence commercially important traits such as growth, viability, and fecundity in mussels.</t>
  </si>
  <si>
    <t>[Vendrami, David L. J.; De Noia, Michele; Hoffman, Joseph, I] Univ Bielefeld, Dept Anim Behav, Postfach 100131, D-33615 Bielefeld, Germany; [De Noia, Michele] Univ Glasgow, Coll Med Vet &amp; Life Sci, Inst Biodivers Anim Hlth &amp; Comparat Med, Glasgow, Lanark, Scotland; [Telesca, Luca] Univ Cambridge, Dept Earth Sci, Cambridge, England; [Telesca, Luca; Hoffman, Joseph, I] British Antarctic Survey, Cambridge, England; [Brodte, Eva-Maria] Alfred Wegener Inst, Kurpromenade, Germany</t>
  </si>
  <si>
    <t>University of Bielefeld; University of Glasgow; University of Cambridge; UK Research &amp; Innovation (UKRI); Natural Environment Research Council (NERC); NERC British Antarctic Survey; Helmholtz Association; Alfred Wegener Institute, Helmholtz Centre for Polar &amp; Marine Research</t>
  </si>
  <si>
    <t>Vendrami, DLJ (corresponding author), Univ Bielefeld, Dept Anim Behav, Postfach 100131, D-33615 Bielefeld, Germany.</t>
  </si>
  <si>
    <t>david.vendrami@student.unife.it</t>
  </si>
  <si>
    <t>Vendrami, David/AAH-1912-2021; Hoffman, Joseph/K-7725-2012</t>
  </si>
  <si>
    <t>Vendrami, David/0000-0001-9409-4084; Telesca, Luca/0000-0002-9060-2261; Hoffman, Joseph/0000-0001-5895-8949</t>
  </si>
  <si>
    <t>European Union Marie Curie Seventh Framework Programme [605051]; NERC [bas0100036] Funding Source: UKRI</t>
  </si>
  <si>
    <t>European Union Marie Curie Seventh Framework Programme(European Union (EU)Marie Curie Actions); NERC(UK Research &amp; Innovation (UKRI)Natural Environment Research Council (NERC))</t>
  </si>
  <si>
    <t>European Union Marie Curie Seventh Framework Programme, Grant/Award Number: 605051</t>
  </si>
  <si>
    <t>1752-4571</t>
  </si>
  <si>
    <t>EVOL APPL</t>
  </si>
  <si>
    <t>Evol. Appl.</t>
  </si>
  <si>
    <t>10.1111/eva.12974</t>
  </si>
  <si>
    <t>NL8LM</t>
  </si>
  <si>
    <t>WOS:000528051600001</t>
  </si>
  <si>
    <t>Blackman, RC; Bruder, A; Burdon, FJ; Convey, P; Funk, WC; Jähnig, SC; Kishe, MA; Moretti, MS; Natugonza, V; Pawlowski, J; Stubbington, R; Zhang, XW; Seehausen, O; Altermatt, F</t>
  </si>
  <si>
    <t>Blackman, Rosetta C.; Bruder, Andreas; Burdon, Francis J.; Convey, Peter; Funk, W. Chris; Jaehnig, Sonja C.; Kishe, Mary Alphonce; Moretti, Marcelo S.; Natugonza, Vianny; Pawlowski, Jan; Stubbington, Rachel; Zhang, Xiaowei; Seehausen, Ole; Altermatt, Florian</t>
  </si>
  <si>
    <t>A meeting framework for inclusive and sustainable science</t>
  </si>
  <si>
    <t>BIODIVERSITY</t>
  </si>
  <si>
    <t>The ABCD conference format (All continents, Balanced gender, low Carbon transport, Diverse backgrounds) mixes live-streamed and pre-recorded talks with in-person ones to reflect a diverse range of viewpoints and reduce the environmental footprint of meetings while also lowering barriers to inclusiveness.</t>
  </si>
  <si>
    <t>[Blackman, Rosetta C.; Altermatt, Florian] Swiss Fed Inst Aquat Sci &amp; Technol, Dept Aquat Ecol, Eawag, Dubendorf, Switzerland; [Blackman, Rosetta C.; Altermatt, Florian] Univ Zurich, Dept Evolutionary Biol &amp; Environm Studies, Zurich, Switzerland; [Bruder, Andreas] Univ Appl Sci &amp; Arts Southern Switzerland, Lab Appl Microbiol, Bellinzona, Switzerland; [Burdon, Francis J.] Swedish Univ Agr Sci, Dept Aquat Sci &amp; Assessment, Uppsala, Sweden; [Convey, Peter] NERC, British Antarctic Survey, Cambridge, England; [Funk, W. Chris] Colorado State Univ, Dept Biol, Grad Degree Program Ecol, Ft Collins, CO 80523 USA; [Jaehnig, Sonja C.] Leibniz Inst Freshwater Ecol &amp; Inland Fisher IGB, Dept Ecosyst Res, Berlin, Germany; [Kishe, Mary Alphonce] Tanzania Fisheries Res Inst TAFIRI, Dar Es Salaam, Tanzania; [Moretti, Marcelo S.] Univ Vila Velha, Lab Aquat Insect Ecol, Vila Velha, Brazil; [Natugonza, Vianny] Natl Fisheries Resources Res Inst NaFIRRI, Jinja, Uganda; [Pawlowski, Jan] Univ Geneva, Dept Genet &amp; Evolut, Geneva, Switzerland; [Pawlowski, Jan] Polish Acad Sci, Inst Oceanol, Sopot, Poland; [Pawlowski, Jan] ID Gene Ecodiagnost, Campus Biotech Innovat Pk, Geneva, Switzerland; [Stubbington, Rachel] Nottingham Trent Univ, Sch Sci &amp; Technol, Nottingham, England; [Zhang, Xiaowei] Nanjing Univ, Sch Environm, Nanjing, Peoples R China; [Seehausen, Ole] Swiss Fed Inst Aquat Sci &amp; Technol, Eawag, Dept Fish Ecol &amp; Evolut, Kastanienbaum, Switzerland; [Seehausen, Ole] Univ Bern, Inst Ecol &amp; Evolut, Div Aquat Ecol &amp; Evolut, Bern, Switzerland</t>
  </si>
  <si>
    <t>Swiss Federal Institutes of Technology Domain; Swiss Federal Institute of Aquatic Science &amp; Technology (EAWAG); University of Zurich; Swedish University of Agricultural Sciences; UK Research &amp; Innovation (UKRI); Natural Environment Research Council (NERC); NERC British Antarctic Survey; Colorado State University; Leibniz Institut fur Gewasserokologie und Binnenfischerei (IGB); Centro Universitario Vila Velha; University of Geneva; Polish Academy of Sciences; Institute of Oceanology of the Polish Academy of Sciences; Nottingham Trent University; Nanjing University; Swiss Federal Institutes of Technology Domain; Swiss Federal Institute of Aquatic Science &amp; Technology (EAWAG); University of Bern</t>
  </si>
  <si>
    <t>Altermatt, F (corresponding author), Swiss Fed Inst Aquat Sci &amp; Technol, Dept Aquat Ecol, Eawag, Dubendorf, Switzerland.;Altermatt, F (corresponding author), Univ Zurich, Dept Evolutionary Biol &amp; Environm Studies, Zurich, Switzerland.;Seehausen, O (corresponding author), Swiss Fed Inst Aquat Sci &amp; Technol, Eawag, Dept Fish Ecol &amp; Evolut, Kastanienbaum, Switzerland.;Seehausen, O (corresponding author), Univ Bern, Inst Ecol &amp; Evolut, Div Aquat Ecol &amp; Evolut, Bern, Switzerland.</t>
  </si>
  <si>
    <t>Ole.Seehausen@eawag.ch; Florian.Altermatt@ieu.uzh.ch</t>
  </si>
  <si>
    <t>Stubbington, Rachel/ABI-3913-2020; Convey, Peter/AAV-5728-2020; Burdon, Francis/ABC-2827-2020; Jähnig, Sonja C/D-7126-2011; zhang, xiaowei/GQH-5387-2022; Pawlowski, Jan/JNS-6857-2023; Bruder, Andreas/AFC-9051-2022; Seehausen, Ole/C-8272-2011; Pawlowski, Jan/AAO-3306-2021; Moretti, Marcelo/H-6148-2012; Zhang, Xiaowei/I-2259-2012</t>
  </si>
  <si>
    <t>Stubbington, Rachel/0000-0001-8475-5109; Convey, Peter/0000-0001-8497-9903; Burdon, Francis/0000-0002-5398-4993; Jähnig, Sonja C/0000-0002-6349-9561; Bruder, Andreas/0000-0002-4591-491X; Seehausen, Ole/0000-0001-6598-1434; Pawlowski, Jan/0000-0003-2421-388X; Moretti, Marcelo/0000-0003-1994-2105; Natugonza, Vianny/0000-0001-5233-9733; Blackman, Rosetta/0000-0002-6182-8691; Kishe, Mary A./0000-0002-2100-9181; Funk, W. Chris/0000-0002-6466-3618; Zhang, Xiaowei/0000-0001-8974-9963</t>
  </si>
  <si>
    <t>University of Zurich URPP GCB; Swiss National Science Foundation [31003A_173074, CRSII5_183566 / 1]; NERC [bas0100036] Funding Source: UKRI; Swiss National Science Foundation (SNF) [CRSII5_183566] Funding Source: Swiss National Science Foundation (SNF)</t>
  </si>
  <si>
    <t>University of Zurich URPP GCB; Swiss National Science Foundation(Swiss National Science Foundation (SNSF)); NERC(UK Research &amp; Innovation (UKRI)Natural Environment Research Council (NERC)); Swiss National Science Foundation (SNF)(Swiss National Science Foundation (SNSF))</t>
  </si>
  <si>
    <t>We thank the University of Zurich Research Priority Programme on Global Change and Biodiversity (URPP GCB) for organizing the World Biodiversity Forum and hosting our session, as well as all attendees of the session for their comments, contributions and openness to this new format. Funding is from the University of Zurich URPP GCB and the Swiss National Science Foundation Grant No. 31003A_173074 to F.A. and Swiss National Science Foundation Grant No. CRSII5_183566 / 1 to O.S.</t>
  </si>
  <si>
    <t>10.1038/s41559-020-1190-x</t>
  </si>
  <si>
    <t>LL2ZX</t>
  </si>
  <si>
    <t>Green Accepted, Bronze, Green Published</t>
  </si>
  <si>
    <t>WOS:000528422200002</t>
  </si>
  <si>
    <t>Christiansen, F; Dawson, SM; Durban, JW; Fearnbach, H; Miller, CA; Bejder, L; Uhart, M; Sironi, M; Corkeron, P; Rayment, W; Leunissen, E; Haria, E; Ward, R; Warick, HA; Kerr, I; Lynn, MS; Pettis, HM; Moore, MJ</t>
  </si>
  <si>
    <t>Christiansen, Fredrik; Dawson, Stephen M.; Durban, John W.; Fearnbach, Holly; Miller, Carolyn A.; Bejder, Lars; Uhart, Marcela; Sironi, Mariano; Corkeron, Peter; Rayment, William; Leunissen, Eva; Haria, Eashani; Ward, Rhianne; Warick, Hunter A.; Kerr, Iain; Lynn, Morgan S.; Pettis, Heather M.; Moore, Michael J.</t>
  </si>
  <si>
    <t>Population comparison of right whale body condition reveals poor state of the North Atlantic right whale</t>
  </si>
  <si>
    <t>Baleen whale; Bioenergetics; Eubalaena; Morphometrics; Photogrammetry; Unmanned aerial vehicles</t>
  </si>
  <si>
    <t>SOUTHERN RIGHT WHALES; EUBALAENA-GLACIALIS; REPRODUCTIVE SUCCESS; NATURAL-SELECTION; ELEPHANT SEALS; MATERNAL MASS; ENTANGLEMENT; GROWTH; AUSTRALIS; FITNESS</t>
  </si>
  <si>
    <t>The North Atlantic right whale Eubalaena glacialis (NARW), currently numbering &lt;410 individuals, is on a trajectory to extinction. Although direct mortality from ship strikes and fishing gear entanglements remain the major threats to the population, reproductive failure, resulting from poor body condition and sublethal chronic entanglement stress, is believed to play a crucial role in the population decline. Using photogrammetry from unmanned aerial vehicles, we conducted the largest population assessment of right whale body condition to date, to determine if the condition of NARWs was poorer than 3 seemingly healthy (i.e. growing) populations of southern right whales E. australis (SRWs) in Argentina, Australia and New Zealand. We found that NARW juveniles, adults and lactating females all had lower body condition scores compared to the SRW populations. While some of the difference could be the result of genetic isolation and adaptations to local environmental conditions, the magnitude suggests that NARWs are in poor condition, which could be suppressing their growth, survival, age of sexual maturation and calving rates. NARW calves were found to be in good condition. Their body length, however, was strongly determined by the body condition of their mothers, suggesting that the poor condition of lactating NARW females may cause a reduction in calf growth rates. This could potentially lead to a reduction in calf survival or an increase in female calving intervals. Hence, the poor body condition of individuals within the NARW population is of major concern for its future viability.</t>
  </si>
  <si>
    <t>[Christiansen, Fredrik] Aarhus Inst Adv Studies, Hoaegh Guldbergs Gade 6B, DK-8000 Aarhus C, Denmark; [Christiansen, Fredrik; Bejder, Lars] Aarhus Univ, Dept Biol, Zoophysiol, CF Mollers Alle 3, DK-8000 Aarhus C, Denmark; [Christiansen, Fredrik; Bejder, Lars; Haria, Eashani; Warick, Hunter A.] Murdoch Univ, Ctr Sustainable Aquat Ecosyst, Harry Butler Inst, Murdoch, WA 6150, Australia; [Dawson, Stephen M.; Rayment, William; Leunissen, Eva] Univ Otago, Dept Marine Sci, Dunedin 9054, New Zealand; [Durban, John W.; Lynn, Morgan S.] NOAA, Natl Marine Fisheries Serv, Southwest Fisheries Sci Ctr, La Jolla, CA 92037 USA; [Fearnbach, Holly] SeaLife Response Rehabil &amp; Res, Seattle, WA 98126 USA; [Miller, Carolyn A.] Woods Hole Oceanog Inst, Dept Marine Chem &amp; Geochem, Woods Hole, MA 02543 USA; [Bejder, Lars] Univ Hawaii Manoa, Hawaii Inst Marine Biol, Marine Mammal Res Program, Honolulu, HI 96744 USA; [Uhart, Marcela; Sironi, Mariano] Southern Right Whale Hlth Monitoring Program, RA-9120 Puerto Madryn, Chubut, Argentina; [Uhart, Marcela] Univ Calif Davis, Sch Vet Med, Davis, CA 95616 USA; [Sironi, Mariano] Inst Conservac Ballenas, RA-1429 Buenos Aires, DF, Argentina; [Sironi, Mariano] Univ Nacl Cordoba, Diversidad Biol 4, RA-5000 Cordoba, Argentina; [Corkeron, Peter; Pettis, Heather M.] Anderson Cabot Ctr Ocean Life, New England Aquarium, Boston, MA 02110 USA; [Ward, Rhianne] Curtin Univ, Ctr Marine Sci &amp; Technol, Bentley, WA 6102, Australia; [Kerr, Iain] Ocean Alliance, Gloucester, MA 01930 USA; [Moore, Michael J.] Woods Hole Oceanog Inst, Biol Dept, Woods Hole, MA 02543 USA</t>
  </si>
  <si>
    <t>Aarhus University; Murdoch University; University of Otago; National Oceanic Atmospheric Admin (NOAA) - USA; Woods Hole Oceanographic Institution; University of Hawaii System; University of Hawaii Manoa; University of California System; University of California Davis; National University of Cordoba; Curtin University; Woods Hole Oceanographic Institution</t>
  </si>
  <si>
    <t>Christiansen, F (corresponding author), Aarhus Inst Adv Studies, Hoaegh Guldbergs Gade 6B, DK-8000 Aarhus C, Denmark.;Christiansen, F (corresponding author), Aarhus Univ, Dept Biol, Zoophysiol, CF Mollers Alle 3, DK-8000 Aarhus C, Denmark.;Christiansen, F (corresponding author), Murdoch Univ, Ctr Sustainable Aquat Ecosyst, Harry Butler Inst, Murdoch, WA 6150, Australia.</t>
  </si>
  <si>
    <t>f.christiansen@aias.au.dk</t>
  </si>
  <si>
    <t>Christiansen, Fredrik/O-3655-2017; Corkeron, Peter/I-1170-2019; Bejder, Lars/D-1772-2017</t>
  </si>
  <si>
    <t>Christiansen, Fredrik/0000-0001-9090-8458; Corkeron, Peter/0000-0003-1553-1253; Ward, Rhianne/0000-0001-8766-6523; Bejder, Lars/0000-0001-8138-8606</t>
  </si>
  <si>
    <t>North Atlantic: NOAA [NA14OAR4320158]; Australia: US Office of Naval Research Marine Mammals Program [N00014-17-1-3018]; World Wildlife Fund for Nature Australia; Murdoch University School of Veterinary and Life Sciences Small Grant Award; New Zealand: New Zealand Antarctic Research institute [NZARI 2016-1-4]; Otago University; NZ Whale and Dolphin Trust; Argentina: National Geographic Society [NGS379R-18]</t>
  </si>
  <si>
    <t>North Atlantic: NOAA; Australia: US Office of Naval Research Marine Mammals Program(Office of Naval Research); World Wildlife Fund for Nature Australia; Murdoch University School of Veterinary and Life Sciences Small Grant Award; New Zealand: New Zealand Antarctic Research institute; Otago University; NZ Whale and Dolphin Trust; Argentina: National Geographic Society</t>
  </si>
  <si>
    <t>Research permits: North Atlantic: NOAA 17355-01; Australia: DEWNR M26501-2 &amp; MR00082-3-V; New Zealand: Department of Conservation 50094-MAR; Argentina: Sub Secretaria de Conservacion y Areas Protegidas 43-SsCyAP/18 and Direccion de Fauna y Flora Silvestres 106/2018.SsG-M.P. Animal ethics permits: North Atlantic: Woods Hole Oceanographic Institution Institutional Animal Care and Use Committee; Australia and Argentina: Murdoch University O2819/16. UAV permits: North Atlantic: FAA MOU 2016-ESA-3-NOAA; Australia: 1-YC6NP-03. Funding: North Atlantic: NOAA NA14OAR4320158; Australia: US Office of Naval Research Marine Mammals Program (Award No. N00014-17-1-3018), the World Wildlife Fund for Nature Australia and a Murdoch University School of Veterinary and Life Sciences Small Grant Award; New Zealand: New Zealand Antarctic Research institute (NZARI 2016-1-4), Otago University and NZ Whale and Dolphin Trust; Argentina: National Geographic Society (Grant number: NGS379R-18). Thanks to: North Atlantic: NOAA's Office of Marine and Aircraft Operations and Aircraft Operations Center, D. LeRoi and W. Perryman for technical support; Australia: Aboriginal Lands Trust, Yalata Land Management and Far West Coast Aboriginal Corporation for access to Aboriginal lands, and C. Charlton and F. Vivier for help in the field; this paper represents HIMB and SOEST contribution numbers 1788 and 10919; New Zealand: Crew and expedition members on board `Polaris II'; Argentina: J. Graham, M. Ricciardi, A. Fernandez Ajo, M. Di Martino, C. Adrian Diaz and R. Soley for help in the field, the Ferro family for access to their property and Instituto de Conservacion de Ballenas for logistical support. Finally, we thank P. Palsboll and 3 anonymous reviewers for their constructive comments which helped to improve this manuscript.</t>
  </si>
  <si>
    <t>APR 23</t>
  </si>
  <si>
    <t>10.3354/meps13299</t>
  </si>
  <si>
    <t>MG3HZ</t>
  </si>
  <si>
    <t>WOS:000545926500001</t>
  </si>
  <si>
    <t>Fraser, KM; Stuart-Smith, RD; Ling, SD; Heather, FJ; Edgar, GJ</t>
  </si>
  <si>
    <t>Fraser, K. M.; Stuart-Smith, R. D.; Ling, S. D.; Heather, F. J.; Edgar, G. J.</t>
  </si>
  <si>
    <t>Taxonomic composition of mobile epifaunal invertebrate assemblages on diverse benthic microhabitats from temperate to tropical reefs</t>
  </si>
  <si>
    <t>Macrofauna; Habitat structure; Coral; Macroalgae; Turf</t>
  </si>
  <si>
    <t>HABITAT COMPLEXITY; CORAL-REEF; MARINE HERBIVORES; GLOBAL PATTERNS; FISH PREDATION; ALGAL TURFS; RESILIENCE; PRODUCTIVITY; BIODIVERSITY; ORGANIZATION</t>
  </si>
  <si>
    <t>Anthropogenic drivers are flattening reef structure from 3-dimensional habitats composed of macroalgae and live branching corals towards low-profile turfing algae. Our current understanding of the consequences of widespread reef degradation currently fails to consider the responses of small mobile invertebrates ('epifauna') to patterns of change amongst reef structural elements ('microhabitats'). Here, the taxonomic composition of 152 epifaunal assemblages was compared among 21 structurally diverse benthic microhabitats across an Australian temperate to tropical climatic gradient, spanning 28.6 degrees in latitude from Tasmania to the northern Great Barrier Reef. Epifauna varied consistently with different microhabitat types, and to a much lesser extent with latitude. Macroalgae, live branching coral and turfing algae represented 3 extremes for epifaunal community structure, with most microhabitats possessing epifaunal assemblages intermediate between these endpoints. Amongst structural characteristics, epifauna related primarily to the degree of branching and hardness of microhabitats. Mobile invertebrate communities are likely to transform in predictable ways with the collapse of large erect macroalgae and live coral towards low-lying turf-associated communities.</t>
  </si>
  <si>
    <t>[Fraser, K. M.; Stuart-Smith, R. D.; Ling, S. D.; Heather, F. J.; Edgar, G. J.] Univ Tasmania, Inst Marine &amp; Antarctic Studies, Taroona, Tas 7053, Australia</t>
  </si>
  <si>
    <t>Fraser, KM (corresponding author), Univ Tasmania, Inst Marine &amp; Antarctic Studies, Taroona, Tas 7053, Australia.</t>
  </si>
  <si>
    <t>kate.fraser@utas.edu.au</t>
  </si>
  <si>
    <t>Heather, Freddie/KBA-4476-2024; Heather, Freddie J./ABG-8120-2020; Stuart-Smith, Rick/I-5214-2019; Edgar, Graham/AAY-3797-2020</t>
  </si>
  <si>
    <t>Heather, Freddie J./0000-0002-1650-2617; Stuart-Smith, Rick/0000-0002-8874-0083; Edgar, Graham/0000-0003-0833-9001; Fraser, Kate/0000-0002-3057-5257</t>
  </si>
  <si>
    <t>Australian Research Council; Australian Postgraduate Award; Marine Biodiversity Hub; Australian Government's National Environmental Science Programme; Parks Australia; Sydney Institute for Marine Science; Australian Museum's Lizard Island Research Station</t>
  </si>
  <si>
    <t>Australian Research Council(Australian Research Council); Australian Postgraduate Award(Australian Government); Marine Biodiversity Hub; Australian Government's National Environmental Science Programme(Australian Government); Parks Australia; Sydney Institute for Marine Science; Australian Museum's Lizard Island Research Station</t>
  </si>
  <si>
    <t>This study was supported by Australian Research Council grants to G.J.E. and S.D.L. and an Australian Postgraduate Award to K.M.F. Fieldwork was additionally supported by the Marine Biodiversity Hub, a collaborative partnership supported through the Australian Government's National Environmental Science Programme, as well as Parks Australia, the Sydney Institute for Marine Science and the Australian Museum's Lizard Island Research Station.</t>
  </si>
  <si>
    <t>10.3354/meps13295</t>
  </si>
  <si>
    <t>WOS:000545926500003</t>
  </si>
  <si>
    <t>Sheehan, CE; Nielsen, DA; Petrou, K</t>
  </si>
  <si>
    <t>Sheehan, Cristin Elizabeth; Nielsen, Daniel Aagren; Petrou, Katherina</t>
  </si>
  <si>
    <t>Macromolecular composition, productivity and dimethylsulfoniopropionate in Antarctic pelagic and sympagic microalgal communities</t>
  </si>
  <si>
    <t>Southern Ocean; Phytoplankton; Diatoms; Dimethylsulfoniopropionate; Macromolecules; FTIR-microspectroscopy</t>
  </si>
  <si>
    <t>DMSP LYASE ACTIVITY; PHOTOSYNTHETIC ENERGY-CONVERSION; UNSATURATED FATTY-ACIDS; SEA-ICE DIATOMS; PHAEOCYSTIS-ANTARCTICA; BIOCHEMICAL-COMPOSITION; SPATIAL-DISTRIBUTION; OCEAN ACIDIFICATION; EXTREME CONDITIONS; BATCH CULTURES</t>
  </si>
  <si>
    <t>Microalgae form the base of the Antarctic marine food web and through their conversion of nutrients into biomass, are the principal source of energy for higher trophic levels. Environmental conditions strongly influence microalgal photophysiology, biochemistry and macromolecular composition, which has implications for the quality and quantity of energy available for transfer through the food web. Here we assessed the photosynthetic performance, biochemical (dimethylsulfoniopropionate; DMSP) and macromolecular composition (lipids, carbohydrates and proteins) of selected diatoms sampled from 2 distinct Antarctic marine environments, namely the late spring bottom sea ice (sympagic) and near-shore ice-free coastal waters (pelagic). The photosynthetic efficiency and photoprotective capacity of the communities differed significantly, and chlorophyll a-specific gross primary productivity was 4-fold greater in the pelagic community. At the community level, pelagic microalgae had the highest DMSP content (1.4 nmol [mu g chl a](-1)) and the highest potential rates of DMSP lyase activity (0.87 nmol [mu g chl a](-)1 h(-1)). Comparisons within each community showed taxon-specific differences in macromolecular composition, which were strongest amongst the sympagic diatoms. Comparing across communities, pelagic diatoms had lower lipid to protein ratios, whereas sympagic diatoms were lipid rich and had significantly higher content of unsaturated fatty acids. These findings show variability in the physiology and nutritional quality of the base of the food web depending on habitat and taxonomic group and emphasise the importance of the sympagic community for providing a concentrated source of high-energy compounds during the pulsed productivity events for key grazers such as krill to survive through long dark winters.</t>
  </si>
  <si>
    <t>[Sheehan, Cristin Elizabeth; Nielsen, Daniel Aagren; Petrou, Katherina] Univ Technol Sydney, Sch Life Sci, Sydney, NSW 2007, Australia; [Sheehan, Cristin Elizabeth] Univ Technol Sydney, Climate Change Cluster, Sydney, NSW 2007, Australia</t>
  </si>
  <si>
    <t>University of Technology Sydney; University of Technology Sydney</t>
  </si>
  <si>
    <t>Petrou, K (corresponding author), Univ Technol Sydney, Sch Life Sci, Sydney, NSW 2007, Australia.</t>
  </si>
  <si>
    <t>katherina.petrou@uts.edu.au</t>
  </si>
  <si>
    <t>Nielsen, Daniel/AAU-1065-2020</t>
  </si>
  <si>
    <t>Nielsen, Daniel/0000-0001-6678-5937; Petrou, Katherina/0000-0002-2703-0694</t>
  </si>
  <si>
    <t>Australian Synchrotron through merit-based beamtime awarded on the Infrared Microscopy (IRM) beamline [AS153/IRM/10005]; Australian Antarctic Science Project [4026]; Australian Postgraduate Award (APA); Climate Change Cluster (C3); School of Life Science, University of Technology Sydney</t>
  </si>
  <si>
    <t>Australian Synchrotron through merit-based beamtime awarded on the Infrared Microscopy (IRM) beamline; Australian Antarctic Science Project; Australian Postgraduate Award (APA)(Australian Government); Climate Change Cluster (C3); School of Life Science, University of Technology Sydney</t>
  </si>
  <si>
    <t>We thank the Australian Synchrotron Principal Beamline Scientists Drs. Mark Tobin and Jitraporn Vongsvivut for technical support in synchrotron IR microspectroscopy data acquisition. Part of this work was funded by the Australian Synchrotron through merit-based beamtime awarded on the Infrared Microscopy (IRM) beamline (AS153/IRM/10005). Thanks also to Dr. Andrew Davidson and the Australian Antarctic Division for field support and sample collection as part of the Australian Antarctic Science Project 4026 and to Dr. Alyce Hancock for cell counts of the pelagic community. C.E.S. was supported by an Australian Postgraduate Award (APA), and research funding was provided by the Climate Change Cluster (C3) and the School of Life Science, University of Technology Sydney.</t>
  </si>
  <si>
    <t>10.3354/meps13310</t>
  </si>
  <si>
    <t>WOS:000545926500004</t>
  </si>
  <si>
    <t>Michelot, C; Kato, A; Raclot, T; Shiomi, K; Goulet, P; Bustamante, P; Ropert-Coudert, Y</t>
  </si>
  <si>
    <t>Michelot, C.; Kato, A.; Raclot, T.; Shiomi, K.; Goulet, P.; Bustamante, P.; Ropert-Coudert, Y.</t>
  </si>
  <si>
    <t>Sea-ice edge is more important than closer open water access for foraging Adelie penguins: evidence from two colonies</t>
  </si>
  <si>
    <t>Pygoscelis adeliae; Incubation trip; Sea-ice edge; Colony; Diet; GPS; Stable isotopes</t>
  </si>
  <si>
    <t>GEORGE-V-LAND; SOUTHERN-OCEAN; STABLE-ISOTOPES; PYGOSCELIS-ADELIAE; COMMONWEALTH BAY; AD,LIE PENGUINS; CLIMATE-CHANGE; KING PENGUINS; TERRE ADELIE; FINE-SCALE</t>
  </si>
  <si>
    <t>Sentinel species, like Adelie penguins, have been used to assess the impact of environmental changes, and their link with sea ice has received considerable attention. Here, we tested if foraging Adelie penguins from 2 colonies in East Antarctica target the distant sea-ice edge or take advantage of closer open waters that are readily available near their colony. We examined the foraging behaviour of penguins during the incubation trips of females in 2016 and males in 2017, using GPS tracking and diet data in view of daily sea-ice data and bathymetry. In 2016-2017, sea-ice cover was extensive during females' trips but flaw leads and polynyas were close to both study sites. Sea ice receded rapidly during males' trips in 2017-2018. Despite close open water near both colonies in both years, females and males preferentially targeted the continental slope and the sea-ice edge to forage. In addition, there was no difference in the diet of penguins from both colonies: all penguins fed mostly on Antarctic hill and males also foraged on Antarctic silverfish. Our results highlight the importance of the sea-ice edge for penguins, an area where food abundance is predictable. It is likely that resource availability was not sufficient in closer open water areas at such an early stage in the breeding season. The behaviours displayed by the penguins from both colonies were similar, suggesting a common behaviour across colonies in Terre Adelie, although additional sites would be necessary to confirm this hypothesis.</t>
  </si>
  <si>
    <t>[Michelot, C.; Kato, A.; Ropert-Coudert, Y.] La Rochelle Univ, Ctr Etud Biol Chize, CNRS, UMR 7372, F-79360 Villiers En Bois, France; [Raclot, T.] CNRS, Inst Pluridisciplinaire Hubert Curien, UMR 7178, F-67200 Strasbourg, France; [Shiomi, K.] Natl Inst Polar Res, Tokyo 1908518, Japan; [Goulet, P.] Univ St Andrews, Sea Mammal Res Unit, St Andrews KY16 9XL, Fife, Scotland; [Bustamante, P.] La Rochelle Univ, CNRS, UMR 7266, Littoral Environm &amp; Soc, F-17000 La Rochelle, France; [Bustamante, P.] Inst Univ France IUF, 1 Rue Descartes, F-75005 Paris, France</t>
  </si>
  <si>
    <t>Centre National de la Recherche Scientifique (CNRS); CNRS - Institute of Ecology &amp; Environment (INEE); Centre National de la Recherche Scientifique (CNRS); CNRS - National Institute of Nuclear and Particle Physics (IN2P3); Universites de Strasbourg Etablissements Associes; Universite de Strasbourg; Research Organization of Information &amp; Systems (ROIS); National Institute of Polar Research (NIPR) - Japan; University of St Andrews; Centre National de la Recherche Scientifique (CNRS); CNRS - Institute of Ecology &amp; Environment (INEE); Institut Universitaire de France</t>
  </si>
  <si>
    <t>Michelot, C (corresponding author), La Rochelle Univ, Ctr Etud Biol Chize, CNRS, UMR 7372, F-79360 Villiers En Bois, France.</t>
  </si>
  <si>
    <t>candice.michelot@gmail.com</t>
  </si>
  <si>
    <t>Shiomi, Kozue/GSO-1403-2022; Bustamante, Paco/G-5833-2011</t>
  </si>
  <si>
    <t>Bustamante, Paco/0000-0003-3877-9390; Michelot, Candice/0000-0001-7742-7174; Shiomi, Kozue/0000-0002-2614-9538</t>
  </si>
  <si>
    <t>IPEV [1091]; WWF-UK; Zone Atelier Antarctique et Subantarctique -LTER France of the CNRS; Terre Australes et Antarctiques Francaises (TAAF); BNP Paribas Foundation; IUF (Institut Universitaire de France)</t>
  </si>
  <si>
    <t>IPEV; WWF-UK; Zone Atelier Antarctique et Subantarctique -LTER France of the CNRS; Terre Australes et Antarctiques Francaises (TAAF); BNP Paribas Foundation; IUF (Institut Universitaire de France)</t>
  </si>
  <si>
    <t>This study was approved by the ethics committee of the French Polar Institute Paul Emile Victor (IPEV). We are grateful for all financial and logistic support: the IPEV (program 1091, resp. Y.R.C. &amp; T.R.), the WWF-UK through R. Downie, the Zone Atelier Antarctique et Subantarctique -LTER France of the CNRS, the Terre Australes et Antarctiques Francaises (TAAF). This study is a contribution to the program SENSEI funded by the BNP Paribas Foundation. We thank M. Brault-Favrou and G. Guillou from LIENSs for stable isotope analysis help and measurements. The IUF (Institut Universitaire de France) is acknowledged for its support to P.B. as a Senior Member. We also thank the reviewers for their help in improving an earlier version of the manuscript.</t>
  </si>
  <si>
    <t>10.3354/meps13289</t>
  </si>
  <si>
    <t>WOS:000545926500015</t>
  </si>
  <si>
    <t>Mörs, T; Reguero, M; Vasilyan, D</t>
  </si>
  <si>
    <t>Mors, Thomas; Reguero, Marcelo; Vasilyan, Davit</t>
  </si>
  <si>
    <t>First fossil frog from Antarctica: implications for Eocene high latitude climate conditions and Gondwanan cosmopolitanism of Australobatrachia</t>
  </si>
  <si>
    <t>ALLIGATOR-MISSISSIPPIENSIS; BONE ORNAMENTATION; MIDDLE EOCENE; CALYPTOCEPHALELLIDAE; MORPHOGENESIS; REASSESSMENT; EVOLUTION; PATAGONIA; MIOCENE; MA</t>
  </si>
  <si>
    <t>Cenozoic ectothermic continental tetrapods (amphibians and reptiles) have not been documented previously from Antarctica, in contrast to all other continents. Here we report a fossil ilium and an ornamented skull bone that can be attributed to the Recent, South American, anuran family Calyptocephalellidae or helmeted frogs, representing the first modern amphibian found in Antarctica. The two bone fragments were recovered in Eocene, approximately 40 million years old, sediments on Seymour Island, Antarctic Peninsula. The record of hyperossified calyptocephalellid frogs outside South America supports Gondwanan cosmopolitanism of the anuran clade Australobatrachia. Our results demonstrate that Eocene freshwater ecosystems in Antarctica provided habitats favourable for ectothermic vertebrates (with mean annual precipitation &gt;= 900mm, coldest month mean temperature &gt;= 3.75 degrees C, and warmest month mean temperature &gt;= 13.79 degrees C), at a time when there were at least ephemeral ice sheets existing on the highlands within the interior of the continent.</t>
  </si>
  <si>
    <t>[Mors, Thomas] Swedish Museum Nat Hist, Dept Paleobiol, SE-10405 Stockholm, Sweden; [Mors, Thomas] Stockholm Univ, Bolin Ctr Climate Res, Stockholm, Sweden; [Reguero, Marcelo] Inst Antartico Argentino, Campus Miguelete,25 Mayo 1151,3 Piso B1650HMK, San Martin, Buenos Aires, Argentina; [Vasilyan, Davit] JURASSICA Museum, Route Fontenais 21, CH-2900 Porrentruy, Switzerland; [Vasilyan, Davit] Univ Fribourg, Dept Geosci, Chemin Musee 6, CH-1700 Fribourg, Switzerland</t>
  </si>
  <si>
    <t>Swedish Museum of Natural History; Instituto Antartico Argentino; University of Fribourg</t>
  </si>
  <si>
    <t>Mörs, T (corresponding author), Swedish Museum Nat Hist, Dept Paleobiol, SE-10405 Stockholm, Sweden.;Mörs, T (corresponding author), Stockholm Univ, Bolin Ctr Climate Res, Stockholm, Sweden.</t>
  </si>
  <si>
    <t>thomas.moers@nrm.se</t>
  </si>
  <si>
    <t>Reguero, Marcelo A./JHS-4893-2023; Vasilyan, Davit/H-9603-2019</t>
  </si>
  <si>
    <t>Vasilyan, Davit/0000-0001-8712-0678</t>
  </si>
  <si>
    <t>Swedish Research Council (VR) [2009-4447]; Bolin Center for Climate Research, Stockholm University (RA6 grant); Consejo Nacional de lnvestigaciones Cientificas y Tecnicas (CONICET) [PIP 0462]; Argentinian National Agency for Promotion of Science and Technology (ANPCyT) [PICTO 0093/2010]</t>
  </si>
  <si>
    <t>Swedish Research Council (VR)(Swedish Research Council); Bolin Center for Climate Research, Stockholm University (RA6 grant); Consejo Nacional de lnvestigaciones Cientificas y Tecnicas (CONICET)(Consejo Nacional de Investigaciones Cientificas y Tecnicas (CONICET)); Argentinian National Agency for Promotion of Science and Technology (ANPCyT)(ANPCyT)</t>
  </si>
  <si>
    <t>We thank the Argentine Antarctic Institute (IAA-DNA), the Argentine Air Force and the Swedish Polar Research Secretariat (SPFS) for logistical support in Antarctica; M. de los Reyes for screening and picking; E. M. Friis, S. McLoughlin and P. von Knorring for assistance with the figures; C. Mays and the late J.-C. Rage for helpful comments on an earlier manuscript version; handling editor C. Ohneiser, reviewer T. Worthy and an anonymous reviewer for their careful work which improved the manuscript significantly. This work was funded by the Swedish Research Council (VR grant number 2009-4447) to T.M., the Bolin Center for Climate Research, Stockholm University (RA6 grant) to T.M., the Consejo Nacional de lnvestigaciones Cientificas y Tecnicas (CONICET grant number PIP 0462) to M.R., and the Argentinian National Agency for Promotion of Science and Technology (ANPCyT grant number PICTO 0093/2010) to M.R.</t>
  </si>
  <si>
    <t>10.1038/s41598-020-61973-5</t>
  </si>
  <si>
    <t>LJ2EV</t>
  </si>
  <si>
    <t>WOS:000529984100001</t>
  </si>
  <si>
    <t>Sinev, AY; Karabanov, DP; Kotov, AA</t>
  </si>
  <si>
    <t>Sinev, Artem Y.; Karabanov, Dmitry P.; Kotov, Alexey A.</t>
  </si>
  <si>
    <t>A new North Eurasian species of the Alona affinis complex (Cladocera: Chydoridae)</t>
  </si>
  <si>
    <t>Cladocera; Alona; taxonomy; revision; new species; Eurasia</t>
  </si>
  <si>
    <t>SUB-ANTARCTIC ISLANDS; BASIN FAR-EAST; CRUSTACEA BRANCHIOPODA; ANOMOPODA CHYDORIDAE; REVISION; MODEL; BAIRD; DIFFERENTIATION; NEUTRALITY; CHECKLIST</t>
  </si>
  <si>
    <t>Our analysis of Alona cf. affinis (Cladocera: Chydoridae) populations from European Russia, Siberia and Far East of Russia bearing denticles at the posteroventral corner, based on both their morphology and genetic study considering variability of mitochondrial COI and 16S and nuclear 18S genes, revealed that they belong to a separate taxon described here as Alona sibirica sp. nov. Previously populations with denticles at the posteroventral corner were recorded from Sweden, Finland, Ukraine, European Russia, Kyrgyzstan and Mongolia, but never reported outside the temperate regions of Eurasia, so A. sibirica sp. nov. is presumably the only species of the A. affinis group with denticles at the posteroventral corner of the valves. The primary distribution area of the new species is North-East Palaearctic, while Eastern Europe and Central Asia are the areas of the species penetration, where it is less common and frequently coexisting with A. affinis s. str.</t>
  </si>
  <si>
    <t>[Sinev, Artem Y.; Karabanov, Dmitry P.; Kotov, Alexey A.] AN Severtsov Inst Ecol &amp; Evolut, Leninsky Prospect 33, Moscow 119071, Russia; [Sinev, Artem Y.] Moscow MV Lomonosov State Univ, Biol Fac, Dept Invertebrate Zool, Moscow 119991, Russia; [Karabanov, Dmitry P.] Russian Acad Sci, Papanin Inst Biol Inland Waters, Yaroslavl Area, Borok 152742, Russia</t>
  </si>
  <si>
    <t>Russian Academy of Sciences; Saratov Scientific Center of the Russian Academy of Sciences; Severtsov Institute of Ecology &amp; Evolution; Lomonosov Moscow State University; Papanin Institute for Biology of Inland Waters; Russian Academy of Sciences</t>
  </si>
  <si>
    <t>Kotov, AA (corresponding author), AN Severtsov Inst Ecol &amp; Evolut, Leninsky Prospect 33, Moscow 119071, Russia.</t>
  </si>
  <si>
    <t>alexey-a-kotov@yandex.ru</t>
  </si>
  <si>
    <t>Sinev, Artem Y./J-8201-2012; Karabanov, Dmitry/F-3779-2011; Kotov, Alexey A./B-1549-2010</t>
  </si>
  <si>
    <t>Karabanov, Dmitry/0000-0001-6008-7441; Kotov, Alexey A./0000-0002-8863-6438</t>
  </si>
  <si>
    <t>Russian Science Foundation [18-14-00325]; Russian Science Foundation [18-14-00325] Funding Source: Russian Science Foundation</t>
  </si>
  <si>
    <t>The study is supported by the Russian Science Foundation (project. 18-14-00325).</t>
  </si>
  <si>
    <t>250F Marua Road Mt Wellington, AUCKLAND, ST LUKES 1023, NEW ZEALAND</t>
  </si>
  <si>
    <t>10.11646/zootaxa.4767.1.5</t>
  </si>
  <si>
    <t>LH3ZC</t>
  </si>
  <si>
    <t>WOS:000528724600005</t>
  </si>
  <si>
    <t>Tortello, C; Agostino, PV; Folgueira, A; Barbarito, M; Cuiuli, JM; Coll, M; Golombek, DA; Plano, SA; Vigo, DE</t>
  </si>
  <si>
    <t>Tortello, Camila; Agostino, Patricia, V; Folgueira, Agustin; Barbarito, Marta; Cuiuli, Juan M.; Coll, Matias; Golombek, Diego A.; Plano, Santiago A.; Vigo, Daniel E.</t>
  </si>
  <si>
    <t>Subjective time estimation in Antarctica: The impact of extreme environments and isolation on a time production task</t>
  </si>
  <si>
    <t>NEUROSCIENCE LETTERS</t>
  </si>
  <si>
    <t>Interval timing; Antarctica; Polar night; Circadian rhythms; Extreme environment</t>
  </si>
  <si>
    <t>EMOTIONAL MODULATION; CIRCADIAN MODULATION; SPACE ANALOG; PERCEPTION; SLEEP; LIGHT; BEHAVIOR; PERFORMANCE; EXPECTANCY; MECHANISMS</t>
  </si>
  <si>
    <t>Interval timing measures time estimation in the seconds-to-minutes range. Antarctica provides a real-world context to study the effect of extreme photoperiods and isolation on time perception. The aim of this study was to explore interval timing as a cognitive measure in the crew of Belgrano II Argentine Antarctic Station. A total of 13 subjects were assessed for interval timing in short (3 s), intermediate (6 s) and long (12 s) duration stimuli. Measures were taken during the morning and evening, five times along the year. Significant variations were found for 3 s and 6 s during the morning and 6 s during the evening. Results suggest an impact of isolation on morning performances and an effect of the polar night on evening measures. These findings shed some light on the use of interval timing as a cognitive test to assess performance in extreme environments.</t>
  </si>
  <si>
    <t>[Tortello, Camila; Agostino, Patricia, V; Golombek, Diego A.; Plano, Santiago A.] Natl Univ Quilmes UNQ, Chronobiol Lab, Buenos Aires, DF, Argentina; [Tortello, Camila; Plano, Santiago A.; Vigo, Daniel E.] Catholic Univ Argentina UCA, Inst Biomed Res BIOMED, Buenos Aires, DF, Argentina; [Tortello, Camila; Agostino, Patricia, V; Golombek, Diego A.; Plano, Santiago A.; Vigo, Daniel E.] Consejo Nacl Invest Cient &amp; Tecn, Buenos Aires, DF, Argentina; [Folgueira, Agustin] Cent Mil Hosp, Neurol Dept, Argentine Army, Buenos Aires, DF, Argentina; [Barbarito, Marta] Argentine Antarctic Inst, Buenos Aires, DF, Argentina; [Cuiuli, Juan M.; Coll, Matias] Argentine Joint Antarctic Command, Buenos Aires, DF, Argentina; [Vigo, Daniel E.] Katholieke Univ Leuven, Fac Psychol &amp; Educ Sci, Leuven, Belgium</t>
  </si>
  <si>
    <t>Pontificia Universidad Catolica Argentina; Consejo Nacional de Investigaciones Cientificas y Tecnicas (CONICET); University of Buenos Aires; KU Leuven</t>
  </si>
  <si>
    <t>Plano, SA; Vigo, DE (corresponding author), Alicia Moreau de Justo 1500,4 Piso,C1107AAZ, Buenos Aires, DF, Argentina.</t>
  </si>
  <si>
    <t>santiagoplano@uca.edu.ar; dvigo@conicet.gov.ar</t>
  </si>
  <si>
    <t>Plano, Santiago/0000-0002-7984-8826; Vigo, Daniel Eduardo/0000-0003-2291-245X; Folgueira, Agustin/0000-0001-6053-6155</t>
  </si>
  <si>
    <t>Ministry of Defense [06]; Agencia Nacional de Promocion Cientifica y Tecnica (ANPCyT) [PICTO 2017-0068]</t>
  </si>
  <si>
    <t>Ministry of Defense; Agencia Nacional de Promocion Cientifica y Tecnica (ANPCyT)(ANPCyT)</t>
  </si>
  <si>
    <t>This work was supported by grants of Ministry of Defense grant PIDEFF 2014-2017 no 06 and Agencia Nacional de Promocion Cientifica y Tecnica (ANPCyT) grant PICTO 2017-0068.</t>
  </si>
  <si>
    <t>0304-3940</t>
  </si>
  <si>
    <t>1872-7972</t>
  </si>
  <si>
    <t>NEUROSCI LETT</t>
  </si>
  <si>
    <t>Neurosci. Lett.</t>
  </si>
  <si>
    <t>10.1016/j.neulet.2020.134893</t>
  </si>
  <si>
    <t>LD3MN</t>
  </si>
  <si>
    <t>WOS:000525936800014</t>
  </si>
  <si>
    <t>Shalygin, S; Shalygina, RR; Redkina, VV; Gargas, CB; Johansen, JR</t>
  </si>
  <si>
    <t>Shalygin, Sergei; Shalygina, Regina R.; Redkina, Vera V.; Gargas, Cory B.; Johansen, Jeffrey R.</t>
  </si>
  <si>
    <t>Description of Stenomitos kolaenensis and S. hiloensis sp. nov. (Leptolyngbyaceae, Cyanobacteria) with an emendation of the genus</t>
  </si>
  <si>
    <t>Cyanobacterial taxonomy; Leptolyngbyaceae; 16S rRNA phylogeny; 16S-23S ITS phylogeny; rRNA secon structure; Hawaii; Russia</t>
  </si>
  <si>
    <t>RIBOSOMAL-RNA GENE; FRESH-WATER ALGAE; MOLECULAR CHARACTERIZATION; TERRESTRIAL CYANOBACTERIA; BRANCHING CYANOBACTERIA; MARINE CYANOBACTERIA; SYNECHOCOCCALES; NOSTOCALES; DIVERSITY; OSCILLATORIALES</t>
  </si>
  <si>
    <t>Stenomitos is a recently established cyanobacterial genus, some species of which appear to be cryptic. Here we describe two new species in this genus, Stenomitos kolaensis sp. nov. isolated from the Al-Fe Mimic podzols of a boreal forest near Nikel town, Murmansk region, Russia and S. hiloensis sp. nov. isolated from a basaltic seep wall on Akeola Road, Hilo, Hawaii, USA. Phylogenetic analyses were conducted on the 16S and 16S-23S ITS rRNA gene regions using Bayesian Inference, and Maximum Likelihood. Phylogenetic analysis of the 16S-23 S ITS rRNA region resulted in both S. kolaensis and S. hiloensis forming separate clades from other Stenomitos lineages. Antarctic strains of Stenomitos frigidus (previously reported as Leptolyngbya frigida) show that species to be polyphyletic and in need of revision. The structure of the conserved ITS regions (Box-B, D1-D1', V2 and V3 helices) provided support for separation of the species, and the p-distances among aligned ITS regions further confirmed that a number of species exist within the genus. S. kolaensis and S. hiloensis can be distinguished from other described Stenomitos species (S. rutilans and S. tremulus) by their geographical distribution, habitat preference, 16S rRNA phylogeny, and differences in the secondary structure of the 16S-23S ITS region.</t>
  </si>
  <si>
    <t>[Shalygin, Sergei] New Mexico State Univ, Dept Plant &amp; Environm Sci, 945 Coll Dr, Las Cruces, NM 88003 USA; [Shalygina, Regina R.; Redkina, Vera V.] Russian Acad Sci, Kola Sci Ctr, Subdiv Fed Res Ctr, Inst North Ind Ecol Problems, Apatity 184209, Murmansk Region, Russia; [Gargas, Cory B.] Univ Arkansas, Dept Biol Sci, Fayetteville, AR 72701 USA; [Johansen, Jeffrey R.] John Carroll Univ, Dept Biol, University Hts, OH 44118 USA; [Johansen, Jeffrey R.] Univ South Bohemia, Fac Sci, Ceske Budejovice 37005, Czech Republic</t>
  </si>
  <si>
    <t>New Mexico State University; Russian Academy of Sciences; Kola Science Centre of the Russian Academy of Sciences; Institute of North Industrial Ecology Problems, Kola Science Centre of the Russian Academy of Sciences; University of Arkansas System; University of Arkansas Fayetteville; University System of Ohio; John Carroll University; University of South Bohemia Ceske Budejovice</t>
  </si>
  <si>
    <t>Shalygin, S (corresponding author), New Mexico State Univ, Dept Plant &amp; Environm Sci, 945 Coll Dr, Las Cruces, NM 88003 USA.</t>
  </si>
  <si>
    <t>sshalygin18@jcu.edu; reginarinat86@gmail.com; vera_redkina@gmail.com; cbgargas@email.uark.edu; johansen@jcu.edu</t>
  </si>
  <si>
    <t>Johansen, Jeffrey R/F-5616-2011; Shalygin, Sergei/V-7513-2019; Shalygina, Regina/K-3193-2018; Redkina, Vera V/K-3305-2018; Gargas, Cory/ABB-8538-2021</t>
  </si>
  <si>
    <t>Shalygin, Sergei/0000-0001-8886-6666; Redkina, Vera/0000-0002-4908-5098</t>
  </si>
  <si>
    <t>Ministry of Science and Higher Education of the Russian Federation [AAAA-A18-118021490070-5]; National Science Foundation [DeB-0842702, 15-11912S]; Czech Science Foundation</t>
  </si>
  <si>
    <t>Ministry of Science and Higher Education of the Russian Federation; National Science Foundation(National Science Foundation (NSF)); Czech Science Foundation(Grant Agency of the Czech Republic)</t>
  </si>
  <si>
    <t>This research was partly carried out within the state assignment of Ministry of Science and Higher Education of the Russian Federation (theme No. AAAA-A18-118021490070-5). S. hiloensis HA6792-KK3 was collected, isolated and sequenced with support from National Science Foundation, grant number DeB-0842702. any opinions, findings, conclusions, or recommendations expressed in this material are those of the authors and do not necessarily reflect the views of the National Science Foundation. Dr. Johansen was supported by grant number 15-11912S from the Czech Science Foundation.</t>
  </si>
  <si>
    <t>10.11646/phytotaxa.440.2.3</t>
  </si>
  <si>
    <t>LH4AH</t>
  </si>
  <si>
    <t>WOS:000528727700003</t>
  </si>
  <si>
    <t>Mackie, E; Shuckburgh, E; Jones, D; Vaughan, D</t>
  </si>
  <si>
    <t>Mackie, Erik; Shuckburgh, Emily; Jones, Dan; Vaughan, David</t>
  </si>
  <si>
    <t>How climate change is affecting sea levels</t>
  </si>
  <si>
    <t>WEATHER</t>
  </si>
  <si>
    <t>[Mackie, Erik; Shuckburgh, Emily] Univ Cambridge, Cambridge Zero, Cambridge, England; [Mackie, Erik; Shuckburgh, Emily; Jones, Dan; Vaughan, David] British Antarctic Survey, Cambridge, England</t>
  </si>
  <si>
    <t>Mackie, E (corresponding author), Univ Cambridge, Cambridge Zero, Cambridge, England.;Mackie, E (corresponding author), British Antarctic Survey, Cambridge, England.</t>
  </si>
  <si>
    <t>erik.mackie@admin.cam.ac.uk</t>
  </si>
  <si>
    <t>NERC [bas010011, bas0100033] Funding Source: UKRI</t>
  </si>
  <si>
    <t>0043-1656</t>
  </si>
  <si>
    <t>1477-8696</t>
  </si>
  <si>
    <t>Weather</t>
  </si>
  <si>
    <t>10.1002/wea.3716</t>
  </si>
  <si>
    <t>NK0ZZ</t>
  </si>
  <si>
    <t>WOS:000527562800001</t>
  </si>
  <si>
    <t>Datwyler, C; Grosjean, M; Steiger, NJ; Neukom, R</t>
  </si>
  <si>
    <t>Datwyler, Christoph; Grosjean, Martin; Steiger, Nathan J.; Neukom, Raphael</t>
  </si>
  <si>
    <t>Teleconnections and relationship between the El Nino-Southern Oscillation (ENSO) and the Southern Annular Mode (SAM) in reconstructions and models over the past millennium</t>
  </si>
  <si>
    <t>ANTARCTIC OSCILLATION; AUSTRALIAN RAINFALL; CLIMATE VARIABILITY; ICE CORE; LAW DOME; HEMISPHERE; TEMPERATURE; TRENDS; IMPACT; PRECIPITATION</t>
  </si>
  <si>
    <t>The climate of the Southern Hemisphere (SH) is strongly influenced by variations in the El Nino-Southern Oscillation (ENSO) and the Southern Annular Mode (SAM). Because of the limited length of instrumental records in most parts of the SH, very little is known about the relationship between these two key modes of variability over time. Using proxy-based reconstructions and last-millennium climate model simulations, we find that ENSO and SAM indices are mostly negatively correlated over the past millennium. Pseudo-proxy experiments indicate that currently available proxy records are able to reliably capture ENSO-SAM relationships back to at least 1600 CE. Palaeoclimate reconstructions show mostly negative correlations back to about 1400 CE. An ensemble of last-millennium climate model simulations confirms this negative correlation, showing a stable correlation of approximately -0.3. Despite this generally negative relationship we do find intermittent periods of positive ENSO-SAM correlations in individual model simulations and in the palaeoclimate reconstructions. We do not find evidence that these relationship fluctuations are caused by exogenous forcing nor by a consistent climate pattern. However, we do find evidence that strong negative correlations are associated with strong positive (negative) anomalies in the Interdecadal Pacific Oscillation and the Amundsen Sea Low during periods when SAM and ENSO indices are of opposite (equal) sign.</t>
  </si>
  <si>
    <t>[Datwyler, Christoph; Grosjean, Martin; Neukom, Raphael] Univ Bern, Inst Geog, CH-3012 Bern, Switzerland; [Datwyler, Christoph; Grosjean, Martin; Neukom, Raphael] Univ Bern, Oeschger Ctr Climate Change Res, CH-3012 Bern, Switzerland; [Steiger, Nathan J.] Columbia Univ, Lamont Doherty Earth Observ, Palisades, NY USA; [Neukom, Raphael] Univ Fribourg, Dept Geosci, Fribourg, Switzerland; [Neukom, Raphael] Univ Zurich, Dept Geog, Zurich, Switzerland</t>
  </si>
  <si>
    <t>University of Bern; University of Bern; Columbia University; University of Fribourg; University of Zurich</t>
  </si>
  <si>
    <t>Datwyler, C (corresponding author), Univ Bern, Inst Geog, CH-3012 Bern, Switzerland.;Datwyler, C (corresponding author), Univ Bern, Oeschger Ctr Climate Change Res, CH-3012 Bern, Switzerland.</t>
  </si>
  <si>
    <t>christoph.daetwyler@giub.unibe.ch</t>
  </si>
  <si>
    <t>IPO, PAGES/JXY-7546-2024; Neukom, Raphael/J-7842-2017</t>
  </si>
  <si>
    <t>Neukom, Raphael/0000-0001-9392-0997; Datwyler, Christoph/0000-0002-9923-4311</t>
  </si>
  <si>
    <t>Swiss National Science Foundation (SNF) Ambizione [PZ00P2_154802]; United States National Science Foundation; NSF-AGS [1805490]; Swiss National Science Foundation (SNF) [PZ00P2_154802] Funding Source: Swiss National Science Foundation (SNF); Div Atmospheric &amp; Geospace Sciences; Directorate For Geosciences [1805490] Funding Source: National Science Foundation</t>
  </si>
  <si>
    <t>Swiss National Science Foundation (SNF) Ambizione(Swiss National Science Foundation (SNSF)); United States National Science Foundation(National Science Foundation (NSF)); NSF-AGS; Swiss National Science Foundation (SNF)(Swiss National Science Foundation (SNSF)); Div Atmospheric &amp; Geospace Sciences; Directorate For Geosciences(National Science Foundation (NSF)NSF - Directorate for Geosciences (GEO))</t>
  </si>
  <si>
    <t>This research has been supported by the Swiss National Science Foundation (SNF) Ambizione (grant no. PZ00P2_154802) and the United States National Science Foundation (grant no. NSF-AGS 1805490).</t>
  </si>
  <si>
    <t>APR 22</t>
  </si>
  <si>
    <t>10.5194/cp-16-743-2020</t>
  </si>
  <si>
    <t>LI2TE</t>
  </si>
  <si>
    <t>WOS:000529335700001</t>
  </si>
  <si>
    <t>Sarris, TE; Talaat, ER; Palmroth, M; Dandouras, I; Armandillo, E; Kervalishvili, G; Buchert, S; Tourgaidis, S; Malaspina, DM; Jaynes, AN; Paschalidis, N; Sample, J; Halekas, J; Doornbos, E; Lappas, V; Jorgensen, TM; Stolle, C; Clilverd, M; Wu, Q; Sandberg, I; Pirnaris, P; Aikio, A</t>
  </si>
  <si>
    <t>Sarris, Theodoros E.; Talaat, Elsayed R.; Palmroth, Minna; Dandouras, Iannis; Armandillo, Errico; Kervalishvili, Guram; Buchert, Stephan; Tourgaidis, Stylianos; Malaspina, David M.; Jaynes, Allison N.; Paschalidis, Nikolaos; Sample, John; Halekas, Jasper; Doornbos, Eelco; Lappas, Vaios; Jorgensen, Therese Moretto; Stolle, Claudia; Clilverd, Mark; Wu, Qian; Sandberg, Ingmar; Pirnaris, Panagiotis; Aikio, Anita</t>
  </si>
  <si>
    <t>Daedalus: a low-flying spacecraft for in situ exploration of the lower thermosphere-ionosphere</t>
  </si>
  <si>
    <t>FIELD-ALIGNED CURRENTS; UPPER-ATMOSPHERE; SOLAR-WIND; MHD SIMULATION; POLAR-CAP; E REGION; DENSITY PERTURBATIONS; SATELLITE; MODEL; MISSION</t>
  </si>
  <si>
    <t>The Daedalus mission has been proposed to the European Space Agency (ESA) in response to the call for ideas for the Earth Observation program's 10th Earth Explorer. It was selected in 2018 as one of three candidates for a phase-0 feasibility study. The goal of the mission is to quantify the key electrodynamic processes that determine the structure and composition of the upper atmosphere, the gateway between the Earth's atmosphere and space. An innovative preliminary mission design allows Daedalus to access electrodynamics processes down to altitudes of 150 km and below. Daedalus will perform in situ measurements of plasma density and temperature, ion drift, neutral density and wind, ion and neutral composition, electric and magnetic fields, and precipitating particles. These measurements will unambiguously quantify the amount of energy deposited in the upper atmosphere during active and quiet geomagnetic times via Joule heating and energetic particle precipitation, estimates of which currently vary by orders of magnitude between models and observation methods. An innovation of the Daedalus preliminary mission concept is that it includes the release of subsatellites at low altitudes: combined with the main spacecraft, these subsatellites will provide multipoint measurements throughout the lower thermosphereionosphere (LTI) region, down to altitudes below 120 km, in the heart of the most under-explored region in the Earth's atmosphere. This paper describes Daedalus as originally proposed to the ESA.</t>
  </si>
  <si>
    <t>[Sarris, Theodoros E.; Tourgaidis, Stylianos; Pirnaris, Panagiotis] Democritus Univ Thrace, Dept Elect &amp; Comp Engn, Xanthi 67132, Greece; [Talaat, Elsayed R.] NOAA, Silver Spring, MD 20910 USA; [Palmroth, Minna] Univ Helsinki, Dept Phys, Helsinki 00014, Finland; [Palmroth, Minna] Finnish Meteorol Inst, Space &amp; Earth Observat Ctr, Helsinki, Finland; [Dandouras, Iannis] Univ Toulouse, Inst Rech Astrophys &amp; Planetol IRAP, CNRS, UPS,CNES, F-31028 Toulouse, France; [Armandillo, Errico] Eventech Ltd, Dzerbenes St 14, LV-1006 Riga, Latvia; [Kervalishvili, Guram; Stolle, Claudia] German Res Ctr Geosci, D-14473 Potsdam, Germany; [Buchert, Stephan] Swedish Inst Space Phys, S-75121 Uppsala, Sweden; [Tourgaidis, Stylianos; Lappas, Vaios] Athena Res &amp; Innovat Ctr, Space Programmes Unit, Amarousio Athens 15125, Greece; [Malaspina, David M.] Univ Colorado, Dept Astrophys &amp; Planetary Sci, Boulder, CO 80026 USA; [Malaspina, David M.] Univ Colorado, Lab Atmospher &amp; Space Phys, Boulder, CO 80303 USA; [Jaynes, Allison N.; Halekas, Jasper] Univ Iowa, Dept Phys &amp; Astron, Iowa City, IA 52242 USA; [Paschalidis, Nikolaos] NASA, Goddard Space Flight Ctr, Code 916, Greenbelt, MD 20771 USA; [Sample, John] Montana State Univ, Dept Phys, MTCE1, Bozeman, MT 59717 USA; [Doornbos, Eelco] Royal Netherlands Meteorol Inst KNMI, POB 201, De Bilt, Netherlands; [Jorgensen, Therese Moretto] Univ Bergen, Dept Phys &amp; Technol, N-5520 Bergen, Norway; [Clilverd, Mark] British Antarctic Survey, Cambridge CB3 0ERT, England; [Wu, Qian] NCAR, High Altitude Observ, Boulder, CO 80307 USA; [Sandberg, Ingmar] Space Applicat &amp; Res Consultancy SPARC, Athens 10677, Greece; [Aikio, Anita] Univ Oulu, Ionospher Phys Unit, Oulu 90014, Finland</t>
  </si>
  <si>
    <t>Democritus University of Thrace; National Oceanic Atmospheric Admin (NOAA) - USA; University of Helsinki; Finnish Meteorological Institute; Universite de Toulouse; Universite Toulouse III - Paul Sabatier; Centre National de la Recherche Scientifique (CNRS); Helmholtz Association; Helmholtz-Center Potsdam GFZ German Research Center for Geosciences; University of Colorado System; University of Colorado Boulder; University of Colorado System; University of Colorado Boulder; University of Iowa; National Aeronautics &amp; Space Administration (NASA); NASA Goddard Space Flight Center; Montana State University System; Montana State University Bozeman; Royal Netherlands Meteorological Institute; University of Bergen; UK Research &amp; Innovation (UKRI); Natural Environment Research Council (NERC); NERC British Antarctic Survey; National Center Atmospheric Research (NCAR) - USA; University of Oulu</t>
  </si>
  <si>
    <t>Sarris, TE (corresponding author), Democritus Univ Thrace, Dept Elect &amp; Comp Engn, Xanthi 67132, Greece.</t>
  </si>
  <si>
    <t>tsarris@ee.duth.gr</t>
  </si>
  <si>
    <t>Palmroth, Minna/A-7637-2018; JAYNES, ALLISON N/F-7876-2018; Sarris, Theodore/KCL-0355-2024; Aikio, Anita/AAB-1279-2021; Sandberg, Ingmar/C-6053-2014; Dandouras, Iannis/V-2709-2017; Moretto, Therese/B-6846-2013</t>
  </si>
  <si>
    <t>Palmroth, Minna/0000-0003-4857-1227; JAYNES, ALLISON N/0000-0002-1470-4266; Sandberg, Ingmar/0000-0001-9716-608X; Dandouras, Iannis/0000-0002-7121-1118; Sarris, Theodore/0000-0002-0336-2678; Stolle, Claudia/0000-0002-5717-1623; Sample, John/0000-0002-9516-9292; Moretto, Therese/0000-0002-2403-5561; Buchert, Stephan/0000-0003-2158-6074</t>
  </si>
  <si>
    <t>ESA [4000127346/19/NL/IA]; European Research Council [682068-PRESTISSIMO]; Academy of Finland [312351, 309937]; National Environment Research Council Highlight Topic [NE/P10738X]; National Environment Research Council [NE/R016455/1]; DUTH [KE82324]; NERC [bas0100031] Funding Source: UKRI</t>
  </si>
  <si>
    <t>ESA(European Space Agency); European Research Council(European Research Council (ERC)); Academy of Finland(Research Council of Finland); National Environment Research Council Highlight Topic; National Environment Research Council(UK Research &amp; Innovation (UKRI)Natural Environment Research Council (NERC)); DUTH; NERC(UK Research &amp; Innovation (UKRI)Natural Environment Research Council (NERC))</t>
  </si>
  <si>
    <t>This work has been supported in part by an ESA contract (grant no. 4000127346/19/NL/IA) and DUTH (project no. KE82324). The work of Minna Palmroth is supported by the European Research Council Consolidator (grant no. 682068-PRESTISSIMO) and the Academy of Finland (grant nos. 312351 and 309937). The research was also funded by the National Environment Research Council Highlight Topic (grant no. NE/P10738X, Rad-Sat) and the National Environment Research Council (grant no. NE/R016455/1).</t>
  </si>
  <si>
    <t>10.5194/gi-9-153-2020</t>
  </si>
  <si>
    <t>LI2UL</t>
  </si>
  <si>
    <t>WOS:000529339000001</t>
  </si>
  <si>
    <t>Pérez-Tribouillier, H; Noble, TL; Townsend, AT; Bowie, AR; Chase, Z</t>
  </si>
  <si>
    <t>Perez-Tribouillier, Habacuc; Noble, Taryn L.; Townsend, Ashley T.; Bowie, Andrew R.; Chase, Zanna</t>
  </si>
  <si>
    <t>Quantifying Lithogenic Inputs to the Southern Ocean Using Long-Lived Thorium Isotopes</t>
  </si>
  <si>
    <t>thorium; Southern Ocean; Kerguelen Plateau; lithogenic; natural fertilization; GEOTRACES</t>
  </si>
  <si>
    <t>NATURAL IRON-FERTILIZATION; KERGUELEN PLATEAU; TH-230 NORMALIZATION; PHYTOPLANKTON BLOOM; EQUATORIAL PACIFIC; ATLANTIC-OCEAN; DISSOLVED IRON; PARTICLE-FLUX; INDIAN SECTOR; POLAR FRONT</t>
  </si>
  <si>
    <t>Thorium (Th) isotopes were applied to quantify the supply of lithogenic inputs from the Kerguelen Plateau to the Southern Ocean. The dissolved concentrations of Th-232 and Th-230 were measured following a novel pre-concentration method using the Nobias resin from 10 stations above and on the slopes of the plateau. Elevated Th-232/Th-230 ratios in the upper 500 m of the water column confirm the input of lithogenic material from islands, glaciers and the resuspension of shelf-deposited sediments. Th-230 concentrations were used to calculate a scavenging residence time for Th, which was then applied to calculate the flux of dissolved Th-232 required to match the observed concentrations of dissolved Th-232. The Th-232 content of the lithogenic material from the Kerguelen Plateau was used with the solubility of Th reported in the literature, to estimate a lithogenic particle flux of 7 to 810 mg m(-2) day(-1). This flux is comparable to fluxes obtained using sediment traps (8-777 mg m(-2) day(-1)) in other continental-margin zones of the Southern Ocean. The flux of dissolved iron, generated by the dissolution of particles, was also calculated (4,189-6,800 nmol m(-2) day(-1)) based on the iron/thorium ratio in the material from the Kerguelen Plateau. This is higher than previous estimates (1,342 nmol m(-2) day(-1)), suggesting the dissolution of particles as the missing source of iron, thus closing the iron budget of the region. This study confirms the utility of long-lived Th isotopes to quantify lithogenic inputs from continental margin settings.</t>
  </si>
  <si>
    <t>[Perez-Tribouillier, Habacuc; Noble, Taryn L.; Bowie, Andrew R.; Chase, Zanna] Univ Tasmania, Inst Marine &amp; Antarctic Studies, Hobart, Tas, Australia; [Perez-Tribouillier, Habacuc; Bowie, Andrew R.] Antarctic Climate &amp; Ecosyst Cooperat Res Ctr, Hobart, Tas, Australia; [Townsend, Ashley T.] Univ Tasmania, Cent Sci Lab, Hobart, Tas, Australia</t>
  </si>
  <si>
    <t>University of Tasmania; Antarctic Climate &amp; Ecosystems Cooperative Research Centre (ACE CRC); University of Tasmania</t>
  </si>
  <si>
    <t>Pérez-Tribouillier, H (corresponding author), Univ Tasmania, Inst Marine &amp; Antarctic Studies, Hobart, Tas, Australia.;Pérez-Tribouillier, H (corresponding author), Antarctic Climate &amp; Ecosyst Cooperat Res Ctr, Hobart, Tas, Australia.</t>
  </si>
  <si>
    <t>Habacuc.pereztribouillier@utas.edu.au</t>
  </si>
  <si>
    <t>Townsend, Ashley/J-7445-2014; Bowie, Andrew/C-8677-2013; Chase, Zanna/E-9232-2013</t>
  </si>
  <si>
    <t>Townsend, Ashley/0000-0002-2972-2678; Bowie, Andrew/0000-0002-5144-7799; Chase, Zanna/0000-0001-5060-779X; Noble, Taryn/0000-0002-5708-751X</t>
  </si>
  <si>
    <t>Australian Research Council [DP150100345, DP180102357]; Australian Research Council LIEF [LF0989539]; Australian Antarctic Science Program [AAS4338]; Australian Research Council Special Research Initiative for Antarctic Gateway Partnership [SR140300001]; Science and Industry Endowment Fund</t>
  </si>
  <si>
    <t>Australian Research Council(Australian Research Council); Australian Research Council LIEF(Australian Research Council); Australian Antarctic Science Program; Australian Research Council Special Research Initiative for Antarctic Gateway Partnership(Australian Research Council); Science and Industry Endowment Fund</t>
  </si>
  <si>
    <t>This work was supported by the following grants: Australian Research Council Discovery (DP150100345 and DP180102357), Australian Research Council LIEF (LF0989539), the Australian Antarctic Science Program (AAS4338) and the Australian Research Council Special Research Initiative for Antarctic Gateway Partnership (Project ID SR140300001). This research was supported by the Science and Industry Endowment Fund.</t>
  </si>
  <si>
    <t>10.3389/fmars.2020.00207</t>
  </si>
  <si>
    <t>LF1XP</t>
  </si>
  <si>
    <t>WOS:000527218400001</t>
  </si>
  <si>
    <t>Rocke, E; Cheung, S; Gebe, Z; Dames, NR; Liu, HB; Moloney, CL</t>
  </si>
  <si>
    <t>Rocke, Emma; Cheung, Shunyan; Gebe, Zimkhita; Dames, Nicole R.; Liu, Hongbin; Moloney, Coleen L.</t>
  </si>
  <si>
    <t>Marine Microbial Community Composition During the Upwelling Season in the Southern Benguela</t>
  </si>
  <si>
    <t>microbes; picoeukaryotes; upwelling; Southern Benguela; Illumina</t>
  </si>
  <si>
    <t>CENTRAL CHILE; BACTERIAL DIVERSITY; COASTAL; POPULATIONS; DYNAMICS; ECOLOGY; PICOPHYTOPLANKTON; BACTERIOPLANKTON; VARIABILITY; SIMULATION</t>
  </si>
  <si>
    <t>The microbial communities of the southern Benguela upwelling region were sampled quarterly through 1 year, with sampling for prokaryotes taking place in May, September, November and February, spanning the 2015-2016 upwelling season. Picoeukaryote samples were taken in November and February only. Community dynamics were assessed at stations both inside and outside a typical upwelling site. 16S and 18S rRNA amplicon results, respectively, revealed differences in both bacterioplankton and picoeukaryote communities in both space and time (season). There was a significant difference between sites in picoeukaryote community structure and diversity during the upwelling season in February, but not in November. Prokaryote community structure showed significant changes by water type as well as by sampling time or site. The parasitic dinoflagellate, Syndiniales, dominated February samples, and diatoms (Mediophyceae) mostly occurred in November samples, with nitrate driving community structure. Prokaryote results revealed presence of Nitrosopumillus, an ammonium oxidizer, offshore in February. Nitrospina sp., a nitrite oxidizer, was also present in September in hypoxic and deep water samples. This study reveals significant changes in community variability, leading to shifts within interspecies interactions in this region in response to upwelling events. This has far reaching implications with regard to biogeochemical cycling and ecosystem functioning at the microbial level.</t>
  </si>
  <si>
    <t>[Rocke, Emma; Gebe, Zimkhita; Dames, Nicole R.; Moloney, Coleen L.] Univ Cape Town, Dept Biol Sci, Cape Town, South Africa; [Rocke, Emma; Gebe, Zimkhita; Dames, Nicole R.; Moloney, Coleen L.] Univ Cape Town, Marine Res Inst, Cape Town, South Africa; [Cheung, Shunyan; Liu, Hongbin] Hong Kong Univ Sci &amp; Technol, Dept Ocean Sci, Kowloon, Hong Kong, Peoples R China</t>
  </si>
  <si>
    <t>University of Cape Town; University of Cape Town; Hong Kong University of Science &amp; Technology</t>
  </si>
  <si>
    <t>Rocke, E (corresponding author), Univ Cape Town, Dept Biol Sci, Cape Town, South Africa.;Rocke, E (corresponding author), Univ Cape Town, Marine Res Inst, Cape Town, South Africa.</t>
  </si>
  <si>
    <t>erocke@gmail.com</t>
  </si>
  <si>
    <t>Liu, Hongbin/AAV-8862-2020; Moloney, Coleen/B-4363-2009; Cheung, Shun Yan/AAD-6083-2022; Cheung, Shunyan/KDO-9192-2024; LIU, HE/IQR-5714-2023</t>
  </si>
  <si>
    <t>Moloney, Coleen/0000-0001-6663-8814; Cheung, Shun Yan/0000-0001-7244-7221; Rocke, Emma/0000-0001-9514-9788; Dames, Nicole Rebecca/0000-0003-3943-1759</t>
  </si>
  <si>
    <t>National Research Foundation [98967]; Swiss Polar Institute Antarctic Circumnavigation Expedition Grant [12]; Applied Center for Climate and Earth Systems Science</t>
  </si>
  <si>
    <t>National Research Foundation; Swiss Polar Institute Antarctic Circumnavigation Expedition Grant; Applied Center for Climate and Earth Systems Science</t>
  </si>
  <si>
    <t>This work was based upon research supported by the National Research Foundation project #98967, and the Swiss Polar Institute Antarctic Circumnavigation Expedition Grant, Project 12 (S. Fawcett). The Applied Center for Climate and Earth Systems Science also partly funded this project.</t>
  </si>
  <si>
    <t>10.3389/fmars.2020.00255</t>
  </si>
  <si>
    <t>LF1ZF</t>
  </si>
  <si>
    <t>WOS:000527222600001</t>
  </si>
  <si>
    <t>Brooks, CM; Chown, SL; Douglass, LL; Raymond, BP; Shaw, JD; Sylvester, ZT; Torrens, CL</t>
  </si>
  <si>
    <t>Brooks, Cassandra M.; Chown, Steven L.; Douglass, Lucinda L.; Raymond, Ben P.; Shaw, Justine D.; Sylvester, Zephyr T.; Torrens, Christa L.</t>
  </si>
  <si>
    <t>Progress towards a representative network of Southern Ocean protected areas</t>
  </si>
  <si>
    <t>FLOOR GEOMORPHIC FEATURES; TAKE MARINE RESERVES; HABITAT HETEROGENEITY; CLIMATE-CHANGE; BIODIVERSITY; CONSERVATION; BIOGEOGRAPHY; MANAGEMENT; SCIENCE; DRIVEN</t>
  </si>
  <si>
    <t>Global threats to ocean biodiversity have generated a worldwide movement to take actions to improve conservation and management. Several international initiatives have recommended the adoption of marine protected areas (MPAs) in national and international waters. National governments and the Commission for the Conservation of Antarctic Marine Living Resources have successfully adopted multiple MPAs in the Southern Ocean despite the challenging nature of establishing MPAs in international waters. But are these MPAs representative of Southern Ocean biodiversity? Here we answer this question for both existing and proposed Antarctic MPAs, using benthic and pelagic regionalizations as a proxy for biodiversity. Currently about 11.98% of the Southern Ocean is protected in MPAs, with 4.61% being encompassed by no-take areas. While this is a relatively large proportion of protection when compared to other international waters, current Antarctic MPAs are not representative of the full range of benthic and pelagic ecoregions. Implementing additional protected areas, including those currently under negotiation, would encompass almost 22% of the Southern Ocean. It would also substantially improve representation with 17 benthic and pelagic ecoregions (out of 23 and 19, respectively) achieving at least 10% representation.</t>
  </si>
  <si>
    <t>[Brooks, Cassandra M.; Sylvester, Zephyr T.; Torrens, Christa L.] Univ Colorado, Environm Studies Program, Boulder, CO 80309 USA; [Chown, Steven L.] Monash Univ, Sch Biol Sci, Melbourne, Vic, Australia; [Douglass, Lucinda L.] Ctr Conservat Geog, Sydney, NSW, Australia; [Douglass, Lucinda L.; Shaw, Justine D.] Univ Queensland, Sch Biol Sci, Ctr Biodivers &amp; Conservat Sci, Brisbane, Qld, Australia; [Raymond, Ben P.] Australian Antarct Div, Dept Environm, Kingston, Tas, Australia</t>
  </si>
  <si>
    <t>University of Colorado System; University of Colorado Boulder; Melbourne Genomics Health Alliance; Monash University; University of Queensland; Australian Antarctic Division</t>
  </si>
  <si>
    <t>Brooks, CM (corresponding author), Univ Colorado, Environm Studies Program, Boulder, CO 80309 USA.</t>
  </si>
  <si>
    <t>cassandra.brooks@colorado.edu</t>
  </si>
  <si>
    <t>Torrens, Christa/AFV-6859-2022; Chown, Steven/ABD-7646-2021</t>
  </si>
  <si>
    <t>Torrens, Christa/0000-0002-1036-7645; Sylvester, Zephyr/0000-0002-2057-3741</t>
  </si>
  <si>
    <t>Pew Charitable Trusts</t>
  </si>
  <si>
    <t>C.M.B., Z.S. &amp; C.T. were supported by the Pew Charitable Trusts. The funders had no role in study design, data collection and analysis, decision to publish, or preparation of the manuscript.</t>
  </si>
  <si>
    <t>e0231361</t>
  </si>
  <si>
    <t>10.1371/journal.pone.0231361</t>
  </si>
  <si>
    <t>LR9QD</t>
  </si>
  <si>
    <t>WOS:000536028800018</t>
  </si>
  <si>
    <t>Danis, B; Van de Putte, A; Convey, P; Griffiths, H; Linse, K; Murray, AE</t>
  </si>
  <si>
    <t>Danis, Bruno; Van de Putte, Anton; Convey, Peter; Griffiths, Huw; Linse, Katrin; Murray, Alison E.</t>
  </si>
  <si>
    <t>Editorial: Antarctic Biology: Scale Matters</t>
  </si>
  <si>
    <t>biodiversity; Antarctica; global change; eco-evo; spatial scale; temporal scale</t>
  </si>
  <si>
    <t>[Danis, Bruno] Univ Libre Bruxelles, Marine Biol Lab, Brussels, Belgium; [Van de Putte, Anton] Royal Belgian Inst Nat Sci, OD Nat, Brussels, Belgium; [Van de Putte, Anton] Katholieke Univ Leuven, Leuven, Belgium; [Convey, Peter; Griffiths, Huw; Linse, Katrin] British Antarctic Survey, Cambridge, England; [Murray, Alison E.] Desert Res Inst, Div Earth &amp; Ecosyst Sci, Reno, NV USA</t>
  </si>
  <si>
    <t>Universite Libre de Bruxelles; Royal Belgian Institute of Natural Sciences; KU Leuven; UK Research &amp; Innovation (UKRI); Natural Environment Research Council (NERC); NERC British Antarctic Survey; Nevada System of Higher Education (NSHE); Desert Research Institute NSHE</t>
  </si>
  <si>
    <t>Danis, B (corresponding author), Univ Libre Bruxelles, Marine Biol Lab, Brussels, Belgium.</t>
  </si>
  <si>
    <t>bdanis@ulb.ac.be</t>
  </si>
  <si>
    <t>Griffiths, Huw J/D-4234-2009; Convey, Peter/AAV-5728-2020; Danis, Bruno/AAS-8444-2021; Van de Putte, Anton/S-3729-2019</t>
  </si>
  <si>
    <t>Griffiths, Huw J/0000-0003-1764-223X; Convey, Peter/0000-0001-8497-9903; Danis, Bruno/0000-0002-9037-7623; Van de Putte, Anton/0000-0003-1336-5554</t>
  </si>
  <si>
    <t>NERC [bas0100036] Funding Source: UKRI</t>
  </si>
  <si>
    <t>APR 21</t>
  </si>
  <si>
    <t>10.3389/fevo.2020.00091</t>
  </si>
  <si>
    <t>LL5LQ</t>
  </si>
  <si>
    <t>WOS:000531599700001</t>
  </si>
  <si>
    <t>Milano, VN; Grandi, MF; Schiavini, ACM; Crespo, EA</t>
  </si>
  <si>
    <t>Milano, Viviana N.; Florencia Grandi, M.; Schiavini, Adrian C. M.; Crespo, Enrique A.</t>
  </si>
  <si>
    <t>Sea lions (Otaria flavescens) from the end of the world: insights of a recovery</t>
  </si>
  <si>
    <t>Population recovery; Southern Atlantic; Sea lions; Fuegian archipelago</t>
  </si>
  <si>
    <t>ANTARCTIC FUR-SEAL; ARCTOCEPHALUS-GAZELLA; POPULATION-DYNAMICS; EUMETOPIAS-JUBATUS; PATAGONIA; DISPERSAL; MORTALITY; FIDELITY; NORTHERN; SURVIVAL</t>
  </si>
  <si>
    <t>To understand the recovery process and population dynamics of species that were severely depleted, it is essential to monitor their population size and habitat changes throughout their distribution. The South American sea lion (SASL, Otaria flavescens) provides an opportunity to investigate the process of a reduction from sealing and the subsequent recovery in a marine mammal species. Its abundance was depleted throughout its distribution, but the most affected extraction areas were Peninsula Valdes (northern Patagonia) and Tierra del Fuego (Fuegian Archipelago). The aims of this work are to present recent estimates of the population abundance and then analyze changes in social composition, distribution, population size and trend of SASL at their sub-Antarctic distribution. We made an aerial survey of Fuegian Archipelago colonies and compared the results with historical compilation data registered since 1948. In total 49 colonies were surveyed (24 exclusive of SASL, 15 shared with South American fur seals and 10 sites were abandoned). An abundance of 7684 individuals (including 440 pups) was recorded. There was an increase of population abundance, with a change of the social composition and distribution of some colonies through time. The average annual percentage of population changes yields a growth of 8.8%. This value completes the population growth trend data throughout Southwestern Atlantic for SASL, and shows that there is an increasing latitudinal gradient of these rates. We discuss possible explanations related to differences in the beginning of the recovery, or in reactions to local environmental constraints, or migration from Pacific stocks.</t>
  </si>
  <si>
    <t>[Milano, Viviana N.; Florencia Grandi, M.; Crespo, Enrique A.] Consejo Nacl Invest Cient &amp; Tecn, Ctr Estudio Sistemas Marinos CESIMAR, Lab Mamiferos Marinos, Bvd Brown 2915, Puerto Madryn, Chubut, Argentina; [Schiavini, Adrian C. M.] Consejo Nacl Invest Cient &amp; Tecn, Ecol &amp; Conservac Vida Silvestre, Ctr Austral Invest Cient CADIC, Ushuaia, Tierra Del Fueg, Argentina; [Schiavini, Adrian C. M.] Univ Nacl Tierra Fuego Antartida &amp; Islas Atlantic, Fuegia Basket 251, Ushuaia, Tierra Del Fueg, Argentina; [Schiavini, Adrian C. M.] Wildlife Conservat Soc Representac Argentina, Buenos Aires, DF, Argentina; [Crespo, Enrique A.] Univ Nacl Patagonia San Juan Bosco, Bvd Brown 3051, Puerto Madryn, Chubut, Argentina</t>
  </si>
  <si>
    <t>Consejo Nacional de Investigaciones Cientificas y Tecnicas (CONICET); Consejo Nacional de Investigaciones Cientificas y Tecnicas (CONICET); Universidad Nacional de la Patagonia San Juan Bosco</t>
  </si>
  <si>
    <t>Milano, VN (corresponding author), Consejo Nacl Invest Cient &amp; Tecn, Ctr Estudio Sistemas Marinos CESIMAR, Lab Mamiferos Marinos, Bvd Brown 2915, Puerto Madryn, Chubut, Argentina.</t>
  </si>
  <si>
    <t>vivimilano13@gmail.com</t>
  </si>
  <si>
    <t>Grandi, Maria Florencia/0000-0002-1418-4205; Schiavini, Adrian Carlos Miguel/0000-0001-6621-4827; Milano, Viviana/0000-0002-1231-3018</t>
  </si>
  <si>
    <t>10.1007/s00300-020-02672-9</t>
  </si>
  <si>
    <t>WOS:000528122900002</t>
  </si>
  <si>
    <t>Lösing, M; Ebbing, J; Szwillus, W</t>
  </si>
  <si>
    <t>Loesing, Mareen; Ebbing, Joerg; Szwillus, Wolfgang</t>
  </si>
  <si>
    <t>Geothermal Heat Flux in Antarctica: Assessing Models and Observations by Bayesian Inversion</t>
  </si>
  <si>
    <t>heat flux; Bayesian inversion; Monte-Carlo; numerical modeling; Antarctica</t>
  </si>
  <si>
    <t>WEST ANTARCTICA; FLOW; TEMPERATURE; BOREHOLE; MOHO; LITHOSPHERE; BOUNDARY; GRAVITY; DEPTH; ROCKS</t>
  </si>
  <si>
    <t>Geothermal heat flux under the Antarctic ice is one of the least known parameters. Different methods (based on e.g., magnetic or seismic data) have been applied in recent years to quantify the thermal structure and the geothermal heat flux, resulting in vastly different estimates. In this study, we use a Bayesian Monte-Carlo-Markov-Chain approach to explore the consistency of such models and to which degree lateral variations of the thermal parameters are required. Hereby, we evaluate the input from different lithospheric models and how they influence surface heat flux. We demonstrate that both Curie isotherm and heat production are dominating parameters for the thermal calculation and that use of incorrect models or sparsely available data lead to unreliable results. As an alternative approach, geological information should be coupled with geophysical data analysis, as we demonstrate for the Antarctic Peninsula.</t>
  </si>
  <si>
    <t>[Loesing, Mareen; Ebbing, Joerg; Szwillus, Wolfgang] Univ Kiel, Inst Geosci, Kiel, Germany</t>
  </si>
  <si>
    <t>University of Kiel</t>
  </si>
  <si>
    <t>Lösing, M (corresponding author), Univ Kiel, Inst Geosci, Kiel, Germany.</t>
  </si>
  <si>
    <t>mareen.loesing@ifg.uni-kiel.de</t>
  </si>
  <si>
    <t>Ebbing, Joerg/B-8796-2013</t>
  </si>
  <si>
    <t>Ebbing, Joerg/0000-0001-7492-5338; Losing, Mareen/0000-0002-9222-2107</t>
  </si>
  <si>
    <t>Deutsche Forschungsgemeinschaft (DFG) [EB 255/8-1]</t>
  </si>
  <si>
    <t>Deutsche Forschungsgemeinschaft (DFG)(German Research Foundation (DFG))</t>
  </si>
  <si>
    <t>This work was supported by the Deutsche Forschungsgemeinschaft (DFG) in the framework of the priority programme Antarctic Research with comparative investigations in Arctic ice areas by a grant (Grant No. EB 255/8-1).</t>
  </si>
  <si>
    <t>10.3389/feart.2020.00105</t>
  </si>
  <si>
    <t>LM5WK</t>
  </si>
  <si>
    <t>WOS:000532319800001</t>
  </si>
  <si>
    <t>Puerta, P; Johnson, C; Carreiro-Silva, M; Henry, LA; Kenchington, E; Morato, T; Kazanidis, G; Rueda, JL; Urra, J; Ross, S; Wei, CL; González-Irusta, JM; Arnaud-Haond, S; Orejas, C</t>
  </si>
  <si>
    <t>Puerta, Patricia; Johnson, Clare; Carreiro-Silva, Marina; Henry, Lea-Anne; Kenchington, Ellen; Morato, Telmo; Kazanidis, Georgios; Luis Rueda, Jose; Urra, Javier; Ross, Steve; Wei, Chih-Lin; Manuel Gonzalez-Irusta, Jose; Arnaud-Haond, Sophie; Orejas, Covadonga</t>
  </si>
  <si>
    <t>Influence of Water Masses on the Biodiversity and Biogeography of Deep-Sea Benthic Ecosystems in the North Atlantic</t>
  </si>
  <si>
    <t>North Atlantic; deep-sea; biodiversity; biogeography; water masses; vulnerable marine ecosystems</t>
  </si>
  <si>
    <t>CORAL LOPHELIA-PERTUSA; MERIDIONAL OVERTURNING CIRCULATION; ANTARCTIC INTERMEDIATE WATER; GLOBAL HABITAT SUITABILITY; FOOD-SUPPLY MECHANISMS; CLIMATE-CHANGE IMPACTS; ROCKALL TROUGH MARGIN; OCEAN ACIDIFICATION; PORCUPINE SEABIGHT; NE ATLANTIC</t>
  </si>
  <si>
    <t>Circulation patterns in the North Atlantic Ocean have changed and re-organized multiple times over millions of years, influencing the biodiversity, distribution, and connectivity patterns of deep-sea species and ecosystems. In this study, we review the effects of the water mass properties (temperature, salinity, food supply, carbonate chemistry, and oxygen) on deep-sea benthic megafauna (from species to community level) and discussed in future scenarios of climate change. We focus on the key oceanic controls on deep-sea megafauna biodiversity and biogeography patterns. We place particular attention on cold-water corals and sponges, as these are ecosystem-engineering organisms that constitute vulnerable marine ecosystems (VME) with high associated biodiversity. Besides documenting the current state of the knowledge on this topic, a future scenario for water mass properties in the deep North Atlantic basin was predicted. The pace and severity of climate change in the deep-sea will vary across regions. However, predicted water mass properties showed that all regions in the North Atlantic will be exposed to multiple stressors by 2100, experiencing at least one critical change in water temperature (+2 degrees C), organic carbon fluxes (reduced up to 50%), ocean acidification (pH reduced up to 0.3), aragonite saturation horizon (shoaling above 1000 m) and/or reduction in dissolved oxygen (&gt; 5%). The northernmost regions of the North Atlantic will suffer the greatest impacts. Warmer and more acidic oceans will drastically reduce the suitable habitat for ecosystem-engineers, with severe consequences such as declines in population densities, even compromising their long-term survival, loss of biodiversity and reduced biogeographic distribution that might compromise connectivity at large scales. These effects can be aggravated by reductions in carbon fluxes, particularly in areas where food availability is already limited. Declines in benthic biomass and biodiversity will diminish ecosystem services such as habitat provision, nutrient cycling, etc. This study shows that the deep-sea VME affected by contemporary anthropogenic impacts and with the ongoing climate change impacts are unlikely to withstand additional pressures from more intrusive human activities. This study serves also as a warning to protect these ecosystems through regulations and by tempering the ongoing socio-political drivers for increasing exploitation of marine resources.</t>
  </si>
  <si>
    <t>[Puerta, Patricia; Orejas, Covadonga] Inst Espanol Oceanog, Ctr Oceanog Baleares, Palma De Mallorca, Spain; [Johnson, Clare] Scottish Assoc Marine Sci, Oban, Argyll, Scotland; [Carreiro-Silva, Marina; Morato, Telmo] Univ Acores, Inst Mar, Ctr OKEANOS, Horta, Portugal; [Henry, Lea-Anne; Kazanidis, Georgios] Univ Edinburgh, Sch GeoSci, Edinburgh, Midlothian, Scotland; [Kenchington, Ellen] Bedford Inst Oceanog, Dept Fisheries &amp; Oceans, Dartmouth, NS, Canada; [Luis Rueda, Jose; Urra, Javier] Ctr Oceanog Malaga, Inst Espanol Oceanog, Fuengirola, Spain; [Ross, Steve] Univ North Carolina Wilmington, Ctr Marine Sci, Wilmington, NC USA; [Wei, Chih-Lin] Natl Taiwan Univ, Inst Oceanog, Taipei, Taiwan; [Manuel Gonzalez-Irusta, Jose] Inst Espanol Oceanog, Ctr Oceanog Santander, Santander, Spain; [Arnaud-Haond, Sophie] Univ Montpellier, IFREMER, CNRS, MARBEC,IRD, Sete, France</t>
  </si>
  <si>
    <t>Spanish Institute of Oceanography; UHI Millennium Institute; Universidade dos Acores; University of Edinburgh; Bedford Institute of Oceanography; Fisheries &amp; Oceans Canada; Spanish Institute of Oceanography; University of North Carolina; University of North Carolina Wilmington; National Taiwan University; Spanish Institute of Oceanography; Ifremer; Centre National de la Recherche Scientifique (CNRS); Institut de Recherche pour le Developpement (IRD); Universite de Montpellier</t>
  </si>
  <si>
    <t>Puerta, P (corresponding author), Inst Espanol Oceanog, Ctr Oceanog Baleares, Palma De Mallorca, Spain.</t>
  </si>
  <si>
    <t>patricia.puerta@ieo.es</t>
  </si>
  <si>
    <t>González-Irusta, José Manuel/AAB-2194-2019; Rueda, Jose/JXY-9070-2024; Puerta, Patricia/JEF-4856-2023; Arnaud-Haond, Sophie/B-2479-2008; Orejas, Covadonga/B-1644-2012; Ross, Steve W./AAH-5583-2020; Puerta, Patricia/GPG-3786-2022; Morato, Telmo/A-4548-2009</t>
  </si>
  <si>
    <t>González-Irusta, José Manuel/0000-0002-3948-604X; WEI, CHIH-LIN/0000-0001-9430-0060; Henry, Lea-Anne/0000-0001-5134-1102; Urra, Javier/0000-0002-0255-7246; Clare, Johnson/0000-0002-8213-2554; Morato, Telmo/0000-0003-2393-4773; Kenchington, Ellen/0000-0003-3784-4533; ARNAUD-HAOND, Sophie/0000-0001-5814-8452</t>
  </si>
  <si>
    <t>European Union [678760]; Program Investigador FCT [IF/01194/2013]; IFCT Exploratory Project [IF/01194/2013/CP1199/CT0002]; Fundacao para a Ciencia e Tecnologia (POPH); (QREN) [PO2020 MapGes (Acores-01-0145-FEDER-000056)]; Fundacao para a Ciencia e a Tecnologia (FCT) through the strategic project [UID/05634/2020]</t>
  </si>
  <si>
    <t>European Union(European Union (EU)); Program Investigador FCT(Fundacao para a Ciencia e a Tecnologia (FCT)); IFCT Exploratory Project(Fundacao para a Ciencia e a Tecnologia (FCT)); Fundacao para a Ciencia e Tecnologia (POPH); (QREN); Fundacao para a Ciencia e a Tecnologia (FCT) through the strategic project</t>
  </si>
  <si>
    <t>This study was supported by the European Union's Horizon 2020 Research and Innovation Program, under the ATLAS project (Grant Agreement No. 678760). This output reflects only the author's view, and the European Union cannot be held responsible for any use that may be made of the information contained therein. TM was supported by Program Investigador FCT (IF/01194/2013), IFCT Exploratory Project (IF/01194/2013/CP1199/CT0002) from the Fundacao para a Ciencia e Tecnologia (POPH and QREN), PO2020 MapGes (Acores-01-0145-FEDER-000056). TM and MC-S also acknowledge the Fundacao para a Ciencia e a Tecnologia (FCT) through the strategic project (UID/05634/2020) granted to OKEANOS.</t>
  </si>
  <si>
    <t>10.3389/fmars.2020.00239</t>
  </si>
  <si>
    <t>LE6WL</t>
  </si>
  <si>
    <t>WOS:000526864100001</t>
  </si>
  <si>
    <t>Borah, D; Dasgupta, A; Dey, UK; Tomar, G</t>
  </si>
  <si>
    <t>Borah, Debasish; Dasgupta, Arnab; Dey, Ujjal Kumar; Tomar, Gaurav</t>
  </si>
  <si>
    <t>Connecting ANITA anomalous events to a nonthermal dark matter scenario</t>
  </si>
  <si>
    <t>The ANtarctic Impulsive Transient Antenna (ANITA) Collaboration has observed two EeV-energy, upward-going events originating from below the horizon. As no standard-model (SM) particles propagating through the Earth at such energy and exit angles can give rise to the required survival probability for the observed events, several beyond-standard-model (BSM) proposals have come up. We propose a scenario where a Z(2)-odd sector is responsible for such anomalous events. The next-to-lightest Z(2)-odd particle or the next-to-lightest stable particle (NLSP), created from ultrahigh-energy neutrino interactions with nucleons, can pass through the Earth and then decay into the lightest Z(2)-odd particle or the lightest stable particle (LSP) and a tau lepton. The long-lived nature of the NLSP requires its coupling with the LSP to be very small, keeping the LSP out of thermal equilibrium in the early Universe. The LSP can then be a nonthermal dark matter, while the tau leptons produced from NLSP decay after passing through Earth can explain the ANITA events. We first show that a purely nonthermal dark matter scenario cannot give rise to the required event rates, while a hybrid scenario where dark matter can have thermal as well as nonthermal contribution to its relic abundance serves the purpose.</t>
  </si>
  <si>
    <t>[Borah, Debasish] Indian Inst Technol Guwahati, Dept Phys, Gauhati 781039, Assam, India; [Dasgupta, Arnab] Seoul Tech, Sch Liberal Arts, Seoul 139743, South Korea; [Dey, Ujjal Kumar] Asia Pacific Ctr Theoret Phys, Pohang 37673, South Korea; [Dey, Ujjal Kumar] Govt ITI, Dept Phys Sci, Indian Inst Sci Educ &amp; Res Berhampur, Transit Campus, Berhampur 760010, Odisha, India; [Tomar, Gaurav] Sogang Univ, Dept Phys, Seoul 121742, South Korea</t>
  </si>
  <si>
    <t>Indian Institute of Technology System (IIT System); Indian Institute of Technology (IIT) - Guwahati; Asia Pacific Center for Theoretical Physics; Indian Institute of Science Education &amp; Research (IISER) - Berhampur; Sogang University</t>
  </si>
  <si>
    <t>Borah, D (corresponding author), Indian Inst Technol Guwahati, Dept Phys, Gauhati 781039, Assam, India.;Dasgupta, A (corresponding author), Seoul Tech, Sch Liberal Arts, Seoul 139743, South Korea.;Dey, UK (corresponding author), Asia Pacific Ctr Theoret Phys, Pohang 37673, South Korea.;Dey, UK (corresponding author), Govt ITI, Dept Phys Sci, Indian Inst Sci Educ &amp; Res Berhampur, Transit Campus, Berhampur 760010, Odisha, India.;Tomar, G (corresponding author), Sogang Univ, Dept Phys, Seoul 121742, South Korea.</t>
  </si>
  <si>
    <t>dborah@iitg.ac.in; arnabdasgupta@protonmail.ch; ujjal@apctp.org; tomar@sogang.ac.kr</t>
  </si>
  <si>
    <t>Tomar, Gaurav Kumar/AGG-4208-2022; Borah, Debasish/K-8411-2016; Dasgupta, Arnab/AFT-3565-2022; Dey, Ujjal Kumar/C-4686-2017</t>
  </si>
  <si>
    <t>Tomar, Gaurav Kumar/0000-0002-3468-5306; Dasgupta, Arnab/0000-0003-1065-7279; Dey, Ujjal Kumar/0000-0002-9620-7561</t>
  </si>
  <si>
    <t>IIT Guwahati start-up Grant [xPHYSUGIITG01152xxDB001]; DST-SERB, the Government of India [ECR/2017/001873]; Associateship Programme of Inter University Centre for Astronomy and Astrophysics (IUCAA), Pune; Ministry of Science, ICT &amp; Future Planning of Korea; Pohang City Government; Gyeongsangbuk-do Provincial Government; Basic Science Research Program through the National Research Foundation of Korea (NRF) - Ministry of Education [2019R1F1A1052231]</t>
  </si>
  <si>
    <t>IIT Guwahati start-up Grant; DST-SERB, the Government of India; Associateship Programme of Inter University Centre for Astronomy and Astrophysics (IUCAA), Pune; Ministry of Science, ICT &amp; Future Planning of Korea(Ministry of Science, ICT &amp; Future Planning, Republic of Korea); Pohang City Government; Gyeongsangbuk-do Provincial Government; Basic Science Research Program through the National Research Foundation of Korea (NRF) - Ministry of Education(National Research Foundation of KoreaMinistry of Education (MOE), Republic of KoreaNational Research Council for Economics, Humanities &amp; Social Sciences, Republic of Korea)</t>
  </si>
  <si>
    <t>D. B. acknowledges the support from IIT Guwahati start-up Grant (Reference No. xPHYSUGIITG01152xxDB001), the Early Career Research Award from DST-SERB, the Government of India (Reference No. ECR/2017/001873) and the Associateship Programme of Inter University Centre for Astronomy and Astrophysics (IUCAA), Pune. The research of U. K. D. is supported by the Ministry of Science, ICT &amp; Future Planning of Korea, the Pohang City Government, and the Gyeongsangbuk-do Provincial Government. The research of G. T. is supported by the Basic Science Research Program through the National Research Foundation of Korea (NRF) funded by the Ministry of Education, Grant No. 2019R1F1A1052231. D. B. and U. K. D. thank the organizers of WHEPP XVI, where important discussions were carried out. We would like to thank Bhavesh Chauhan for useful discussion.</t>
  </si>
  <si>
    <t>10.1103/PhysRevD.101.075039</t>
  </si>
  <si>
    <t>LF0OS</t>
  </si>
  <si>
    <t>WOS:000527127700005</t>
  </si>
  <si>
    <t>Brisbourne, A; Kulessa, B; Hudson, T; Harrison, L; Holland, P; Luckman, A; Bevan, S; Ashmore, D; Hubbard, B; Pearce, E; White, J; Booth, AP; Nichols, K; Smith, A</t>
  </si>
  <si>
    <t>Brisbourne, Alex; Kulessa, Bernd; Hudson, Thomas; Harrison, Lianne; Holland, Paul; Luckman, Adrian; Bevan, Suzanne; Ashmore, David; Hubbard, Bryn; Pearce, Emma; White, James; Booth, Adam P.; Nichols, Keith; Smith, Andrew</t>
  </si>
  <si>
    <t>An updated seabed bathymetry beneath Larsen C Ice Shelf, Antarctic Peninsula</t>
  </si>
  <si>
    <t>PINE ISLAND GLACIER; RETREAT; SURFACE; MODEL</t>
  </si>
  <si>
    <t>In recent decades, rapid ice shelf disintegration along the Antarctic Peninsula has had a global impact through enhancing outlet glacier flow and hence sea level rise and the freshening of Antarctic Bottom Water. Ice shelf thinning due to basal melting results from the circulation of relatively warm water in the underlying ocean cavity. However, the effect of sub-shelf circulation on future ice shelf stability cannot be predicted accurately with computer simulations if the geometry of the ice shelf cavity is unknown. To address this deficit for Larsen C Ice Shelf, West Antarctica, we integrate new water column thickness measurements from recent seismic campaigns with existing observations. We present these new data here along with an updated bathymetry grid of the ocean cavity. Key findings include a relatively deep seabed to the southeast of the Kenyon Peninsula, along the grounding line and around the key ice shelf pinning-point of Bawden Ice Rise. In addition, we can confirm that the cavity's southern trough stretches from Mobiloil Inlet to the open ocean. These areas of deep seabed will influence ocean circulation and tidal mixing and will therefore affect the basal-melt distribution. These results will help constrain models of ice shelf cavity circulation with the aim of improving our understanding of sub-shelf processes and their potential influence on ice shelf stability. The datasets are comprised of all the new point measurements of seabed depth. We present the new depth measurements here, as well as a compilation of previously published measurements. To demonstrate the improvements to the sub-shelf bathymetry map that these new data provide we include a gridded data product in the Supplement of this paper, derived using the additional measurements of both offshore seabed depth and the thickness of grounded ice. The underlying seismic datasets that were used to determine bed depth and ice thickness are available at https://doi.org/10.5285/315740B1-A7B9-4CF0-9521-86F046E33E9A (Brisbourne et al., 2019), https ://doi. org/10.5285/5D63777D-B 375-4791-918F-9A5527093298 (Booth, 2019), https://doi.org/10.5285/FFF8AFEE-4978-495E-9210-120872983A8D (Kulessa and Bevan, 2019) and https://doi.org/10.5285/147BAF64-B9AF-4A97-8091-26AECOD3COBB (Booth et al., 2019).</t>
  </si>
  <si>
    <t>[Brisbourne, Alex; Hudson, Thomas; Harrison, Lianne; Holland, Paul; Nichols, Keith; Smith, Andrew] NERC, British Antarctic Survey, Madingley Rd, Cambridge CB3 0ET, England; [Kulessa, Bernd; Luckman, Adrian; Bevan, Suzanne] Swansea Univ, Coll Sci, Glaciol Grp, Singleton Pk, Swansea SA2 8PP, W Glam, Wales; [Ashmore, David] Univ Liverpool, Sch Environm Sci, Liverpool L69 7ZT, Merseyside, England; [Hubbard, Bryn] Aberystwyth Univ, Ctr Glaciol, Dept Geog &amp; Earth Sci, Aberystwyth SY23 3DB, Dyfed, Wales; [Pearce, Emma; Booth, Adam P.] Univ Leeds, Sch Earth &amp; Environm, Inst Appl Geosci, Leeds LS2 9JT, W Yorkshire, England; [White, James] British Geol Survey, Nottingham NG12 5GG, England</t>
  </si>
  <si>
    <t>UK Research &amp; Innovation (UKRI); Natural Environment Research Council (NERC); NERC British Antarctic Survey; Swansea University; University of Liverpool; Aberystwyth University; University of Leeds; UK Research &amp; Innovation (UKRI); Natural Environment Research Council (NERC); NERC British Geological Survey</t>
  </si>
  <si>
    <t>Brisbourne, A (corresponding author), NERC, British Antarctic Survey, Madingley Rd, Cambridge CB3 0ET, England.</t>
  </si>
  <si>
    <t>aleisb@bas.ac.uk</t>
  </si>
  <si>
    <t>Facility, NERC Geophysical Equipment/G-5260-2010; Holland, Paul R/G-2796-2012; Luckman, Adrian/GVS-1716-2022; Brisbourne, Alex/E-6198-2013</t>
  </si>
  <si>
    <t>Bevan, Suzanne/0000-0003-2649-2982; Booth, Adam/0000-0002-8166-9608; Luckman, Adrian/0000-0002-9618-5905; Ashmore, David/0000-0003-4829-7854; Hubbard, Bryn/0000-0002-3565-3875; Brisbourne, Alex/0000-0002-9887-7120; Kulessa, Bernd/0000-0002-4830-4949</t>
  </si>
  <si>
    <t>Natural Environment Research Council [NE/E012914/1, NE/L005409/1, NE/R012334/1]; British Antarctic Survey (Polar Science for Planet Earth Programme); NERC [NE/E012914/1, bgs06001, NE/R012334/1, NE/L006707/1, bas0100034, NE/E013414/1, bas0100033, NE/L005409/1] Funding Source: UKRI</t>
  </si>
  <si>
    <t>Natural Environment Research Council(UK Research &amp; Innovation (UKRI)Natural Environment Research Council (NERC)); British Antarctic Survey (Polar Science for Planet Earth Programme); NERC(UK Research &amp; Innovation (UKRI)Natural Environment Research Council (NERC))</t>
  </si>
  <si>
    <t>This research has been supported by the Natural Environment Research Council, British Antarctic Survey (Polar Science for Planet Earth Programme) and the Natural Environment Research Council (grant nos. NE/E012914/1, NE/L005409/1 and NE/R012334/1).</t>
  </si>
  <si>
    <t>10.5194/essd-12-887-2020</t>
  </si>
  <si>
    <t>LH4XY</t>
  </si>
  <si>
    <t>Green Accepted, Green Submitted, gold</t>
  </si>
  <si>
    <t>WOS:000528791100003</t>
  </si>
  <si>
    <t>Su, CD; Wu, XQ; Luo, T; Wu, S; Qing, C</t>
  </si>
  <si>
    <t>Su, Changdong; Wu, Xiaoqing; Luo, Tao; Wu, Su; Qing, Chun</t>
  </si>
  <si>
    <t>Adaptive niche-genetic algorithm based on backpropagation neural network for atmospheric turbulence forecasting</t>
  </si>
  <si>
    <t>APPLIED OPTICS</t>
  </si>
  <si>
    <t>OPTICAL TURBULENCE; MODELS</t>
  </si>
  <si>
    <t>Because systematic direct measurements of the refractive index structure constant (C-n(2)) are not available for many climates and seasons, we developed an indirect method to forecast optical turbulence. The C-n(2) was estimated from a backpropagation neural network optimized by an adaptive niche-genetic algorithm. The estimated result was validated against the corresponding six-day C(n)(2 )data from a field campaign of the 30th Chinese National Antarctic Research Expedition. We also compared the correlation coefficient, root mean square error, and systematic error bias of the proposed model with the weather research and forecasting model. The results suggest that our model shows better correlation and reliably estimates C-n(2). (C) 2020 Optical Society of America</t>
  </si>
  <si>
    <t>[Su, Changdong; Wu, Xiaoqing; Luo, Tao; Wu, Su; Qing, Chun] Chinese Acad Sci, Hefei Inst Phys Sci, Hefei 230031, Peoples R China; [Su, Changdong; Wu, Su] Univ Sci &amp; Technol China, Hefei 230026, Peoples R China</t>
  </si>
  <si>
    <t>Chinese Academy of Sciences; Hefei Institutes of Physical Science, CAS; Chinese Academy of Sciences; University of Science &amp; Technology of China, CAS</t>
  </si>
  <si>
    <t>Wu, XQ (corresponding author), Chinese Acad Sci, Hefei Inst Phys Sci, Hefei 230031, Peoples R China.</t>
  </si>
  <si>
    <t>xqwu@aiofm.ac.cn</t>
  </si>
  <si>
    <t>SU, Changdong/0000-0002-1271-2297; qing, chun/0000-0003-2456-1366</t>
  </si>
  <si>
    <t>National Natural Science Foundation of China [41576185, 91752103]</t>
  </si>
  <si>
    <t>National Natural Science Foundation of China (41576185, 91752103).</t>
  </si>
  <si>
    <t>OPTICAL SOC AMER</t>
  </si>
  <si>
    <t>2010 MASSACHUSETTS AVE NW, WASHINGTON, DC 20036 USA</t>
  </si>
  <si>
    <t>1559-128X</t>
  </si>
  <si>
    <t>2155-3165</t>
  </si>
  <si>
    <t>APPL OPTICS</t>
  </si>
  <si>
    <t>Appl. Optics</t>
  </si>
  <si>
    <t>10.1364/AO.388959</t>
  </si>
  <si>
    <t>Optics</t>
  </si>
  <si>
    <t>LG6HJ</t>
  </si>
  <si>
    <t>WOS:000528199400027</t>
  </si>
  <si>
    <t>Janssen, DJ; Sieber, M; Ellwood, MJ; Conway, TM; Barrett, PM; Chen, XY; de Souza, GF; Hassler, CS; Jaccard, SL</t>
  </si>
  <si>
    <t>Janssen, David J.; Sieber, Matthias; Ellwood, Michael J.; Conway, Tim M.; Barrett, Pamela M.; Chen, Xiaoyu; de Souza, Gregory F.; Hassler, Christel S.; Jaccard, Samuel L.</t>
  </si>
  <si>
    <t>Trace metal and nutrient dynamics across broad biogeochemical gradients in the Indian and Pacific sectors of the Southern Ocean</t>
  </si>
  <si>
    <t>MARINE CHEMISTRY</t>
  </si>
  <si>
    <t>Trace Metal; Southern Ocean; GEOTRACES; Iron; Antarctic Circumnavigation Expedition</t>
  </si>
  <si>
    <t>NATURAL IRON-FERTILIZATION; STABLE-ISOTOPE DISTRIBUTION; DISSOLVED IRON; ATLANTIC SECTOR; PHYTOPLANKTON GROWTH; MARINE GEOCHEMISTRY; AUSTRALIAN SECTOR; KERGUELEN PLATEAU; MAJOR NUTRIENTS; LEAD EMISSIONS</t>
  </si>
  <si>
    <t>The Southern Ocean is the largest high-nutrient low-chlorophyll environment in the global ocean, and represents an important source of intermediate and deep waters to lower latitudes. Constraining Southern Ocean trace metal biogeochemical cycling is therefore important not just for understanding biological productivity and carbon cycling regionally, but also for understanding trace metal distributions throughout the lower latitude oceans. We present dissolved Fe, Ni, Cu, Zn, Cd, Pb and macronutrient concentrations in the Indian and Pacific sectors of the Southern Ocean from the Antarctic Circumnavigation Expedition (austral summer 2016-17), which included the first opportunities to study trace metal cycling at the Mertz Glacier Polynya and the Balleny Islands, as well as two meridional cross-frontal transects. Dissolved Ni, Cu, Zn, Cd and macronutrient concentrations show similar or greater variability latitudinally within surface waters than vertically through the water column, reflecting the combined influence of circulation and biological drawdown in shaping the distributions of nutrient-type elements in the Southern Ocean. Slopes of Cu-Si(OH)(4) and Cd-PO4 increase from the Polar Frontal Zone to south of the Southern ACC Boundary (Cu-Si(OH)(4)) and from the Subantarctic Zone to the Antarctic Zone (Cd-PO4). Latitudinal differences are also observed for Ni-Si(OH)(4) and Zn-PO4, with distinct Subantarctic Zone trends relative to those south of the Polar Front. Similarities between our Zn-Si(OH)(4) and Cd-PO4 correlations and global compilations reflect the importance of exported Southern Ocean waters in setting these metal-macronutrient couples globally. Distinct Ni-macronutrient correlations are observed in this dataset relative to the global ocean, which supports a distinct cycling of Ni in the Southern Ocean compared to other basins. Concentrations of Pb are among the lowest observed in the global ocean; however, a local maximum is seen along the density level corresponding with Antarctic Intermediate Water. Concentrations within this isopycnal decrease with increasing latitude, which can be explained by decreasing atmospheric Pb input to more recently subducted waters. Substantial biological uptake of metals and macronutrients is observed at the Mertz Glacier Polynya. Here, inferred metal:macronutrient uptake ratios are comparable to those found in the Amundsen Sea Polynya, in Southern Ocean phytoplankton, and to metal-macronutrient correlations in our data set as a whole, highlighting the potential of Southern Ocean polynyas as natural systems for trace metal uptake and export studies. The Balleny Islands are a source of Fe to surface waters and the islands also appear to influence distributions of Zn, Cu and macronutrients, which may reflect the combined impact of Fe supply on biological uptake, mixing, and scavenging in deeper waters. The Kerguelen Plateau is also a source of Fe, as previously identified. Throughout our dataset, the ferricline is found deeper than the nitricline, in agreement with existing data and indicating that Fe is less easily entrained into the surface ocean than NO3. Additionally, Fe:NO3 ratios in most samples throughout the water column are Fe-limiting ( &lt; 0.01 mmol mol(-1)). Therefore deep mixing, identified previously as the main Fe source to much of the Southern Ocean, would ultimately act to maintain Fe limitation.</t>
  </si>
  <si>
    <t>[Janssen, David J.; Jaccard, Samuel L.] Univ Bern, Inst Geol Sci, Bern, Switzerland; [Janssen, David J.; Jaccard, Samuel L.] Univ Bern, Oeschger Ctr Climate Change Res, Bern, Switzerland; [Sieber, Matthias; de Souza, Gregory F.] ETHe Zurich, Inst Geochem &amp; Petrol, Zurich, Switzerland; [Sieber, Matthias; Conway, Tim M.] Univ S Florida, Coll Marine Sci, St Petersburg, FL USA; [Ellwood, Michael J.; Barrett, Pamela M.; Chen, Xiaoyu] Australian Natl Univ, Res Sch Earth Sci, Canberra, ACT, Australia; [Conway, Tim M.] Univ S Florida, Sch Geosci, Tampa, FL 33620 USA; [Hassler, Christel S.] Univ Geneva, Dept FA Forel Environm &amp; Aquat Sci, Geneva, Switzerland</t>
  </si>
  <si>
    <t>University of Bern; University of Bern; State University System of Florida; University of South Florida; Australian National University; State University System of Florida; University of South Florida; University of Geneva</t>
  </si>
  <si>
    <t>Janssen, DJ (corresponding author), Univ Bern, Inst Geol Sci, Bern, Switzerland.;Janssen, DJ (corresponding author), Univ Bern, Oeschger Ctr Climate Change Res, Bern, Switzerland.</t>
  </si>
  <si>
    <t>david.janssen@geo.unibe.ch</t>
  </si>
  <si>
    <t>chen, xiaoyu/JNS-8767-2023; Ellwood, Michael J/G-7390-2011; Barrett, Pamela Louise/JEZ-8259-2023; Jaccard, Samuel/G-3447-2014</t>
  </si>
  <si>
    <t>chen, xiaoyu/0000-0002-8243-0121; Ellwood, Michael/0000-0003-4288-8530; Sieber, Matthias/0000-0001-5510-6126; Hassler, Christel/0000-0002-8976-5469; Janssen, David/0000-0002-9091-8936; Jaccard, Samuel/0000-0002-5793-0896</t>
  </si>
  <si>
    <t>Swiss National Science Foundation [PP00P2_138955, PP00P2_166197, PP00P2_172915]; Swiss Polar Institute (SPI); ACE Foundation; Ferring Pharmaceuticals; University of South Florida; Marie Sklodowska-Curie Research Fellowship under EU Horizon 2020 (SOSiC) [708407]; Swiss National Science Foundation (SNF) [PP00P2_172915, PP00P2_166197, PP00P2_138955] Funding Source: Swiss National Science Foundation (SNF); Marie Curie Actions (MSCA) [708407] Funding Source: Marie Curie Actions (MSCA)</t>
  </si>
  <si>
    <t>Swiss National Science Foundation(Swiss National Science Foundation (SNSF)); Swiss Polar Institute (SPI); ACE Foundation; Ferring Pharmaceuticals(Ferring Pharmaceuticals); University of South Florida; Marie Sklodowska-Curie Research Fellowship under EU Horizon 2020 (SOSiC); Swiss National Science Foundation (SNF)(Swiss National Science Foundation (SNSF)); Marie Curie Actions (MSCA)(Marie Curie Actions)</t>
  </si>
  <si>
    <t>This work was supported by the Swiss National Science Foundation (grant PP00P2_172915). ACE was a scientific expedition carried out under the auspices of the Swiss Polar Institute (SPI), supported by funding from the ACE Foundation and Ferring Pharmaceuticals. We are grateful to the Chief Scientist, the late David Walton, and the captain and crew of the R/V Akademik Tryoshnikov for their continuous support during the voyage. We acknowledge Scarlett Trimborn for use of the AWI clean sampling container and, along with Tina Brenneis, for nutrient analyses. We acknowledge sampling assistance from Damien Cabanes and Marion Fourquez. TMC acknowledges support from the University of South Florida. CH was supported by the Swiss National Science Foundation (PP00P2_138955 and PP00P2_166197). GFdS was supported by a Marie Sklodowska-Curie Research Fellowship under EU Horizon 2020 (SOSiC; 708407).</t>
  </si>
  <si>
    <t>0304-4203</t>
  </si>
  <si>
    <t>1872-7581</t>
  </si>
  <si>
    <t>MAR CHEM</t>
  </si>
  <si>
    <t>Mar. Chem.</t>
  </si>
  <si>
    <t>10.1016/j.marchem.2020.103773</t>
  </si>
  <si>
    <t>Chemistry, Multidisciplinary; Oceanography</t>
  </si>
  <si>
    <t>Chemistry; Oceanography</t>
  </si>
  <si>
    <t>LF4AJ</t>
  </si>
  <si>
    <t>WOS:000527361100002</t>
  </si>
  <si>
    <t>Kanna, N; Lannuzel, D; van der Merwe, P; Nishioka, J</t>
  </si>
  <si>
    <t>Kanna, Naoya; Lannuzel, Delphine; van der Merwe, Pier; Nishioka, Jun</t>
  </si>
  <si>
    <t>Size fractionation and bioavailability of iron released from melting sea ice in a subpolar marginal sea</t>
  </si>
  <si>
    <t>Iron; Sea ice; Bioavailability; Size fraction</t>
  </si>
  <si>
    <t>PACIFIC-OCEAN; PARTICULATE FE; SOUTHERN-OCEAN; GROWTH-RATES; ROSS SEA; PHYTOPLANKTON; SEAWATER; OKHOTSK; WATERS; TRANSPORT</t>
  </si>
  <si>
    <t>We incubated Fe-limited seawater with sea-ice sections to evaluate which forms of iron (Fe) released from melting sea ice can favor phytoplankton growth. Biological availability (bioavailability) was approximated by fractionating Fe into soluble (&lt;1000 kDa), colloidal (1000 kDa-0.2 mu m), and labile particulate (&gt; 0.2 mu m) sizes. Results show that phytoplankton thrived after the addition of sea ice. While the labile particulate fraction dominated the total Fe pool in sea ice, the concentration of dissolved Fe (&lt; 0.2 mu m) was likely not enough to support phytoplankton growth in seawater over time. The concentrations and molar ratios of Fe, Mn and Al in acid-digested particles indicate that particulate Fe in sea ice were derived from multiple origins. Specifically, the Fe to Al ratio in sea ice was higher than in lithogenic material, suggesting that the sea ice were enriched with biogenic material. Our study suggests that particulate Fe from sea ice should be considered an important source of biologically available Fe in ice-covered marginal seas.</t>
  </si>
  <si>
    <t>[Kanna, Naoya; Nishioka, Jun] Hokkaido Univ, Inst Low Temp Sci, Sapporo, Hokkaido, Japan; [Kanna, Naoya] Hokkaido Univ, Grad Sch Environm Earth Sci, Sapporo, Hokkaido, Japan; [Kanna, Naoya; Nishioka, Jun] Hokkaido Univ, Arctic Res Ctr, Sapporo, Hokkaido, Japan; [Lannuzel, Delphine; van der Merwe, Pier] Univ Tasmania, Inst Marine &amp; Antarctic Studies, Hobart, Tas, Australia</t>
  </si>
  <si>
    <t>Hokkaido University; Hokkaido University; Hokkaido University; University of Tasmania</t>
  </si>
  <si>
    <t>Kanna, N (corresponding author), Hokkaido Univ, Arctic Res Ctr, Sapporo, Hokkaido, Japan.</t>
  </si>
  <si>
    <t>kanna@arc.hokudai.ac.jp</t>
  </si>
  <si>
    <t>van der Merwe, Pier C/C-9210-2015; Nishioka, Jun/F-5314-2011; lannuzel, delphine/J-7937-2014</t>
  </si>
  <si>
    <t>Nishioka, Jun/0000-0003-1723-9344; lannuzel, delphine/0000-0001-6154-1837</t>
  </si>
  <si>
    <t>Ministry of Education, Culture, Sports, Science, Japan [17H00775, 26281002, 15H05820]; Canon Foundation, Japan; Green Network of Excellent Program (GRENE Program), Arctic Climate Change Research Project, Japan; Grant for Joint Research Program of the Institute of Low Temperature Science, Hokkaido University, Japan; Tsuneichi Fujii Scholarship based on an exchange program at the University of Tasmania, Australia; Grants-in-Aid for Scientific Research [26281002, 17H00775, 15H05820] Funding Source: KAKEN</t>
  </si>
  <si>
    <t>Ministry of Education, Culture, Sports, Science, Japan(Ministry of Education, Culture, Sports, Science and Technology, Japan (MEXT)); Canon Foundation, Japan; Green Network of Excellent Program (GRENE Program), Arctic Climate Change Research Project, Japan; Grant for Joint Research Program of the Institute of Low Temperature Science, Hokkaido University, Japan; Tsuneichi Fujii Scholarship based on an exchange program at the University of Tasmania, Australia; Grants-in-Aid for Scientific Research(Ministry of Education, Culture, Sports, Science and Technology, Japan (MEXT)Japan Society for the Promotion of ScienceGrants-in-Aid for Scientific Research (KAKENHI))</t>
  </si>
  <si>
    <t>We thank the captain, crew and scientists of the R/V Hakuho-maru of the University of Tokyo, and the P/V Soya of the Japan Coast Guard for their assistance during the cruise. We wish to thank Ms. A. Murayama for her helpful support with laboratory work. We thank Dr. H. Ogawa for coordinating the R/V Hakuho-maru, and Dr. T. Toyota onboard the P/V Soya for sea ice sampling. Special thanks to Dr. A. R. Bowie, Dr. K. Suzuki and Mr. C. Dillon for all their efforts to help our efforts. This study was supported by a Grant-in-Aid for Scientific Research (A, B) (No. 17H00775, No.26281002), Grant-in-Aid for Scientific Research in Innovative Areas (No.15H05820) from the Ministry of Education, Culture, Sports, Science, Japan and by the Canon Foundation, Japan to JN. This research was also supported by Green Network of Excellent Program (GRENE Program), Arctic Climate Change Research Project, Japan and the Grant for Joint Research Program of the Institute of Low Temperature Science, Hokkaido University, Japan. This work is also supported by funding from Tsuneichi Fujii Scholarship based on an exchange program at the University of Tasmania, Australia. Finally, we would like to thank Dr. T. Bianchi and two anonymous reviewers for their constructive comments.</t>
  </si>
  <si>
    <t>10.1016/j.marchem.2020.103774</t>
  </si>
  <si>
    <t>WOS:000527361100003</t>
  </si>
  <si>
    <t>Hastings, RA; Rutterford, LA; Freer, JJ; Collins, RA; Simpson, SD; Genner, MJ</t>
  </si>
  <si>
    <t>Hastings, Reuben A.; Rutterford, Louise A.; Freer, Jennifer J.; Collins, Rupert A.; Simpson, Stephen D.; Genner, Martin J.</t>
  </si>
  <si>
    <t>Climate Change Drives Poleward Increases and Equatorward Declines in Marine Species</t>
  </si>
  <si>
    <t>CURRENT BIOLOGY</t>
  </si>
  <si>
    <t>RANGE SHIFTS; ADAPTATION; ECOSYSTEMS; RESPONSES</t>
  </si>
  <si>
    <t>Marine environments have increased in temperature by an average of 1 degrees C since pre-industrial (1850) times [1]. Given that species ranges are closely allied to physiological thermal tolerances in marine organisms [2], it may therefore be expected that ocean warming would lead to abundance increases at poleward side of ranges and abundance declines toward the equator [3]. Here, we report a global analysis of abundance trends of 304 widely distributed marine species over the last century, across a range of taxonomic groups from phytoplankton to fish and marine mammals. Specifically, using a literature database, we investigate the extent that the direction and strength of long-term species abundance changes depend on the sampled location within the latitudinal range of species. Our results show that abundance increases have been most prominent where sampling has taken place at the poleward side of species ranges, and abundance declines have been most prominent where sampling has taken place at the equatorward side of species ranges. These data provide evidence of omnipresent large-scale changes in abundance of marine species consistent with warming over the last century and suggest that adaptation has not provided a buffer against the negative effects of warmer conditions at the equatorward extent of species ranges. On the basis of these results, we suggest that projected sea temperature increases of up to 1.5 degrees C over pre-industrial levels by 2050 [4] will continue to drive latitudinal abundance shifts in marine species, including those of importance for coastal livelihoods.</t>
  </si>
  <si>
    <t>[Hastings, Reuben A.; Rutterford, Louise A.; Freer, Jennifer J.; Collins, Rupert A.; Genner, Martin J.] Univ Bristol, Sch Biol Sci, Life Sci Bldg,Tyndall Ave, Bristol BS8 1TQ, Avon, England; [Rutterford, Louise A.; Simpson, Stephen D.] Univ Exeter, Coll Life &amp; Environm Sci, Biosci, Stocker Rd, Exeter EX4 4QD, Devon, England; [Freer, Jennifer J.] British Antarctic Survey, Madingley Rd, Cambridge CB3 0ET, England</t>
  </si>
  <si>
    <t>University of Bristol; University of Exeter; UK Research &amp; Innovation (UKRI); Natural Environment Research Council (NERC); NERC British Antarctic Survey</t>
  </si>
  <si>
    <t>Genner, MJ (corresponding author), Univ Bristol, Sch Biol Sci, Life Sci Bldg,Tyndall Ave, Bristol BS8 1TQ, Avon, England.</t>
  </si>
  <si>
    <t>m.genner@bristol.ac.uk</t>
  </si>
  <si>
    <t>Collins, Rupert A./0000-0002-9135-1169; Hastings, Reuben/0000-0001-6571-0298</t>
  </si>
  <si>
    <t>NERC studentships [NE/L501669/1, NE/L002434/1]; NERC SeaDNA project [NE/F001878/1]; NERC [bas0100035, NE/N005937/1] Funding Source: UKRI</t>
  </si>
  <si>
    <t>NERC studentships; NERC SeaDNA project; NERC(UK Research &amp; Innovation (UKRI)Natural Environment Research Council (NERC))</t>
  </si>
  <si>
    <t>The work was supported by NERC studentships NE/L501669/1 (to L.A.R.) and NE/L002434/1 (to J.J.F.), with additional support for the literature survey from the UK Government Office for Science. R.A.C. was supported through the NERC SeaDNA project NE/F001878/1.</t>
  </si>
  <si>
    <t>0960-9822</t>
  </si>
  <si>
    <t>1879-0445</t>
  </si>
  <si>
    <t>CURR BIOL</t>
  </si>
  <si>
    <t>Curr. Biol.</t>
  </si>
  <si>
    <t>10.1016/j.cub.2020.02.043</t>
  </si>
  <si>
    <t>Biochemistry &amp; Molecular Biology; Biology; Cell Biology</t>
  </si>
  <si>
    <t>Biochemistry &amp; Molecular Biology; Life Sciences &amp; Biomedicine - Other Topics; Cell Biology</t>
  </si>
  <si>
    <t>LH9PX</t>
  </si>
  <si>
    <t>hybrid, Green Accepted</t>
  </si>
  <si>
    <t>WOS:000529117300036</t>
  </si>
  <si>
    <t>Grzesiak, J; Kaczynska, A; Gawor, J; Zuchniewicz, K; Aleksandrzak-Piekarczyk, T; Gromadka, R; Zdanowski, MK</t>
  </si>
  <si>
    <t>Grzesiak, Jakub; Kaczynska, Agata; Gawor, Jan; Zuchniewicz, Karolina; Aleksandrzak-Piekarczyk, Tamara; Gromadka, Robert; Zdanowski, Marek K.</t>
  </si>
  <si>
    <t>A smelly business: Microbiology of Adelie penguin guano (Point Thomas rookery, Antarctica)</t>
  </si>
  <si>
    <t>Ammonia; Jeotgalibaca; Uric acid; Psychrobacter; Targeted 16S metagenomics; Enzyme activity</t>
  </si>
  <si>
    <t>KING-GEORGE-ISLAND; DIACETATE HYDROLYTIC ACTIVITY; BACTERIAL DIVERSITY; AMMONIA EMISSIONS; SP-NOV.; ORNITHOGENIC SOILS; PYGOSCELIS-ADELIAE; ECOLOGY GLACIER; OPTIMIZATION; TEMPERATURE</t>
  </si>
  <si>
    <t>Adelie penguins (Pygoscelis adeliae) are the most numerous flightless bird group breeding in coastal areas of Maritime and Continental Antarctica. Their activity leaves a mark on the land in the form of large guano deposits. This guano is an important nutrient source for terrestrial habitats of ice-free Antarctic areas, most notably by being the source of ammonia vapors which feed the surrounding grass, lichen and algae communities. Although investigated by researchers, the fate of the guano-associated microbial community and its role in decomposition processes remain vague. Therefore, by employing several direct community assessment methods combined with a broad culture-based approach we provide data on bacterial numbers, their activity and taxonomic affiliation in recently deposited and decayed Adelie penguin guano sampled at the Point Thomas rookery in Maritime Antarctica (King George Island). Our research indicates that recently deposited guano harbored mostly bacteria of penguin gut origin, presumably inactive in cold rookery settings. This material was rich in mesophilic enzymes active also at low temperatures, likely mediating early stage decomposition. Fresh guano colonization by environmental bacteria was minor, accomplished mostly by ammonia scavenging Jeotgalibaca sp. cells. Decayed guano contained 10-fold higher bacterial numbers with cold-active enzymes dominating the samples. Guano was colonized by uric-acid degrading and lipolytic Psychrobacter spp. and proteolytic Chlyseobacterium sp. among others. Several spore-forming bacteria of penguin gut origin persisted in highly decomposed material, most notably uric-acid fermenting members of the Gottschalkiaceae family. (C) 2020 The Authors. Published by Elsevier B.V.</t>
  </si>
  <si>
    <t>[Grzesiak, Jakub; Gawor, Jan; Zuchniewicz, Karolina; Aleksandrzak-Piekarczyk, Tamara; Gromadka, Robert; Zdanowski, Marek K.] Polish Acad Sci, Inst Biochem &amp; Biophys, Pawiskiego 5A, PL-02106 Warsaw, Poland; [Kaczynska, Agata] Pomeranian Univ Slupsk, Arciszewskiego 22A, PL-76200 Slupsk, Poland</t>
  </si>
  <si>
    <t>Polish Academy of Sciences; Institute of Biochemistry &amp; Biophysics - Polish Academy of Sciences</t>
  </si>
  <si>
    <t>Grzesiak, J (corresponding author), Polish Acad Sci, Inst Biochem &amp; Biophys, Pawiskiego 5A, PL-02106 Warsaw, Poland.</t>
  </si>
  <si>
    <t>jgrzesiak@arctowski.pl</t>
  </si>
  <si>
    <t>Aleksandrzak-Piekarczyk, Tamara/E-3332-2012; Grzesiak, Jakub/ABD-5209-2020</t>
  </si>
  <si>
    <t>Aleksandrzak-Piekarczyk, Tamara/0000-0002-4725-760X; Grzesiak, Jakub/0000-0001-5972-2356; Gromadka, Robert/0000-0002-9941-6692; Zuchniewicz, Karolina/0000-0002-7097-4025; Gawor, Jan/0000-0003-3800-2557</t>
  </si>
  <si>
    <t>Institute of Biochemistry and Biophysics, Polish Academy of Sciences</t>
  </si>
  <si>
    <t>This work was supported by statuary funding of the Institute of Biochemistry and Biophysics, Polish Academy of Sciences. Samples and datawere obtained thanks to the scientific facility of the Polish Antarctic Station ARCTOWSKI. Authors declare no conflict of interest.</t>
  </si>
  <si>
    <t>10.1016/j.scitotenv.2020.136714</t>
  </si>
  <si>
    <t>KR6XL</t>
  </si>
  <si>
    <t>WOS:000517760200012</t>
  </si>
  <si>
    <t>Collinet, M; Grove, TL</t>
  </si>
  <si>
    <t>Collinet, Max; Grove, Timothy L.</t>
  </si>
  <si>
    <t>Incremental melting in the ureilite parent body: Initial composition, melting temperatures, and melt compositions</t>
  </si>
  <si>
    <t>MN-53-CR-53 THERMOCHRONOLOGY; EQUILIBRATION TEMPERATURES; ISOTOPIC COMPOSITION; CHROMIUM VALENCES; COOLING HISTORY; ORTHO-PYROXENE; OLIVINE; ORIGIN; METEORITES; PLANETARY</t>
  </si>
  <si>
    <t>Ureilites are carbon-rich ultramafic achondrites that have been heated above the silicate solidus, do not contain plagioclase, and represent the melting residues of an unknown planetesimal (i.e., the ureilite parent body, UPB). Melting residues identical to pigeonite-olivine ureilites (representing 80% of ureilites) have been produced in batch melting experiments of chondritic materials not depleted in alkali elements relative to the Sun's photosphere (e.g., CI, H, LL chondrites), but only in a relatively narrow range of temperature (1120 oC-1180 oC). However, many ureilites are thought to have formed at higher temperature (1200 oC-1280 oC). New experiments, described in this study, show that pigeonite can persist at higher temperature (up to 1280 oC) when CI and LL chondrites are melted incrementally and while partial melts are progressively extracted. The melt productivity decreases dramatically after the exhaustion of plagioclase with only 5-9 wt% melt being generated between 1120 oC and 1280 oC. The relative proportion of pyroxene and olivine in experiments is compared to 12 ureilites, analyzed for this study, together with ureilites described in the literature to constrain the initial Mg/Si ratio of the UPB (0.98-1.05). Experiments are also used to develop a new thermometer based on the partitioning of Cr between olivine and low-Ca pyroxene that is applicable to all ureilites. The equilibration temperature of ureilites increases with decreasing Al2O3 and Wo contents of pyroxene and decreasing bulk REE concentrations. The UPB melted incrementally, at different fO(2), and did not cool significantly (0 oC-30 oC) prior to its disruption. It remained isotopically heterogenous, but the initial concentration of major elements (SiO2, MgO, CaO, Al2O3, alkali elements) was similar in the different mantle reservoirs.</t>
  </si>
  <si>
    <t>[Collinet, Max; Grove, Timothy L.] MIT, Dept Earth Atmospher &amp; Planetary Sci, Cambridge, MA 02139 USA; [Collinet, Max] German Aerosp Ctr DLR, Inst Planetary Res, Rutherfordstr 2, D-12489 Berlin, Germany</t>
  </si>
  <si>
    <t>Massachusetts Institute of Technology (MIT); Helmholtz Association; German Aerospace Centre (DLR)</t>
  </si>
  <si>
    <t>Collinet, M (corresponding author), MIT, Dept Earth Atmospher &amp; Planetary Sci, Cambridge, MA 02139 USA.;Collinet, M (corresponding author), German Aerosp Ctr DLR, Inst Planetary Res, Rutherfordstr 2, D-12489 Berlin, Germany.</t>
  </si>
  <si>
    <t>max.collinet@dlr.de</t>
  </si>
  <si>
    <t>Collinet, Max/0000-0002-8791-9751</t>
  </si>
  <si>
    <t>NASA Emerging Worlds grant [NNX16AD29J]; NSF; NASA</t>
  </si>
  <si>
    <t>NASA Emerging Worlds grant; NSF(National Science Foundation (NSF)); NASA(National Aeronautics &amp; Space Administration (NASA))</t>
  </si>
  <si>
    <t>This research project was funded by a NASA Emerging Worlds grant (NNX16AD29J). US Antarctic meteorite samples are recovered by the Antarctic Search for Meteorites (ANSMET) program which has been funded by NSF and NASA, and characterized and curated by the Department of Mineral Sciences of the Smithsonian Institution and the Astromaterials Curation Office at NASA Johnson Space Center. We thank Kevin Righter for his editorial handling as well as Cyrena Goodrich and Akira Yamaguchi for their thorough and constructive reviews.</t>
  </si>
  <si>
    <t>10.1111/maps.13471</t>
  </si>
  <si>
    <t>WOS:000527086200001</t>
  </si>
  <si>
    <t>Biersma, EM; Torres-Díaz, C; Molina-Montenegro, MA; Newsham, KK; Vidal, MA; Collado, GA; Acuña-Rodríguez, IS; Ballesteros, GI; Figueroa, CC; Goodall-Copestake, WP; Leppe, MA; Cuba-Díaz, M; Valladares, MA; Pertierra, LR; Convey, P</t>
  </si>
  <si>
    <t>Biersma, Elisabeth M.; Torres-Diaz, Cristian; Molina-Montenegro, Marco A.; Newsham, Kevin. K.; Vidal, Marcela A.; Collado, Gonzalo A.; Acuna-Rodriguez, Ian S.; Ballesteros, Gabriel I.; Figueroa, Christian C.; Goodall-Copestake, William P.; Leppe, Marcelo A.; Cuba-Diaz, Marely; Valladares, Moises A.; Pertierra, Luis R.; Convey, Peter</t>
  </si>
  <si>
    <t>Multiple late-Pleistocene colonisation events of the Antarctic pearlwort Colobanthus quitensis (Caryophyllaceae) reveal the recent arrival of native Antarctic vascular flora</t>
  </si>
  <si>
    <t>JOURNAL OF BIOGEOGRAPHY</t>
  </si>
  <si>
    <t>angiosperm; Antarctica; biogeography; dispersal; island; pearlwort; South America; Southern Ocean</t>
  </si>
  <si>
    <t>WHITE-RUMPED SANDPIPER; DESCHAMPSIA-ANTARCTICA; GENETIC DIVERSITY; KELP GULL; POPULATIONS; DIFFERENTIATION; VARIABILITY; VEGETATION; HAPLOTYPES; PHYLOGENY</t>
  </si>
  <si>
    <t>Aim Antarctica's remote and extreme terrestrial environments are inhabited by only two species of native vascular plants. We assessed genetic connectivity amongst Antarctic and South American populations of one of these species, Colobanthus quitensis, to determine its origin and age in Antarctica. Location Maritime Antarctic, sub-Antarctic islands, South America. Taxon Antarctic pearlwort Colobanthus quitensis (Caryophyllaceae). Methods Four chloroplast markers and one nuclear marker were sequenced from 270 samples from a latitudinal transect spanning 21-68 degrees S. Phylogeographic, population genetic and molecular dating analyses were used to assess the demographic history of C. quitensis and the age of the species in Antarctica. Results Maritime Antarctic populations consisted of two different haplotype clusters, occupying the northern and southern Maritime Antarctic. Molecular dating analyses suggested C. quitensis to be a young (&lt;1 Ma) species, with contemporary population structure derived since the late-Pleistocene. Main conclusions The Maritime Antarctic populations likely derived from two independent, late-Pleistocene dispersal events. Both clusters shared haplotypes with sub-Antarctic South Georgia, suggesting higher connectivity across the Southern Ocean than previously thought. The overall findings of multiple colonization events by a vascular plant species to Antarctica, and the recent timing of these events, are of significance with respect to future colonizations of the Antarctic Peninsula by vascular plants, particularly with predicted increases in ice-free land in this area. This study fills a significant gap in our knowledge of the age of the contemporary Antarctic terrestrial biota. Adding to previous inferences on the other Antarctic vascular plant species (the grass Deschampsia antarctica), we suggest that both angiosperm species are likely to have arrived on a recent (late-Pleistocene) time-scale. While most major groups of Antarctic terrestrial biota include examples of much longer-term Antarctic persistence, the vascular flora stands out as the first identified terrestrial group that appears to be of recent origin.</t>
  </si>
  <si>
    <t>[Biersma, Elisabeth M.; Newsham, Kevin. K.; Goodall-Copestake, William P.; Convey, Peter] British Antarctic Survey, Nat Environm Res Council, Cambridge, England; [Biersma, Elisabeth M.] Univ Copenhagen, Nat Hist Museum Denmark, Copenhagen, Denmark; [Torres-Diaz, Cristian; Vidal, Marcela A.; Collado, Gonzalo A.; Valladares, Moises A.] Univ Bio Bio, Dept Ciencias Basicas, GIBCG, Chillan, Region De Nuble, Chile; [Molina-Montenegro, Marco A.; Acuna-Rodriguez, Ian S.; Ballesteros, Gabriel I.; Figueroa, Christian C.] Univ Talca, Inst Ciencias Biol, Talca, Chile; [Molina-Montenegro, Marco A.] Univ Catolica Norte, CEAZA, Coquimbo, Chile; [Goodall-Copestake, William P.] UK Ctr Ecol Hydrol, Penicuik, Midlothian, Scotland; [Leppe, Marcelo A.] Inst Antarctico Chileno, Punta Arenas, Chile; [Cuba-Diaz, Marely] Univ Concepcion, Escuela Ciencias &amp; Tecnol, Dept Ciencia &amp; Tecnol Vegetal, Lab Biotecnol &amp; Estudios Ambientales, Los Angeles, Chile; [Cuba-Diaz, Marely] Univ Concepcion, PCAS, Concepcion, Chile; [Valladares, Moises A.] Univ Chile, Fac Ciencias, Dept Ciencias Ecol, Lab Genet &amp; Evoluc, Santiago, Chile; [Pertierra, Luis R.] Univ Rey Juan Carlos, Area Biodiversidad, Dept Biol Geol Fis &amp; Quim Inorgan, Mostoles, Spain</t>
  </si>
  <si>
    <t>UK Research &amp; Innovation (UKRI); Natural Environment Research Council (NERC); NERC British Antarctic Survey; University of Copenhagen; Universidad del Bio-Bio; Universidad Catolica del Norte; UK Centre for Ecology &amp; Hydrology (UKCEH); Universidad de Concepcion; Universidad de Concepcion; Universidad de Chile; Universidad Rey Juan Carlos</t>
  </si>
  <si>
    <t>Biersma, EM (corresponding author), British Antarctic Survey, Nat Environm Res Council, Cambridge, England.</t>
  </si>
  <si>
    <t>elibi@bas.ac.uk</t>
  </si>
  <si>
    <t>Biersma, Elisabeth Machteld/AAL-9818-2020; Leppe, Marcelo/L-5447-2014; Valladares, Moisés A./Q-5088-2019; Ballesteros, Gabriel/AAW-7032-2021; Cuba-Diaz, Marely/V-3109-2019; Biersma, Elisabeth Machteld/JKI-1084-2023; Ballesteros, Gabriel/IAN-7082-2023; Figueroa, Christian C./A-1170-2008; Goodall-Copestake, William/CAF-6866-2022; Pertierra, Luis R./K-3727-2017; Convey, Peter/AAV-5728-2020</t>
  </si>
  <si>
    <t>Biersma, Elisabeth Machteld/0000-0002-9877-2177; Leppe, Marcelo/0000-0002-1545-8167; Valladares, Moisés A./0000-0002-0294-174X; Ballesteros, Gabriel/0000-0002-3179-3168; Pertierra, Luis R./0000-0002-2232-428X; Convey, Peter/0000-0001-8497-9903; Acuna, Ian/0000-0001-5380-895X; Torres Diaz, Cristian/0000-0002-5741-5288; Goodall-Copestake, Will/0000-0003-3586-9091</t>
  </si>
  <si>
    <t>Spanish Ministry of Economy and Competitiveness [ALIENANT CTM2013-47381-P]; NERC [NE/P003079/1]; Instituto Antartico Chileno [RG_02-13, RT_11-13]; British Antarctic Survey, Carlsberg Foundation [CF18-0267]; NERC [NE/P003079/1, bas0100036] Funding Source: UKRI</t>
  </si>
  <si>
    <t>Spanish Ministry of Economy and Competitiveness(Spanish Government); NERC(UK Research &amp; Innovation (UKRI)Natural Environment Research Council (NERC)); Instituto Antartico Chileno; British Antarctic Survey, Carlsberg Foundation; NERC(UK Research &amp; Innovation (UKRI)Natural Environment Research Council (NERC))</t>
  </si>
  <si>
    <t>Spanish Ministry of Economy and Competitiveness, Grant/Award Number: ALIENANT CTM2013-47381-P; NERC, Grant/Award Number: NE/P003079/1; Instituto Antartico Chileno, Grant/Award Number: RG_02-13 and RT_11-13; British Antarctic Survey, Carlsberg Foundation Grant number CF18-0267</t>
  </si>
  <si>
    <t>0305-0270</t>
  </si>
  <si>
    <t>1365-2699</t>
  </si>
  <si>
    <t>J BIOGEOGR</t>
  </si>
  <si>
    <t>J. Biogeogr.</t>
  </si>
  <si>
    <t>10.1111/jbi.13843</t>
  </si>
  <si>
    <t>Ecology; Geography, Physical</t>
  </si>
  <si>
    <t>Environmental Sciences &amp; Ecology; Physical Geography</t>
  </si>
  <si>
    <t>MU5MH</t>
  </si>
  <si>
    <t>WOS:000526840000001</t>
  </si>
  <si>
    <t>Gallo, JA; Fasola, L; Abba, AM</t>
  </si>
  <si>
    <t>Gallo, Jorge A.; Fasola, Laura; Abba, Agustin M.</t>
  </si>
  <si>
    <t>Invasion success of the large hairy armadillo (Chaetophractus villosus) in a sub-antarctic insular ecosystem (Isla Grande, Tierra del Fuego, Argentina)</t>
  </si>
  <si>
    <t>Argentina; Biological invasion; Control areas; Tierra del fuego</t>
  </si>
  <si>
    <t>DASYPUS-NOVEMCINCTUS; 9-BANDED ARMADILLOS; LAND-USE; MAMMALIA; AGROECOSYSTEMS; DASYPODIDAE; VERTEBRATES; XENARTHRA; INVADERS; LIMITS</t>
  </si>
  <si>
    <t>The large hairy armadillo (Chaetophractus villosus) was introduced to the Isla Grande of Tierra del Fuego almost 35 years ago. Previous studies described the armadillo's distribution relative to heated oil pipelines. The present study updates this distribution, and evaluates associations with additional environmental variables to better explain the dispersion process and to propose areas for the control/eradication of this invasive species. We conducted 52 random transects looking for indirect evidence of the presence of C. villosus such as burrows and foraging pits. We looked for associations between the presence/habitat use of armadillos with local environmental characteristics and landscape features. We also gathered information about the invasion process through interviews with rural settlers. The species' distribution was calculated with the Minimum Convex Polygon method, and a linear invasion rate was calculated. Finally, a map with priority areas for eradication was developed. Armadillos occur in areas with tall and medium-height vegetation and avoid low and floodable terrains. Signs of armadillo presence were more abundant in areas with humic soils but were not associated with any landscape features. The distribution of C. villosus increased by 4735.92 km(2) in 12 years with an average linear expansion rate of 10.91 km/year. Humans seem to have facilitated the spread of armadillos towards the south. Implementation of any control measures should be focused on two areas of the island: namely those with high terrains, medium/high vegetation height and humic soils. This invasion represents a socio-ecological problem that needs full and urgent attention while eradication is still feasible.</t>
  </si>
  <si>
    <t>[Gallo, Jorge A.; Fasola, Laura] Consejo Nacl Invest Cient &amp; Tecn, APN, Direcc Reg Patagonia Norte, Vicealmirante Oconnor 1188, San Carlos De Bariloche, Rio Negro, Argentina; [Abba, Agustin M.] UNLP, CONICET, Fac Ciencias Nat &amp; Museo, Ctr Estudios Parasitol &amp; Vectores CEPAVE, Bv 120 S-N, La Plata, Argentina</t>
  </si>
  <si>
    <t>Consejo Nacional de Investigaciones Cientificas y Tecnicas (CONICET); National University of La Plata; Museo La Plata; Consejo Nacional de Investigaciones Cientificas y Tecnicas (CONICET)</t>
  </si>
  <si>
    <t>Gallo, JA (corresponding author), Consejo Nacl Invest Cient &amp; Tecn, APN, Direcc Reg Patagonia Norte, Vicealmirante Oconnor 1188, San Carlos De Bariloche, Rio Negro, Argentina.</t>
  </si>
  <si>
    <t>jorgegallo2110@gmail.com</t>
  </si>
  <si>
    <t>Neotropical Grassland Conservancy-NGC [1000]</t>
  </si>
  <si>
    <t>Neotropical Grassland Conservancy-NGC</t>
  </si>
  <si>
    <t>This study was funded by Neotropical Grassland Conservancy-NGC (1000 grant).</t>
  </si>
  <si>
    <t>10.1007/s00300-020-02664-9</t>
  </si>
  <si>
    <t>WOS:000527443100001</t>
  </si>
  <si>
    <t>Parker, E; Jones, CD; Arana, PM; Alegría, NA; Sarralde, R; Gallardo, F; Phillips, AJ; Williams, BW; Dornburg, A</t>
  </si>
  <si>
    <t>Parker, Elyse; Jones, Christopher D.; Arana, Patricio M.; Alegria, Nicolas A.; Sarralde, Roberto; Gallardo, Francisco; Phillips, Anna J.; Williams, Bronwyn W.; Dornburg, Alex</t>
  </si>
  <si>
    <t>Infestation dynamics between parasitic Antarctic fish leeches (Piscicolidae) and their crocodile icefish hosts (Channichthyidae)</t>
  </si>
  <si>
    <t>Parasite infestation and virulence; Leech ecology and specialization; Trophic transmission; Life history; Post-cyclic transmission</t>
  </si>
  <si>
    <t>CHAMPSOCEPHALUS-GUNNARI; POSTCYCLIC TRANSMISSION; TROPHIC TRANSMISSION; MACKEREL ICEFISH; STANDING STOCK; ECOLOGY; ACANTHOCEPHALA; SPECIFICITY; EVOLUTION; ISLANDS</t>
  </si>
  <si>
    <t>An understanding of host-parasite interactions represents an important, but often overlooked, axis for predicting how polar marine biodiversity may be impacted by continued environmental change over the next century. Here, we survey three species of crocodile icefish (Notothenioidei: Channichthyidae) collected from two island archipelagos in the southern Scotia Arc region for evidence of leech infestations. Specifically, we report on infestation prevalence, intensity, spatial patterns of relative abundances, size distribution of parasitized fish, and patterns of host and attachment site specificity. Our results reveal high levels of attachment area fidelity for each leech species. These results suggest skin thickness and density of the vascular network constrain leech attachment sites and further suggest trophic (i.e., post-cyclic) transmission to be an important axis of parasitization. We also demonstrate that, while leech species appear to be clustered spatially, this clustering does not appear to be correlated with fish biomass. This study illuminates the complex interactions among fish hosts and leech parasites in the Southern Ocean and lays the groundwork for future studies of Antarctic marine leech ecology that can aid in forecasting how host-parasite interactions may shift in the face of ongoing climate change.</t>
  </si>
  <si>
    <t>[Parker, Elyse] Yale Univ, Dept Ecol &amp; Evolutionary Biol, New Haven, CT 06520 USA; [Jones, Christopher D.] NOAA, Southwest Fisheries Sci Ctr, Antarctic Ecosyst Res Div, La Jolla, CA USA; [Arana, Patricio M.; Gallardo, Francisco] Pontificia Univ Catolica Valparaiso, Escuela Ciencias Mar, Valparaiso, Chile; [Alegria, Nicolas A.] Inst Invest Pesquera INPESCA, Talcahuano, Chile; [Sarralde, Roberto] Inst Espanol Oceanog, Santa Cruz De Tenerife, Islas Canarias, Spain; [Phillips, Anna J.] Smithsonian Inst, Natl Museum Nat Hist, Dept Invertebrate Zool, Washington, DC 20560 USA; [Williams, Bronwyn W.; Dornburg, Alex] North Carolina Museum Nat Sci, Res Lab, Raleigh, NC 27699 USA</t>
  </si>
  <si>
    <t>Yale University; National Oceanic Atmospheric Admin (NOAA) - USA; Pontificia Universidad Catolica de Valparaiso; Spanish Institute of Oceanography; Smithsonian Institution; Smithsonian National Museum of Natural History</t>
  </si>
  <si>
    <t>Parker, E (corresponding author), Yale Univ, Dept Ecol &amp; Evolutionary Biol, New Haven, CT 06520 USA.</t>
  </si>
  <si>
    <t>chantal.parker@yale.edu</t>
  </si>
  <si>
    <t>Phillips, Anna J/H-6141-2019; Dornburg, Alex/CAF-1206-2022</t>
  </si>
  <si>
    <t>Phillips, Anna J/0000-0003-4883-0022;</t>
  </si>
  <si>
    <t>10.1007/s00300-020-02670-x</t>
  </si>
  <si>
    <t>WOS:000527443100002</t>
  </si>
  <si>
    <t>Yao, YB; Zhai, CZ; Kong, J; Zhao, CJ; Luo, YY; Liu, L</t>
  </si>
  <si>
    <t>Yao, Yibin; Zhai, Changzhi; Kong, Jian; Zhao, Cunjie; Luo, Yiyong; Liu, Lei</t>
  </si>
  <si>
    <t>An improved constrained simultaneous iterative reconstruction technique for ionospheric tomography</t>
  </si>
  <si>
    <t>GPS SOLUTIONS</t>
  </si>
  <si>
    <t>Three-dimensional computerized ionospheric tomography; Electron density; GNSS; Simultaneous iteration reconstruction technique</t>
  </si>
  <si>
    <t>TOTAL ELECTRON-CONTENT; ALGORITHM; NEQUICK</t>
  </si>
  <si>
    <t>Global Navigation Satellite System (GNSS) is now widely used for continuous ionospheric observations. Three-dimensional computerized ionospheric tomography (3DCIT) is an important tool for the reconstruction of electron density distributions in the ionosphere through effective use of the GNSS data. More specifically, the 3DCIT technique is able to resolve the three-dimensional electron density distributions over the reconstructed area based on the GNSS slant total electron content (STEC) observations. We present an Improved Constrained Simultaneous Iterative Reconstruction Technique (ICSIRT) algorithm that differs from the traditional ionospheric tomography methods in 3 ways. First, the ICSIRT computes the electron density corrections based on the product of the intercept and electron density within voxels so that the assignment of corrections at different heights becomes more reasonable. Second, an Inverse Distance Weighted (IDW) interpolation is used to restrict the electron density values in the voxels not traversed by GNSS rays, thereby ensuring the smoothness of the reconstructed region. Also, to improve the reconstruction accuracy around the HmF2 (the peak height of the F2 layer) altitude, a multiresolution grid is adopted in the vertical direction, with a 10-km resolution from 200 to 420 km and a 50-km resolution at other altitudes. The new algorithm has been applied to the GNSS data over the European and North American regions in different case studies that involve different seasonal conditions as well as a major storm. In the European region experiment, reconstruction results show that the new ICSIRT algorithm can effectively improve the reconstruction of the GNSS data. The electron density profiles retrieved from ICSIRT are much closer to the ionosonde observations than those from its predecessor, namely, the Constrained Simultaneous Iteration Reconstruction Technique (CSIRT). The reconstruction accuracy is significantly improved. In the North American region experiment, the electron density profiles in ICSIRT results show better agreement with incoherent scatter radar observations than CSIRT, even for the topside profiles.</t>
  </si>
  <si>
    <t>[Yao, Yibin; Zhai, Changzhi; Zhao, Cunjie; Luo, Yiyong; Liu, Lei] Wuhan Univ, Sch Geodesy &amp; Geomat, Wuhan 430079, Peoples R China; [Kong, Jian] Wuhan Univ, Chinese Antarctic Ctr Surveying &amp; Mapping, Wuhan 430079, Peoples R China</t>
  </si>
  <si>
    <t>Zhai, CZ (corresponding author), Wuhan Univ, Sch Geodesy &amp; Geomat, Wuhan 430079, Peoples R China.;Kong, J (corresponding author), Wuhan Univ, Chinese Antarctic Ctr Surveying &amp; Mapping, Wuhan 430079, Peoples R China.</t>
  </si>
  <si>
    <t>czzhai@whu.edu.cn; jkong@whu.edu.cn</t>
  </si>
  <si>
    <t>Zhai, Changzhi/JQW-2878-2023; Yao, Yibin/AAM-9653-2020; lei, liu/HTR-5486-2023; Lei, Liu/I-3503-2018</t>
  </si>
  <si>
    <t>Yao, Yibin/0000-0002-7723-4601; Lei, Liu/0000-0002-1040-6026; zhai, changzhi/0000-0003-0183-2063</t>
  </si>
  <si>
    <t>US National Science Foundation [AGS-1762141]; National Natural Science Foundation Innovation Research Group Project [41721003]; National Natural Fund of China [41604002]; Laboratory of Information Engineering in Surveying, Mapping and Remote Sensing, Wuhan University [18P02]; Key Laboratory of Geospace Environment and Geodesy, Ministry of Education, Wuhan University [170208]; Massachusetts Institute of Technology</t>
  </si>
  <si>
    <t>US National Science Foundation(National Science Foundation (NSF)); National Natural Science Foundation Innovation Research Group Project; National Natural Fund of China; Laboratory of Information Engineering in Surveying, Mapping and Remote Sensing, Wuhan University; Key Laboratory of Geospace Environment and Geodesy, Ministry of Education, Wuhan University; Massachusetts Institute of Technology</t>
  </si>
  <si>
    <t>The authors would like to thank EUREF Permanent GNSS Network (EPN) for providing the Global Navigation Satellite System (GNSS) data and Global Ionospheric Radio Observatory (GIRO) for providing the ionosonde data. We acknowledge Telecommunications/ICT for Development (T/ICT4D) Laboratory of the Abdus Salam International Centre for Theoretical Physics, Trieste, Italy, for providing NeQuick2 model. The GNSS data are obtained from ftp://epncb.oma.be/, and the ionosonde data are obtained from ftp://ngdc. noaa. gov/ionosonde/data/. We also thank MIT Haystack Observatory for providing incoherent scatter radar data. Millstone Hill ISR data can be download from http://cedar.openmadrig al.org. Radar observations and analysis at Millstone Hill and the Madrigal distributed database system are supported by the US National Science Foundation Cooperative Agreement AGS-1762141 with the Massachusetts Institute of Technology. This research was supported by (1) National Natural Science Foundation Innovation Research Group Project (Grant NO. 41721003); (2) National Natural Fund of China (41604002) Open Research Fund of State Key; (3) Laboratory of Information Engineering in Surveying, Mapping and Remote Sensing, Wuhan University (18P02); (4) Key Laboratory of Geospace Environment and Geodesy, Ministry of Education, Wuhan University (170208)</t>
  </si>
  <si>
    <t>1080-5370</t>
  </si>
  <si>
    <t>1521-1886</t>
  </si>
  <si>
    <t>GPS SOLUT</t>
  </si>
  <si>
    <t>GPS Solut.</t>
  </si>
  <si>
    <t>APR 18</t>
  </si>
  <si>
    <t>10.1007/s10291-020-00981-4</t>
  </si>
  <si>
    <t>Remote Sensing</t>
  </si>
  <si>
    <t>LE2DW</t>
  </si>
  <si>
    <t>WOS:000526534400001</t>
  </si>
  <si>
    <t>Fourteau, K; Gillet-Chaulet, F; Martinerie, P; Faïn, X</t>
  </si>
  <si>
    <t>Fourteau, Kevin; Gillet-Chaulet, Fabien; Martinerie, Patricia; Fain, Xavier</t>
  </si>
  <si>
    <t>A Micro-Mechanical Model for the Transformation of Dry Polar Firn Into Ice Using the Level-Set Method</t>
  </si>
  <si>
    <t>firn densification; pore closure; modeling; Level-Set; finite element; porous material</t>
  </si>
  <si>
    <t>ANTARCTIC ICE; CHRONOLOGY AICC2012; DENSIFICATION; TRANSPORT; AIR; SIMULATION; DIFFERENCE; ENCLOSURE; SURFACE; RECORD</t>
  </si>
  <si>
    <t>Interpretation of greenhouse gas records in polar ice cores requires a good understanding of the mechanisms controlling gas trapping in polar ice, and therefore of the processes of densification and pore closure in firn (compacted snow). Current firn densification models are based on a macroscopic description of the firn and rely on empirical laws and/or idealized geometries to obtain the equations governing the densification and pore closure. Here, we propose a physically-based methodology explicitly representing the porous structure and its evolution over time. In order to handle the complex geometry and topological changes that occur during firn densification, we rely on a Level-Set representation of the interface between the ice and the pores. Two mechanisms are considered for the displacement of the interface: (i) mass surface diffusion driven by local pore curvature and (ii) ice dislocation creep. For the latter, ice is modeled as a viscous material and the flow velocities are solutions of the Stokes equations. First applications show that the model is able to densify firn and split pores. Using the model in cold and arid conditions of the Antarctic plateau, we show that gas trapping models do not have to consider the reduced compressibility of closed pores compared to open pores in the deepest part of firns. Our results also suggest that the mechanism of curvature-driven surface diffusion does not result in pore splitting, and that ice creep has to be taken into account for pores to close. Future applications of this type of model could help quantify the evolution and closure of firn porous networks for various accumulation and temperature conditions.</t>
  </si>
  <si>
    <t>[Fourteau, Kevin; Gillet-Chaulet, Fabien; Martinerie, Patricia; Fain, Xavier] Univ Grenoble Alpes, CNRS, IRD, Grenoble INP,IGE, Grenoble, France</t>
  </si>
  <si>
    <t>Communaute Universite Grenoble Alpes; Institut National Polytechnique de Grenoble; Universite Grenoble Alpes (UGA); Centre National de la Recherche Scientifique (CNRS); Institut de Recherche pour le Developpement (IRD)</t>
  </si>
  <si>
    <t>Fourteau, K; Gillet-Chaulet, F (corresponding author), Univ Grenoble Alpes, CNRS, IRD, Grenoble INP,IGE, Grenoble, France.</t>
  </si>
  <si>
    <t>kevin.fourteau@univ-grenoble-alpes.fr; fabien.gillet-chaulet@univ-grenoble-alpes.fr</t>
  </si>
  <si>
    <t>Martinerie, Patricia/N-5731-2017; Fourteau, Kevin/ITV-9385-2023</t>
  </si>
  <si>
    <t>Martinerie, Patricia/0000-0002-6820-2296; Fourteau, Kevin/0000-0002-9905-2446</t>
  </si>
  <si>
    <t>French INSU/CNRS LEFE project NEVE-CLIMAT; IPEV project [1153]; European Community's Seventh Framework Programme [291062]; French INSU/CNRS LEFE project HEPIGANE; European Research Council (ERC) [291062] Funding Source: European Research Council (ERC)</t>
  </si>
  <si>
    <t>French INSU/CNRS LEFE project NEVE-CLIMAT; IPEV project; European Community's Seventh Framework Programme(European Union (EU)); French INSU/CNRS LEFE project HEPIGANE; European Research Council (ERC)(European Research Council (ERC)Spanish Government)</t>
  </si>
  <si>
    <t>This work was supported by the French INSU/CNRS LEFE projects NEVE-CLIMAT and HEPIGANE. The Lock-In drilling operation was supported by the IPEV project no. 1153 and the European Community's Seventh Framework Programme under grant agreement no. 291062 (ERC ICE&amp;LASERS). The tomography images were obtained by the Institute for Snow and Avalanche Research SLF (Davos, Switzerland).</t>
  </si>
  <si>
    <t>APR 17</t>
  </si>
  <si>
    <t>10.3389/feart.2020.00101</t>
  </si>
  <si>
    <t>LL0GN</t>
  </si>
  <si>
    <t>WOS:000531236000001</t>
  </si>
  <si>
    <t>Lachlan-Cope, T; Beddows, DCS; Brough, N; Jones, AE; Harrison, RM; Lupi, A; Yoon, YJ; Virkkula, A; Dall'Osto, M</t>
  </si>
  <si>
    <t>Lachlan-Cope, Thomas; Beddows, David C. S.; Brough, Neil; Jones, Anna E.; Harrison, Roy M.; Lupi, Angelo; Yoon, Young Jun; Virkkula, Aki; Dall'Osto, Manuel</t>
  </si>
  <si>
    <t>On the annual variability of Antarctic aerosol size distributions at Halley Research Station</t>
  </si>
  <si>
    <t>SEA-SALT AEROSOL; CLOUD CONDENSATION NUCLEI; BOUNDARY-LAYER AEROSOL; KING SEJONG STATION; PARTICLE FORMATION; BLOWING SNOW; OCEANIC PHYTOPLANKTON; OXIDATION-PRODUCTS; MARINE AEROSOLS; SULFUR</t>
  </si>
  <si>
    <t>The Southern Ocean and Antarctic region currently best represent one of the few places left on our planet with conditions similar to the preindustrial age. Currently, climate models have a low ability to simulate conditions forming the aerosol baseline; a major uncertainty comes from the lack of understanding of aerosol size distributions and their dynamics. Contrasting studies stress that primary sea salt aerosol can contribute significantly to the aerosol population, challenging the concept of climate biogenic regulation by new particle formation (NPF) from dimethyl sulfide marine emissions. We present a statistical cluster analysis of the physical characteristics of particle size distributions (PSDs) collected at Halley (Antarctica) for the year 2015 (89 % data coverage; 6-209 nm size range; daily size resolution). By applying the Hartigan-Wong k-mean method we find eight clusters describing the entire aerosol population. Three clusters show pristine average low particle number concentrations (&lt; 121-179 cm(-3)) with three main modes (30, 75-95 and 135-160 nm) and represent 57 % of the annual PSD (up to 89 %-100 % during winter and 34 %-65 % during summer based on monthly averages). Nucleation and Aitken mode PSD clusters dominate summer months (SeptemberJanuary, 59 %-90 %), whereas a clear bimodal distribution (43 and 134 nm, respectively; Hoppel minimum at mode 75 nm) is seen only during the December-April period (6%-21 %). Major findings of the current work include: (1) NPF and growth events originate from both the sea ice marginal zone and the Antarctic plateau, strongly suggesting multiple vertical origins, including the marine boundary layer and free troposphere; (2) very low particle number concentrations are detected for a substantial part of the year (57 %), including summer (34 %-65 %), suggesting that the strong annual aerosol concentration cycle is driven by a short temporal interval of strong NPF events; (3) a unique pristine aerosol cluster is seen with a bimodal size distribution (75 and 160 nm, respectively), strongly associated with high wind speed and possibly associated with blowing snow and sea spray sea salt, dominating the winter aerosol population (34 %-54 %). A brief comparison with two other stations (Dome C - Concordia- and King Sejong Station) during the year 2015 (240 d overlap) shows that the dynamics of aerosol number concentrations and distributions are more complex than the simple sulfate-sea-spray binary combination, and it is likely that an array of additional chemical components and processes drive the aerosol population. A conceptual illustration is proposed indicating the various atmospheric processes related to the Antarctic aerosols, with particular emphasis on the origin of new particle formation and growth.</t>
  </si>
  <si>
    <t>[Lachlan-Cope, Thomas; Brough, Neil; Jones, Anna E.] British Antarctic Survey, NERC, Madingley Rd, Cambridge CB3 0ET, England; [Beddows, David C. S.; Harrison, Roy M.] Univ Birmingham, Sch Geog Earth &amp; Environm Sci, Div Environm Hlth &amp; Risk Management, Birmingham B15 2TT, W Midlands, England; [Lupi, Angelo] Natl Res Council CNR, Inst Polar Sci ISP, Via P Gobetti 101, I-40129 Bologna, Italy; [Yoon, Young Jun] Korea Polar Res Inst, 26 Songdomirae Ro, Incheon 406840, South Korea; [Virkkula, Aki] Univ Helsinki, Inst Atmospher &amp; Earth Syst Res, FIN-00014 Helsinki, Finland; [Virkkula, Aki] Finnish Meteorol Inst, Helsinki 00101, Finland; [Dall'Osto, Manuel] Inst Marine Sci, Passeig Maritim Barceloneta 37-49, Barcelona 08003, Spain; [Harrison, Roy M.] King Abdulaziz Univ, Ctr Excellence Environm Studies, Dept Environm Sci, POB 80203, Jeddah 21589, Saudi Arabia</t>
  </si>
  <si>
    <t>UK Research &amp; Innovation (UKRI); Natural Environment Research Council (NERC); NERC British Antarctic Survey; University of Birmingham; Consiglio Nazionale delle Ricerche (CNR); Istituto di Scienze Polari (ISP-CNR); Korea Polar Research Institute (KOPRI); University of Helsinki; Finnish Meteorological Institute; Consejo Superior de Investigaciones Cientificas (CSIC); CSIC - Centro Mediterraneo de Investigaciones Marinas y Ambientales (CMIMA); CSIC - Instituto de Ciencias del Mar (ICM); King Abdulaziz University</t>
  </si>
  <si>
    <t>Dall'Osto, M (corresponding author), Inst Marine Sci, Passeig Maritim Barceloneta 37-49, Barcelona 08003, Spain.</t>
  </si>
  <si>
    <t>Virkkula, Aki/B-8575-2014; Harrison, Roy Michael/A-2256-2008; Beddows, David/ABA-7223-2021; dallosto, manuel/G-3584-2016</t>
  </si>
  <si>
    <t>Virkkula, Aki/0000-0003-4874-7552; Beddows, David/0000-0001-9277-2099; Jones, Anna/0000-0002-2040-4841; dallosto, manuel/0000-0003-4203-894X; lupi, angelo/0000-0002-5009-9876; Harrison, Roy/0000-0002-2684-5226</t>
  </si>
  <si>
    <t>Spanish Ministry of Economy through project PI-ICE [CTM 201789117-R]; Ramon y Cajal fellowship [RYC-201211922]; UK Natural Environment Research Council; Academy of Finland's Centre of Excellence programme (Centre of Excellence in Atmospheric Science -From Molecular and Biological processes to The Global Climate) [272041]; KOPRI project [PE20060]</t>
  </si>
  <si>
    <t>Spanish Ministry of Economy through project PI-ICE; Ramon y Cajal fellowship(Spanish Government); UK Natural Environment Research Council(UK Research &amp; Innovation (UKRI)Natural Environment Research Council (NERC)); Academy of Finland's Centre of Excellence programme (Centre of Excellence in Atmospheric Science -From Molecular and Biological processes to The Global Climate); KOPRI project(Korea Polar Research Institute of Marine Research Placement (KOPRI))</t>
  </si>
  <si>
    <t>The study was further supported by the Spanish Ministry of Economy through project PI-ICE (no. CTM 201789117-R) and the Ramon y Cajal fellowship (no. RYC-201211922). The National Centre for Atmospheric Science (NCAS) Birmingham group is funded by the UK Natural Environment Research Council. Aki Virkkula was supported by the Academy of Finland's Centre of Excellence programme (Centre of Excellence in Atmospheric Science -From Molecular and Biological processes to The Global Climate; project no. 272041). The KS station SMPS measurement was supported by the KOPRI project (no. PE20060).</t>
  </si>
  <si>
    <t>10.5194/acp-20-4461-2020</t>
  </si>
  <si>
    <t>LG0LF</t>
  </si>
  <si>
    <t>WOS:000527802200003</t>
  </si>
  <si>
    <t>Poedts, S; Kochanov, A; Lani, A; Scolini, C; Verbeke, C; Hosteaux, S; Chané, E; Deconinck, H; Mihalache, N; Diet, F; Heynderickx, D; De Keyser, J; De Donder, E; Crosby, NB; Echim, M; Rodriguez, L; Vansintjan, R; Verstringe, F; Mampaey, B; Horne, R; Glauert, S; Jiggens, P; Keil, R; Glover, A; Deprez, G; Luntama, JP</t>
  </si>
  <si>
    <t>Poedts, Stefaan; Kochanov, Andrey; Lani, Andrea; Scolini, Camilla; Verbeke, Christine; Hosteaux, Skralan; Chane, Emmanuel; Deconinck, Herman; Mihalache, Nicolae; Diet, Fabian; Heynderickx, Daniel; De Keyser, Johan; De Donder, Erwin; Crosby, Norma B.; Echim, Marius; Rodriguez, Luciano; Vansintjan, Robbe; Verstringe, Freek; Mampaey, Benjamin; Horne, Richard; Glauert, Sarah; Jiggens, Piers; Keil, Ralf; Glover, Alexi; Deprez, Gregoire; Luntama, Juha-Pekka</t>
  </si>
  <si>
    <t>The Virtual Space Weather Modelling Centre</t>
  </si>
  <si>
    <t>JOURNAL OF SPACE WEATHER AND SPACE CLIMATE</t>
  </si>
  <si>
    <t>space weather models; heliospheric-ESC; operational modelling centre</t>
  </si>
  <si>
    <t>MAGNETOSPHERE; SIMULATIONS; IMPACT</t>
  </si>
  <si>
    <t>Aims. Our goal is to develop and provide an open end-to-end (Sun to Earth) space weather modeling system, enabling to combine (couple) various space weather models in an integrated tool, with the models located either locally or geographically distributed, so as to better understand the challenges in creating such an integrated environment. Methods. The physics-based models are installed on different compute clusters and can be run interactively and remotely and that can be coupled over the internet, using open source high-level architecture software, to make complex modeling chains involving models from the Sun to the Earth. Visualization tools have been integrated as models that can be coupled to any other integrated model with compatible output. Results. The first operational version of the VSWMC is accessible via the SWE Portal and demonstrates its end-to-end simulation capability. Users interact via the front-end GUI and can interactively run complex coupled simulation models and view and retrieve the output, including standard visualizations, via the GUI. Hence, the VSWMC provides the capability to validate and compare model outputs.</t>
  </si>
  <si>
    <t>[Poedts, Stefaan; Kochanov, Andrey; Lani, Andrea; Scolini, Camilla; Verbeke, Christine; Hosteaux, Skralan; Chane, Emmanuel] Katholieke Univ Leuven, B-3000 Leuven, Belgium; [Scolini, Camilla; Rodriguez, Luciano; Vansintjan, Robbe; Verstringe, Freek; Mampaey, Benjamin] Royal Observ Belgium, B-1180 Uccle, Belgium; [Deconinck, Herman] Von Karman Inst, B-1640 Rhode St Genese, Belgium; [Mihalache, Nicolae; Diet, Fabian] Space Applicat Syst, B-1932 Zaventem, Belgium; [Heynderickx, Daniel] DH Consultancy, B-3000 Leuven, Belgium; [De Keyser, Johan; De Donder, Erwin; Crosby, Norma B.; Echim, Marius] Royal Belgian Inst Space Aeron, B-1180 Uccle, Belgium; [Horne, Richard; Glauert, Sarah] British Antarctic Survey, Cambridge CB3 0ET, England; [Jiggens, Piers; Deprez, Gregoire] European Space Res &amp; Technol Ctr ESTEC, NL-2201 AZ Noordwijk, Netherlands; [Poedts, Stefaan] Univ Maria Curie Sklodowska, Inst Phys, PL-20400 Lublin, Poland; [Keil, Ralf; Glover, Alexi; Luntama, Juha-Pekka] European Space Agcy, European Space Operat Ctr, D-64293 Darmstadt, Germany</t>
  </si>
  <si>
    <t>KU Leuven; UK Research &amp; Innovation (UKRI); Natural Environment Research Council (NERC); NERC British Antarctic Survey; European Space Agency; Maria Curie-Sklodowska University; European Space Agency</t>
  </si>
  <si>
    <t>Poedts, S (corresponding author), Katholieke Univ Leuven, B-3000 Leuven, Belgium.;Poedts, S (corresponding author), Univ Maria Curie Sklodowska, Inst Phys, PL-20400 Lublin, Poland.</t>
  </si>
  <si>
    <t>Stefaan.Poedts@kuleuven.be</t>
  </si>
  <si>
    <t>Echim, Marius Mihai/ABD-7478-2021; Poedts, Stefaan M.W./AAG-1995-2019; Heynderickx, Daniel/JBS-0816-2023; Poedts, Stefaan/AAL-2906-2020; Echim, Marius M/F-1813-2010</t>
  </si>
  <si>
    <t>Poedts, Stefaan M.W./0000-0002-1743-0651; Heynderickx, Daniel/0000-0001-7136-9014; Poedts, Stefaan/0000-0002-1743-0651;</t>
  </si>
  <si>
    <t>ESA project SSA-P2-SWE-XIV - Virtual Space Weather Modelling Centre - Phase 2 (ESA Contract) [4000116641/15/DE-MRP]; KU Leuven [C14/19/089]; FWO-Vlaanderen [G.0A23.16N]; ESA Prodex [C 90347]; Belspo BRAIN project [BR/165/A2/CCSOM]; EU H2020-SPACE-2019 [SU-SPACE-22-SEC-2019]; Hercules foundation; Flemish Government - department EWI; NERC [bas0100031] Funding Source: UKRI</t>
  </si>
  <si>
    <t>ESA project SSA-P2-SWE-XIV - Virtual Space Weather Modelling Centre - Phase 2 (ESA Contract); KU Leuven(KU Leuven); FWO-Vlaanderen(FWO); ESA Prodex(European Space Agency); Belspo BRAIN project; EU H2020-SPACE-2019(European Union (EU)); Hercules foundation; Flemish Government - department EWI; NERC(UK Research &amp; Innovation (UKRI)Natural Environment Research Council (NERC))</t>
  </si>
  <si>
    <t>These results were obtained in the framework of the ESA project SSA-P2-SWE-XIV - Virtual Space Weather Modelling Centre - Phase 2 (ESA Contract No. 4000116641/15/DE-MRP, 2016-2019). Additional support from the projects C14/19/089 (C1 project Internal Funds KU Leuven), G.0A23.16N (FWO-Vlaanderen), C 90347 (ESA Prodex), Belspo BRAIN project BR/165/A2/CCSOM and EU H2020-SPACE-2019 (SU-SPACE-22-SEC-2019 - Space Weather) project EUHFORIA 2.0 is greatly acknowledged. For the computations we used the infrastructure of the VSC - Flemish Supercomputer Center, funded by the Hercules foundation and the Flemish Government - department EWI.</t>
  </si>
  <si>
    <t>EDP SCIENCES S A</t>
  </si>
  <si>
    <t>LES ULIS CEDEX A</t>
  </si>
  <si>
    <t>17, AVE DU HOGGAR, PA COURTABOEUF, BP 112, F-91944 LES ULIS CEDEX A, FRANCE</t>
  </si>
  <si>
    <t>2115-7251</t>
  </si>
  <si>
    <t>J SPACE WEATHER SPAC</t>
  </si>
  <si>
    <t>J. Space Weather Space Clim.</t>
  </si>
  <si>
    <t>10.1051/swsc/2020012</t>
  </si>
  <si>
    <t>LH2CE</t>
  </si>
  <si>
    <t>WOS:000528594300002</t>
  </si>
  <si>
    <t>Lampert, A; Pätzold, F; Asmussen, MO; Lobitz, L; Krüger, T; Rausch, T; Sachs, T; Wille, C; Zakharov, DS; Gaus, D; Bansmer, S; Damm, E</t>
  </si>
  <si>
    <t>Lampert, Astrid; Paetzold, Falk; Asmussen, Magnus O.; Lobitz, Lennart; Krueger, Thomas; Rausch, Thomas; Sachs, Torsten; Wille, Christian; Zakharov, Denis Sotomayor; Gaus, Dominik; Bansmer, Stephan; Damm, Ellen</t>
  </si>
  <si>
    <t>Studying boundary layer methane isotopy and vertical mixing processes at a rewetted peatland site using an unmanned aircraft system</t>
  </si>
  <si>
    <t>TRACE GASES; CH4; EMISSIONS; COMPACT; SUMMER; FLUXES; SCALE; CO2</t>
  </si>
  <si>
    <t>The combination of two well-established methods, of quadrocopter-borne air sampling and methane isotopic analyses, is applied to determine the source process of methane at different altitudes and to study mixing processes. A proof-of-concept study was performed to demonstrate the capabilities of quadrocopter air sampling for subsequently analysing the methane isotopic composition delta C-13 in the laboratory. The advantage of the system compared to classical sampling on the ground and at tall towers is the flexibility concerning sampling location, and in particular the flexible choice of sampling altitude, allowing the study of the layering and mixing of air masses with potentially different spatial origin of air masses and methane. Boundary layer mixing processes and the methane isotopic composition were studied at Polder Zarnekow in Mecklenburg-West Pomerania in the north-east of Germany, which has become a strong source of biogenically produced methane after rewetting the drained and degraded peatland. Methane fluxes are measured continuously at the site. They show high emissions from May to September, and a strong diurnal variability. For two case studies on 23 May and 5 September 2018, vertical profiles of temperature and humidity were recorded up to an altitude of 650 and 1000 m, respectively, during the morning transition. Air samples were taken at different altitudes and analysed in the laboratory for methane isotopic composition. The values showed a different isotopic composition in the vertical distribution during stable conditions in the morning (delta values of 51.5% below the temperature inversion at an altitude of 150m on 23 May 2018 and at an altitude of 50m on 5 September 2018, delta values of 50.1% above). After the onset of turbulent mixing, the isotopic composition was the same throughout the vertical column with a mean delta value of 49.9 +/- 0.45 %. The systematically more negative delta values occurred only as long as the nocturnal temperature inversion was present. During the September study, water samples were analysed as well for methane concentration and isotopic composition in order to provide a link between surface and atmosphere. The water samples reveal high variability on horizontal scales of a few tens of metres for this particular case. The airborne sampling system and consecutive analysis chain were shown to provide reliable and reproducible results for two samples obtained simultaneously. The method presents a powerful tool for distinguishing the source process of methane at different altitudes. The isotopic composition showed clearly depleted delta values directly above a biological methane source when vertical mixing was hampered by a temperature inversion, and different delta values above, where the air masses originate from a different footprint area. The vertical distribution of methane isotopic composition can serve as tracer for mixing processes of methane within the atmospheric boundary layer.</t>
  </si>
  <si>
    <t>[Lampert, Astrid; Paetzold, Falk; Asmussen, Magnus O.; Lobitz, Lennart; Krueger, Thomas; Rausch, Thomas; Sachs, Torsten] TU Braunschweig, Inst Flight Guidance, Hermann Blenk Str 27, D-38108 Braunschweig, Germany; [Sachs, Torsten; Wille, Christian] German Res Ctr Geosci, D-14473 Potsdam, Germany; [Zakharov, Denis Sotomayor; Gaus, Dominik; Bansmer, Stephan] TU Braunschweig, Inst Fluid Mech, Hermann Blenk Str 37, D-38108 Braunschweig, Germany; [Damm, Ellen] Helmholtz Ctr Polar &amp; Marine Res, Alfred Wegener Inst, Handelshafen 12, D-27570 Bremerhaven, Germany</t>
  </si>
  <si>
    <t>Braunschweig University of Technology; Helmholtz Association; Helmholtz-Center Potsdam GFZ German Research Center for Geosciences; Braunschweig University of Technology; Helmholtz Association; Alfred Wegener Institute, Helmholtz Centre for Polar &amp; Marine Research</t>
  </si>
  <si>
    <t>Lampert, A (corresponding author), TU Braunschweig, Inst Flight Guidance, Hermann Blenk Str 27, D-38108 Braunschweig, Germany.</t>
  </si>
  <si>
    <t>astrid.lampert@tu-braunschweig.de</t>
  </si>
  <si>
    <t>Sachs, Torsten/P-8840-2015; Wille, Christian/J-3657-2013</t>
  </si>
  <si>
    <t>Sachs, Torsten/0000-0002-9959-4771; Wille, Christian/0000-0003-0930-6527; Sotomayor-Zakharov, Denis/0000-0001-9788-8242</t>
  </si>
  <si>
    <t>German Research Foundation (DFG) priority programme Antarctic Research with comparative investigations in Arctic ice areas [LA2907/8-1, DA1569/1-2]</t>
  </si>
  <si>
    <t>German Research Foundation (DFG) priority programme Antarctic Research with comparative investigations in Arctic ice areas(German Research Foundation (DFG))</t>
  </si>
  <si>
    <t>This research has been supported by the German Research Foundation (DFG) priority programme Antarctic Research with comparative investigations in Arctic ice areas (grant no. LA2907/8-1, DA1569/1-2).</t>
  </si>
  <si>
    <t>10.5194/amt-13-1937-2020</t>
  </si>
  <si>
    <t>LG0KV</t>
  </si>
  <si>
    <t>WOS:000527801200001</t>
  </si>
  <si>
    <t>Hendry, AT; Santolik, O; Miyoshi, Y; Matsuoka, A; Rodger, CJ; Clilverd, MA; Kletzing, CA; Shoji, M; Shinohara, I</t>
  </si>
  <si>
    <t>Hendry, A. T.; Santolik, O.; Miyoshi, Y.; Matsuoka, A.; Rodger, C. J.; Clilverd, M. A.; Kletzing, C. A.; Shoji, M.; Shinohara, I</t>
  </si>
  <si>
    <t>A Multi-Instrument Approach to Determining the Source-Region Extent of EEP-Driving EMIC Waves</t>
  </si>
  <si>
    <t>EMIC waves; electron precipitation; subionospheric VLF; Van Allen Probes; AARDDVARK; Arase</t>
  </si>
  <si>
    <t>RELATIVISTIC ELECTRON-PRECIPITATION; VAN ALLEN PROBES; MAGNETOSPHERE; SCATTERING</t>
  </si>
  <si>
    <t>Recent years have seen debate regarding the ability of electromagnetic ion cyclotron (EMIC) waves to drive EEP (energetic electron precipitation) into the Earth's atmosphere. Questions still remain regarding the energies and rates at which these waves are able to interact with electrons. Many studies have attempted to characterize these interactions using simulations; however, these are limited by a lack of precise information regarding the spatial scale size of EMIC activity regions. In this study we examine a fortuitous simultaneous observation of EMIC wave activity by the RBSP-B and Arase satellites in conjunction with ground-based observations of EEP by a subionospheric VLF network. We describe a simple method for determining the longitudinal extent of the EMIC source region based on these observations, calculating a width of 0.75 hr MLT and a drift rate of 0.67 MLT/hr. We describe how this may be applied to other similar EMIC wave events. Plain Language Summary The Earth is surrounded by the Van Allen radiation belts, rings of high-energy charged particles trapped by the Earth's magnetic field. These particle populations are constantly changing, driven by forces from the Sun, Earth, and from the belts themselves. One of the most important drivers of this dynamism is the interaction between particles and electromagnetic waves. One such wave species, known as Electromagnetic Ion Cyclotron (EMIC) waves, has come under scrutiny recently due to experimental results calling into question the theoretical energy limits of their interactions with radiation belt electrons. Studying these waves and their interactions is hampered by our inability to accurately determine the size of the source region of these waves. In this study, we investigate a single EMIC wave event observed simultaneously by two separate satellites and use a network of ground-based radio wave receivers to estimate the size of the EMIC region. We also explain how the method used in this study may be generalized to other EMIC wave events. This method will allow us to carry out statistical analysis of the size of EMIC wave regions in general, aiding future research into the impacts of these waves on the radiation belts.</t>
  </si>
  <si>
    <t>[Hendry, A. T.; Santolik, O.] Czech Acad Sci, Dept Space Phys, Inst Atmospher Phys, Prague, Czech Republic; [Santolik, O.] Charles Univ Prague, Fac Math &amp; Phys, Prague, Czech Republic; [Miyoshi, Y.; Shoji, M.] Nagoya Univ, Inst Space Earth Environm Res, Nagoya, Aichi, Japan; [Matsuoka, A.; Shinohara, I] Japan Aerosp Explorat Agcy, Inst Space &amp; Astronaut Sci, Sagamihara, Kanagawa, Japan; [Rodger, C. J.] Univ Otago, Dept Phys, Dunedin, New Zealand; [Clilverd, M. A.] British Antarctic Survey NERC, Cambridge, England; [Kletzing, C. A.] Univ Iowa, Dept Phys &amp; Astron, Iowa City, IA 52242 USA</t>
  </si>
  <si>
    <t>Czech Academy of Sciences; Institute of Atmospheric Physics of the Czech Academy of Sciences; Charles University Prague; Nagoya University; Japan Aerospace Exploration Agency (JAXA); Institute of Space &amp; Astronautical Science (ISAS); University of Otago; UK Research &amp; Innovation (UKRI); Natural Environment Research Council (NERC); NERC British Antarctic Survey; University of Iowa</t>
  </si>
  <si>
    <t>Hendry, AT (corresponding author), Czech Acad Sci, Dept Space Phys, Inst Atmospher Phys, Prague, Czech Republic.</t>
  </si>
  <si>
    <t>ath@ufa.cas.cz</t>
  </si>
  <si>
    <t>Miyoshi, Yoshizumi/T-5748-2019; Hendry, Aaron/T-1911-2019; Rodger, Craig/A-1501-2011; Shoji, Masafumi/S-8304-2019; Santolik, Ondrej/F-7766-2014</t>
  </si>
  <si>
    <t>Miyoshi, Yoshizumi/0000-0001-7998-1240; Hendry, Aaron/0000-0002-9130-3781; Kletzing, Craig/0000-0002-4136-3348; Rodger, Craig J./0000-0002-6770-2707; Santolik, Ondrej/0000-0002-4891-9273; Shoji, Masafumi/0000-0001-6573-525X; Shinohara, Iku/0000-0003-2700-0353</t>
  </si>
  <si>
    <t>JHU/APL Contract under NASA Prime Contract [921647, NAS5-01072]; postdoctoral program of the Czech Academy of Sciences; Praemium Academiae award; European Union's Horizon 2020 research and innovation programme [870452]; Japan Society for the Promotion of Science (JSPS) [15H05815, 16H06286, 17H00728]; JSPS Bilateral Open Partnership Joint Research Projects; [JSPS-19-05]; [LTAUSA17070]; [GACR18-05285S]; NERC [bas0100031] Funding Source: UKRI; H2020 - Industrial Leadership [870452] Funding Source: H2020 - Industrial Leadership</t>
  </si>
  <si>
    <t>JHU/APL Contract under NASA Prime Contract; postdoctoral program of the Czech Academy of Sciences; Praemium Academiae award; European Union's Horizon 2020 research and innovation programme; Japan Society for the Promotion of Science (JSPS)(Ministry of Education, Culture, Sports, Science and Technology, Japan (MEXT)Japan Society for the Promotion of Science); JSPS Bilateral Open Partnership Joint Research Projects; ; ; ; NERC(UK Research &amp; Innovation (UKRI)Natural Environment Research Council (NERC)); H2020 - Industrial Leadership(European Union (EU)H2020 - Industrial Leadership)</t>
  </si>
  <si>
    <t>The authors would like to thank the personnel who developed, maintain, and operate each of the satellites and instruments used in this study. Processing and analysis of EMFISIS data was performed under the support of JHU/APL Contract 921647 under NASA Prime Contract NAS5-01072 (EMFISIS data may be obtained from http://emfisis.physics.uiowa.edu/data/index).The search-coil magnetometer data used in this study are available from BGS on request. Science data of the ERG (Arase) satellite used in this study were obtained from the ERG Science Center operated by ISAS/JAXA and ISEE/Nagoya University (https://ergsc.isee.nagoya-u.ac.jp/index.shtml.en) (Miyoshi et al., 2018). The present study analyzed the MGF v01.00 data. AARDDVARK data availability is described at http://www.physics.otago.ac.nz/space/AARDDVARK_ homepage.htm. This work has been supported by the postdoctoral program of the Czech Academy of Sciences and by its Praemium Academiae award and JSPS-19-05 project. A.T.H. and O.S. acknowledge funding received from the European Union's Horizon 2020 research and innovation programme under grant agreement No. 870452 (PAGER). O. S. also acknowledges support from Grants LTAUSA17070 and GACR18-05285S. This study is supported by Grants-in-Aid for Scientific Research (15H05815, 16H06286, and 17H00728) of Japan Society for the Promotion of Science (JSPS). This study was supported by JSPS Bilateral Open Partnership Joint Research Projects.</t>
  </si>
  <si>
    <t>APR 16</t>
  </si>
  <si>
    <t>e2019GL086599</t>
  </si>
  <si>
    <t>10.1029/2019GL086599</t>
  </si>
  <si>
    <t>NB2UF</t>
  </si>
  <si>
    <t>Green Accepted, hybrid, Green Published</t>
  </si>
  <si>
    <t>WOS:000560367600013</t>
  </si>
  <si>
    <t>Whitby, H; Bressac, M; Sarthou, G; Ellwood, MJ; Guieu, C; Boyd, PW</t>
  </si>
  <si>
    <t>Whitby, Hannah; Bressac, Matthieu; Sarthou, Geraldine; Ellwood, Michael J.; Guieu, Cecile; Boyd, Philip W.</t>
  </si>
  <si>
    <t>Contribution of Electroactive Humic Substances to the Iron-Binding Ligands Released During Microbial Remineralization of Sinking Particles</t>
  </si>
  <si>
    <t>Iron; ligand; humic; remineralisation; particle; degradation</t>
  </si>
  <si>
    <t>DISSOLVED ORGANIC-MATTER; MEDITERRANEAN SEA; MARINE-PHYTOPLANKTON; DUST DEPOSITION; NATURAL-WATERS; ARCTIC-OCEAN; COMPLEXATION; FE; BIOGEOCHEMISTRY; ATLANTIC</t>
  </si>
  <si>
    <t>Iron is a key micronutrient in seawater, but concentrations would be negligible without the presence of organic ligands. The processes influencing the ligand pool composition are poorly constrained, limiting our understanding of the controls on dissolved iron distributions. To address this, the release of iron and iron-binding ligands during the microbial remineralization of sinking particles was investigated by deploying in situ particle interceptor/incubator devices at subsurface sites in the Mediterranean Sea and Subantarctic. Analyses revealed that the pool of released ligands was largely dominated by electroactive humic substances (74 +/- 28%). The release of ligands during remineralization ensured that concurrently released iron remained in solution, which is crucial for iron regeneration. This study presents compelling evidence of the key role of humic ligands in the subsurface replenishment of dissolved iron and thus on the wider oceanic dissolved iron inventory, which ultimately controls the magnitude of iron resupplied to the euphotic zone. Plain Language Summary Microscopic plants and animals in seawater require nutrients to survive. One of these key nutrients is iron, dissolved in seawater at very low concentrations. The growth of around half of the microscopic life in the upper ocean is dependent on the availability of this dissolved iron. These organisms form the bottom of the food chain, and their growth is linked to marine productivity and the drawdown of carbon into the deep ocean, in turn influencing climate change. Because iron tends to not dissolve easily in seawater, it must bind with compounds known as ligands, which help keep iron dissolved. However, processes controlling the composition of this ligand pool are poorly understood. As material sinks through the water column, it is broken down by marine microbes, releasing iron and ligands. Here we have studied the release of iron, ligands, and a specific type of ligand known as humic substances, during the microbial degradation of sinking particles. By doing this, we have identified a large fraction of the released ligand pool. This furthers our understanding of the processes controlling dissolved iron concentrations and distributions in ocean waters, providing key information for biogeochemical modeling and for calculating carbon sequestration in seawater.</t>
  </si>
  <si>
    <t>[Whitby, Hannah] Univ Liverpool, Sch Environm Sci, Dept Earth Ocean &amp; Ecol Sci, Liverpool, Merseyside, England; [Whitby, Hannah; Sarthou, Geraldine] Univ Brest, CNRS, IRD, IFREMER,LEMAR, Plouzane, France; [Bressac, Matthieu; Boyd, Philip W.] Univ Tasmania, Inst Marine &amp; Antarctic Studies, Hobart, Tas, Australia; [Bressac, Matthieu; Guieu, Cecile] Sorbonne Univ, CNRS, Lab Oceanog Villefranche, LOV, Villefranche Sur Mer, France; [Ellwood, Michael J.] Australian Natl Univ, Res Sch Earth Sci, Canberra, ACT, Australia; [Guieu, Cecile] New York Univ Abu Dhabi, Ctr Prototype Climate Modeling, Abu Dhabi, U Arab Emirates; [Boyd, Philip W.] Univ Tasmania, Antarctic Climate &amp; Ecosyst Collaborat Res Ctr, Hobart, Tas, Australia</t>
  </si>
  <si>
    <t>University of Liverpool; Universite de Bretagne Occidentale; Centre National de la Recherche Scientifique (CNRS); Ifremer; Institut de Recherche pour le Developpement (IRD); University of Tasmania; Centre National de la Recherche Scientifique (CNRS); Sorbonne Universite; Australian National University; New York University Abu Dhabi; University of Tasmania</t>
  </si>
  <si>
    <t>Whitby, H (corresponding author), Univ Liverpool, Sch Environm Sci, Dept Earth Ocean &amp; Ecol Sci, Liverpool, Merseyside, England.;Whitby, H (corresponding author), Univ Brest, CNRS, IRD, IFREMER,LEMAR, Plouzane, France.</t>
  </si>
  <si>
    <t>hannah.whitby@liverpool.ac.uk</t>
  </si>
  <si>
    <t>Whitby, Hannah/ABC-3398-2020; Guieu, Cecile/AAU-6883-2021; Ellwood, Michael J/G-7390-2011; Boyd, Philip/J-7624-2014</t>
  </si>
  <si>
    <t>Guieu, Cecile/0000-0001-6373-8326; Boyd, Philip/0000-0001-7850-1911; Sarthou, Geraldine/0000-0001-6560-6669; Whitby, Hannah/0000-0002-0064-3052; Bressac, Matthieu/0000-0003-3075-3137; Ellwood, Michael/0000-0003-4288-8530</t>
  </si>
  <si>
    <t>European Union Seventh Framework Programme (FP7/2007-2013) [PIOF-GA-2012-626734]; CNRS-INSU; IFREMER; CEA; Meteo-France as part of the programme MISTRALS; Laboratoire d'Excellence LabexMER [ANR-10-LABX-19]; EU FP7 Marie Curie actions through the PRESTIGE programme [PCOFUND-GA-2013-609102]; Australian Research Council [DP170102108, DP130100679, FL160100131]</t>
  </si>
  <si>
    <t>European Union Seventh Framework Programme (FP7/2007-2013); CNRS-INSU(Centre National de la Recherche Scientifique (CNRS)); IFREMER; CEA(French Atomic Energy Commission); Meteo-France as part of the programme MISTRALS; Laboratoire d'Excellence LabexMER; EU FP7 Marie Curie actions through the PRESTIGE programme(Marie Curie Actions); Australian Research Council(Australian Research Council)</t>
  </si>
  <si>
    <t>We thank the captains and crew of the RV Investigator and RV Pourquoi Pas?, the CSIRO and DT INSU teams for the design and preparation of the mooring line, C. Young and P. Waller for building the TM-RESPIRE, and T. Wagener for helping with sampling. The authors wish to thank the CSIRO Marine National Facility (MNF) for its support in the form of sea time on RV Investigator, support personnel, scientific equipment, and data management. All data and samples acquired on the voyage are made publically available in accordance with MNF and AGU data policy. M. B. was funded by the European Union Seventh Framework Programme (FP7/2007-2013) under grant agreement no. (PIOF-GA-2012-626734). This study is a contribution to the PEACETIME project (https://doi.org/10.17600/17000300), a joint initiative of the MERMEX and ChArMEx components supported by CNRS-INSU, IFREMER, CEA, and Meteo-France as part of the programme MISTRALS coordinated by INSU. H. W. was supported by the Laboratoire d'Excellence LabexMER (ANR-10-LABX-19) and by the EU FP7 Marie Curie actions (PCOFUND-GA-2013-609102), through the PRESTIGE programme coordinated by Campus France. This research was financially supported under Australian Research Council's Discovery (DP170102108 and DP130100679) and Laureate Awards (FL160100131).</t>
  </si>
  <si>
    <t>e2019GL086685</t>
  </si>
  <si>
    <t>10.1029/2019GL086685</t>
  </si>
  <si>
    <t>Green Published, hybrid, Green Submitted</t>
  </si>
  <si>
    <t>WOS:000560367600053</t>
  </si>
  <si>
    <t>Rodríguez-Zorro, PA; Ledru, MP; Bard, E; Aquino-Alfonso, O; Camejo, A; Daniau, AL; Favier, C; Garcia, M; Mineli, TD; Rostek, F; Ricardi-Branco, F; Sawakuchi, AO; Simon, Q; Tachikawa, K; Thouveny, N</t>
  </si>
  <si>
    <t>Rodriguez-Zorro, Paula A.; Ledru, Marie-Pierre; Bard, Edouard; Aquino-Alfonso, Olga; Camejo, Adriana; Daniau, Anne-Laure; Favier, Charly; Garcia, Marta; Mineli, Thays D.; Rostek, Frauke; Ricardi-Branco, Fresia; Sawakuchi, Andre Oliveira; Simon, Quentin; Tachikawa, Kazuyo; Thouveny, Nicolas</t>
  </si>
  <si>
    <t>Shut down of the South American summer monsoon during the penultimate glacial</t>
  </si>
  <si>
    <t>DIALKYL GLYCEROL TETRAETHERS; ATMOSPHERIC CIRCULATION; CLIMATE-CHANGE; POLLEN RECORD; SAO-PAULO; LAST; BRAZIL; PRECIPITATION; CARBON; SOILS</t>
  </si>
  <si>
    <t>We analysed changes in mean annual air temperature (MAAT), vegetation and biomass burning on a long and continuous lake-peat sediment record from the Colonia basin, southeastern Brazil, examining the responses of a wet tropical rainforest over the last 180 ka. Stronger southern atmospheric circulation up to the latitude of Colonia was found for the penultimate glacial with lower temperatures than during the last glacial, while strengthening of the South American summer monsoon (SASM) circulation started during the last interglacial and progressively enhanced a longer wet summer season from 95 ka until the present. Past MAAT variations and fire history were possibly modulated by eccentricity, although with signatures which differ in average and in amplitude between the last 180 ka. Vegetation responses were driven by the interplay between the SASM and southern circulation linked to Antarctic ice volume, inferred by the presence of a cool mixed evergreen forest from 180 to 45 ka progressively replaced by a rainforest. We report cooler temperatures during the marine isotope stage 3 (MIS 3: 57-29 ka) than during the Last Glacial Maximum (LGM: 23-19 ka). Our findings show that tropical forest dynamics display different patterns than mid-latitude during the last 180 ka.</t>
  </si>
  <si>
    <t>[Rodriguez-Zorro, Paula A.; Ledru, Marie-Pierre; Aquino-Alfonso, Olga; Favier, Charly] Univ Montpellier, ISEM, CNRS, EPHE,IRD, F-34095 Montpellier, France; [Bard, Edouard; Garcia, Marta; Rostek, Frauke; Simon, Quentin; Tachikawa, Kazuyo; Thouveny, Nicolas] Aix Marseille Univ, CEREGE, CNRS, IRD,INRAE,Coll France, F-13545 Aix En Provence, France; [Camejo, Adriana; Ricardi-Branco, Fresia] Univ Estadual Campinas, Inst Geosci, BR-13081970 Campinas, Brazil; [Daniau, Anne-Laure] Univ Bordeaux, UMR 5805, CNRS, EPOC, F-33615 Pessac, France; [Mineli, Thays D.; Sawakuchi, Andre Oliveira] Univ Sao Paulo, Inst Geosci, Sao Paulo, Brazil</t>
  </si>
  <si>
    <t>Centre National de la Recherche Scientifique (CNRS); Institut de Recherche pour le Developpement (IRD); Universite de Montpellier; Universite PSL; Ecole Pratique des Hautes Etudes (EPHE); Centre National de la Recherche Scientifique (CNRS); Institut de Recherche pour le Developpement (IRD); INRAE; Aix-Marseille Universite; Universite PSL; College de France; Universidade Estadual de Campinas; Centre National de la Recherche Scientifique (CNRS); CNRS - National Institute for Earth Sciences &amp; Astronomy (INSU); Universite de Bordeaux; Universidade de Sao Paulo</t>
  </si>
  <si>
    <t>Rodríguez-Zorro, PA (corresponding author), Univ Montpellier, ISEM, CNRS, EPHE,IRD, F-34095 Montpellier, France.</t>
  </si>
  <si>
    <t>paularsat@gmail.com</t>
  </si>
  <si>
    <t>Camejo, Adriana Mercedes/AAA-5411-2022; Rodríguez-Zorro, Paula A./AAR-8099-2020; Sawakuchi, André O/D-1445-2013; Ricardi-Branco, Fresia/C-2034-2012; Simon, Quentin/D-9956-2017; Daniau, Anne-Laure/O-2379-2017; Fapesp, Biota/F-8655-2017; Favier, Charly/A-7516-2012</t>
  </si>
  <si>
    <t>Camejo, Adriana Mercedes/0000-0002-3772-7057; Rodríguez-Zorro, Paula A./0000-0002-2476-1598; Simon, Quentin/0000-0001-8247-0150; Daniau, Anne-Laure/0000-0002-1621-3911; THOUVENY, Nicolas/0000-0001-6601-856X; Fapesp, Biota/0000-0002-9887-8449; Sawakuchi, Andre/0000-0001-5016-2428; Favier, Charly/0000-0002-1126-6950; Ledru, Marie-Pierre/0000-0002-8079-9320</t>
  </si>
  <si>
    <t>FAPESP [BIOTA 2013/50297-0]; NSF [DEB 1343578]; Foundation BNP PARIBAS; CAPES; CNPq [304727/2017-2, 303527/2017-0]</t>
  </si>
  <si>
    <t>FAPESP(Fundacao de Amparo a Pesquisa do Estado de Sao Paulo (FAPESP)); NSF(National Science Foundation (NSF)); Foundation BNP PARIBAS; CAPES(Coordenacao de Aperfeicoamento de Pessoal de Nivel Superior (CAPES)); CNPq(Conselho Nacional de Desenvolvimento Cientifico e Tecnologico (CNPQ))</t>
  </si>
  <si>
    <t>This research is part of the projects Dimensions of biodiversity FAPESP (BIOTA 2013/50297-0), NSF (DEB 1343578) and NASA, the International Continental Deep drilling Program (ICDP),  UV-Trop  INSU LEFE, the Labex-CEBA,  TROPICOL  Foundation BNP Paribas  Climate Initiative  (2017-2020). P.A.R.Z and Q.S benefited from post-doctoral grants and O.A.A from a master grant from Foundation BNP PARIBAS. A.C benefited from a doctoral grant from CAPES. A.S is supported by CNPq (grants 304727/2017-2 and 303527/2017-0). We thank Laurent Augustin (C2FN, CNRS) and Laurent Bremond (EPHE) for coring CO14 during the ICDP workshop. We thank the Associacao ACHAVE for support at Colonia, and the Suehara family for allowing access to their property for the corings.</t>
  </si>
  <si>
    <t>APR 15</t>
  </si>
  <si>
    <t>10.1038/s41598-020-62888-x</t>
  </si>
  <si>
    <t>LY4GY</t>
  </si>
  <si>
    <t>WOS:000540488200001</t>
  </si>
  <si>
    <t>Hansen, SE; Carson, SE; Garnero, EJ; Rost, S; Yu, SL</t>
  </si>
  <si>
    <t>Hansen, Samantha E.; Carson, Sarah E.; Garnero, Edward J.; Rost, Sebastian; Yu, Shule</t>
  </si>
  <si>
    <t>Investigating ultra-low velocity zones in the southern hemisphere using an Antarctic dataset</t>
  </si>
  <si>
    <t>ultra-low velocity zones; ScP; southern hemisphere</t>
  </si>
  <si>
    <t>CORE-MANTLE BOUNDARY; PARTIAL MELT; SEISMOLOGICAL CONSTRAINTS; SEISMIC VELOCITY; LOWERMOST MANTLE; BASE; BENEATH; SCP; ISLANDS; DENSITY</t>
  </si>
  <si>
    <t>Given limited seismic coverage of the lowermost mantle, less than one-fifth of the core-mantle boundary (CMB) has been surveyed for the presence of ultra-low velocity zones (ULVZs). Investigations that sample the CMB with new geometries are therefore important to further our understanding of ULVZ origins and their potential connection to other deep Earth processes. Using core-reflected ScP waves recorded by the recently deployed Transantarctic Mountains Northern Network in Antarctica, the current study aims to expand ULVZ investigations in the southern hemisphere. Our dataset samples the CMB in the vicinity of New Zealand, providing coverage between an area to the northeast, where ULVZ structure has been previously identified, and another region to the south, where prior evidence for a ULVZ was inconclusive. This area is of particular interest because the data sample across the boundary of the Pacific Large Low Shear Velocity Province (LLSVP). The Weddell Sea region near Antarctica is also well sampled, providing new information on a region that has not been previously studied. A correlative scheme between a large database of 1-D synthetic seismograms and the observed ScP data demonstrates that ULVZs are required in both study regions. Modeling uncertainties limit our ability to definitively define ULVZ characteristics but also likely indicate more complex 3-D structure. Given that ULVZs are detected within, along the edge of, and far from the Pacific LLSVP, our results support the hypothesis that ULVZs are compositionally distinct from the surrounding mantle and are not solely related to partial melt. ULVZs may be ubiquitous along the CMB; however, they may be thinner in many regions than can be resolved by current methods. Mantle convection currents may sweep the ULVZs into thicker piles in some areas, pushing these anomalies toward the boundaries of LLSVPs. (C) 2020 The Author(s). Published by Elsevier B.V.</t>
  </si>
  <si>
    <t>[Hansen, Samantha E.; Carson, Sarah E.] Univ Alabama, Dept Geol Sci, Tuscaloosa, AL 35487 USA; [Garnero, Edward J.; Yu, Shule] Arizona State Univ, Sch Earth &amp; Space Explorat, Tempe, AZ 85287 USA; [Rost, Sebastian] Univ Leeds, Sch Earth &amp; Environm, Leeds, W Yorkshire, England</t>
  </si>
  <si>
    <t>University of Alabama System; University of Alabama Tuscaloosa; Arizona State University; Arizona State University-Tempe; University of Leeds</t>
  </si>
  <si>
    <t>Hansen, SE (corresponding author), Univ Alabama, Dept Geol Sci, Tuscaloosa, AL 35487 USA.</t>
  </si>
  <si>
    <t>shansen@geo.ua.edu</t>
  </si>
  <si>
    <t>Rost, Sebastian/GOH-2868-2022</t>
  </si>
  <si>
    <t>National Science Foundation (NSF) [EAR-1851048, OPP-1851037]; NSF [PLR-1643551]; NERC [NE/K006290/1, NE/R012199/1]; NERC [NE/H022473/1, NE/K006290/1, NE/R012199/1] Funding Source: UKRI</t>
  </si>
  <si>
    <t>National Science Foundation (NSF)(National Science Foundation (NSF)); NSF(National Science Foundation (NSF)); NERC(UK Research &amp; Innovation (UKRI)Natural Environment Research Council (NERC)); NERC(UK Research &amp; Innovation (UKRI)Natural Environment Research Council (NERC))</t>
  </si>
  <si>
    <t>We thank two anonymous reviewers for their thorough comments that helped to improve this manuscript. Data management handling was provided by the Incorporated Research Institutions for Seismology (IRIS) Data Management Center (DMC), and all TAMNNET data are openly available through the DMC (http://www.fdsn.org/networks/detail/ZJ_2012).The facilities of the IRIS Consortium are supported by the National Science Foundation (NSF) under cooperative agreements EAR-1851048 and OPP-1851037. Funding for this research was provided by NSF grant PLR-1643551, and SR has been partially supported by NERC grants NE/K006290/1 and NE/R012199/1. Some figures were generated with Generic Mapping Tools (Wessel and Smith, 1995).</t>
  </si>
  <si>
    <t>10.1016/j.epsl.2020.116142</t>
  </si>
  <si>
    <t>LK5OB</t>
  </si>
  <si>
    <t>WOS:000530914400007</t>
  </si>
  <si>
    <t>Auguste, M; Balbi, T; Ciacci, C; Canonico, B; Papa, S; Borello, A; Vezzulli, L; Canesi, L</t>
  </si>
  <si>
    <t>Auguste, Manon; Balbi, Teresa; Ciacci, Caterina; Canonico, Barbara; Papa, Stefano; Borello, Alessio; Vezzulli, Luigi; Canesi, Laura</t>
  </si>
  <si>
    <t>Shift in Immune Parameters After Repeated Exposure to Nanoplastics in the Marine Bivalve Mytilus</t>
  </si>
  <si>
    <t>FRONTIERS IN IMMUNOLOGY</t>
  </si>
  <si>
    <t>mussel; innate immunity; amino modified polystyrene; nanoplastics; immune training</t>
  </si>
  <si>
    <t>CATIONIC POLYSTYRENE NANOPARTICLES; MUSSEL HEMOCYTE SUBPOPULATIONS; VIBRIO-AESTUARIANUS 01/032; OYSTER CRASSOSTREA-GIGAS; EARLY EMBRYO DEVELOPMENT; SECONDARY CHALLENGE; GALLOPROVINCIALIS HEMOCYTES; IMMUNOLOGICAL MEMORY; RESPONSES; INNATE</t>
  </si>
  <si>
    <t>Bivalves are widespread in coastal environments subjected to a wide range of environmental fluctuations: however, the rapidly occurring changes due to several anthropogenic factors can represent a significant threat to bivalve immunity. The mussel Mytilus spp. has extremely powerful immune defenses toward different potential pathogens and contaminant stressors. In particular, the mussel immune system represents a significant target for different types of nanoparticles (NPs), including amino-modified nanopolystyrene (PS-NH2) as a model of nanoplastics. In this work, the effects of repeated exposure to PS-NH2 on immune responses of Mytilus galloprovincialis were investigated after a first exposure (10 mu g/L; 24 h), followed by a resting period (72-h depuration) and a second exposure (10 mu g/L; 24 h). Functional parameters were measured in hemocytes, serum, and whole hemolymph samples. In hemocytes, transcription of selected genes involved in proliferation/apoptosis and immune response was evaluated by qPCR. First exposure to PS-NH2 significantly affected hemocyte mitochondrial and lysosomal parameters, serum lysozyme activity, and transcription of proliferation/apoptosis markers; significant upregulation of extrapallial protein precursor (EPp) and downregulation of lysozyme and mytilin B were observed. The results of functional hemocyte parameters indicate the occurrence of stress conditions that did not however result in changes in the overall bactericidal activity. After the second exposure, a shift in hemocyte subpopulations, together with reestablishment of basal functional parameters and of proliferation/apoptotic markers, was observed. Moreover, hemolymph bactericidal activity, as well as transcription of five out of six immune-related genes, all codifying for secreted proteins, was significantly increased. The results indicate an overall shift in immune parameters that may act as compensatory mechanisms to maintain immune homeostasis after a second encounter with PS-NH2.</t>
  </si>
  <si>
    <t>[Auguste, Manon; Balbi, Teresa; Borello, Alessio; Vezzulli, Luigi; Canesi, Laura] Univ Genoa, Dept Earth Environm &amp; Life Sci DISTAV, Genoa, Italy; [Ciacci, Caterina; Canonico, Barbara; Papa, Stefano] Univ Urbino, Dept Biomol Sci DIBS, Urbino, Italy</t>
  </si>
  <si>
    <t>University of Genoa; University of Urbino</t>
  </si>
  <si>
    <t>Auguste, M; Canesi, L (corresponding author), Univ Genoa, Dept Earth Environm &amp; Life Sci DISTAV, Genoa, Italy.</t>
  </si>
  <si>
    <t>manon.auguste@edu.unige.it; laura.canesi@unige.it</t>
  </si>
  <si>
    <t>Auguste, Manon/0000-0002-3219-7931; Canonico, Barbara/0000-0003-3383-715X; Balbi, Teresa/0000-0002-7495-6000</t>
  </si>
  <si>
    <t>European Union [671881]; Italian Antarctic Research Program [PNRA 16_00075]</t>
  </si>
  <si>
    <t>European Union(European Union (EU)); Italian Antarctic Research Program</t>
  </si>
  <si>
    <t>This project has received funding from the European Union's Horizon 2020 research and innovation program under the Marie Sklodowska-Curie grant agreement PANDORA no. 671881 (Probing safety of nano-objects by defining immune responses of environmental organisms) and from the Italian Antarctic Research Program PNRA 16_00075 NANOPANTA (Nano-Polymers in the Antarctic mariNe environmenT and biotA).</t>
  </si>
  <si>
    <t>1664-3224</t>
  </si>
  <si>
    <t>FRONT IMMUNOL</t>
  </si>
  <si>
    <t>Front. Immunol.</t>
  </si>
  <si>
    <t>10.3389/fimmu.2020.00426</t>
  </si>
  <si>
    <t>Immunology</t>
  </si>
  <si>
    <t>LJ9LP</t>
  </si>
  <si>
    <t>WOS:000530482500001</t>
  </si>
  <si>
    <t>Yan, JG; Liu, SH; Xiao, C; Ye, M; Cao, JF; Harada, YJ; Li, FM; Li, X; Barriot, JP</t>
  </si>
  <si>
    <t>Yan, Jianguo; Liu, Shanhong; Xiao, Chi; Ye, Mao; Cao, Jianfeng; Harada, Yuji; Li, Fangming; Li, Xie; Barriot, Jean-Pierre</t>
  </si>
  <si>
    <t>A degree-100 lunar gravity model from the Chang'e 5T1 mission</t>
  </si>
  <si>
    <t>ASTRONOMY &amp; ASTROPHYSICS</t>
  </si>
  <si>
    <t>Moon; gravitation; planets and satellites: detection; methods: data analysis</t>
  </si>
  <si>
    <t>GRAIL PRIMARY; FIELD; MOON; RECOVERY</t>
  </si>
  <si>
    <t>Context. Chinese lunar missions have grown in number over the last ten years, with an increasing focus on radio science investigations. In previous work, we estimated two lunar gravity field models, CEGM01 and CEGM02. The recently lunar mission, Chang'e 5T1, which had an orbital inclination between 18 and 68 degrees, and collected orbital tracking data continually for two years, made an improved gravity field model possible.Aims. Our aim was to estimate a new lunar gravity field model up to degree and order 100, CEGM03, and a new tidal Love number based on the Chang'e 5T1 tracking data combined with the historical tracking data used in the solution of CEGM02. The new model makes use of tracking data with this particular inclination, which has not been used in previous gravity field modeling.Methods. The solution for this new model was based on our in-house software, LUGREAS. The gravity spectrum power, post-fit residuals after precision orbit determination (POD), lunar surface gravity anomalies, correlations between parameters, admittance and coherence with topography model, and accuracy of POD were analyzed to validate the new CEGM03 model.Results. We analyzed the tracking data of the Chang'e 5T1 mission and estimated the CEGM03 lunar gravity field model. We found that the two-way Doppler measurement accuracy reached 0.2 mm s(-1) with 10 s integration time. The error spectrum shows that the formal error for CEGM03 was at least reduced by about 2 times below the harmonic degree of 20, when compared to the CEGM02 model. The admittance and correlation of gravity and topography was also improved when compared to the correlations for the CEGM02 model. The lunar potential Love number k(2) was estimated to be 0.024300.0001 (ten times the formal error).Conclusions. From the model analysis and comparison of the various models, we identified improvements in the CEGM03 model after introducing Chang'e 5T1 tracking data. Moreover, this study illustrates how the low and middle inclination orbits could contribute better accuracy for a low degree of lunar gravity field.</t>
  </si>
  <si>
    <t>[Yan, Jianguo; Liu, Shanhong; Ye, Mao; Li, Fangming; Barriot, Jean-Pierre] Wuhan Univ, State Key Lab Informat Engn Surveying Mapping &amp; R, 129 Luoyu Rd, Wuhan 430079, Peoples R China; [Liu, Shanhong] CNRS UMR7329, Observ Cote dAzur, Geoazur, Valbonne, France; [Xiao, Chi; Li, Xie] Wuhan Univ, Chinese Antarctic Ctr Surveying &amp; Mapping, 129 Luoyu Rd, Wuhan 430079, Peoples R China; [Cao, Jianfeng] Beijing Aerosp Flight &amp; Control Ctr, Natl Key Lab Sci &amp; Technol Aerosp Flight Dynam, Beijing 100094, Peoples R China; [Harada, Yuji] Macau Univ Sci &amp; Technol, Space Sci Inst, Ave Wailong, Taipa 999078, Macao, Peoples R China; [Barriot, Jean-Pierre] Univ French Polynesia, Observ Geodes Tahiti, BP 6570, F-98702 Tahiti, French Polynesi, France</t>
  </si>
  <si>
    <t>Wuhan University; Universite Cote d'Azur; Observatoire de la Cote d'Azur; Centre National de la Recherche Scientifique (CNRS); CNRS - National Institute for Earth Sciences &amp; Astronomy (INSU); Wuhan University; Macau University of Science &amp; Technology</t>
  </si>
  <si>
    <t>Yan, JG (corresponding author), Wuhan Univ, State Key Lab Informat Engn Surveying Mapping &amp; R, 129 Luoyu Rd, Wuhan 430079, Peoples R China.</t>
  </si>
  <si>
    <t>jgyan@whu.edu.cn; sliu@geoazur.unice.fr</t>
  </si>
  <si>
    <t>Barriot, Jean-Pierre/AAD-6709-2021; Xiao, Chi/AFD-1063-2022; liu, shanhong/HHC-0630-2022; Harada, Yuji/K-2647-2017</t>
  </si>
  <si>
    <t>Barriot, Jean-Pierre/0000-0002-2112-9685; liu, shanhong/0000-0002-2022-3389; Harada, Yuji/0000-0001-5691-3851</t>
  </si>
  <si>
    <t>National Natural Science Foundation of China [U1831132, 41874010, 41804025]; Innovation Group of Natural Fund of Hubei Province [2018CFA087]; Science and Technology Development Fund of the Macau Special Administrative Region [007/2016/A1, 119/2017/A3, 187/2017/A3]; Macau University of Science and Technology [FDCT 119/2017/A3]; DAR grant in planetology from the France Space Agency (CNES)</t>
  </si>
  <si>
    <t>National Natural Science Foundation of China(National Natural Science Foundation of China (NSFC)); Innovation Group of Natural Fund of Hubei Province; Science and Technology Development Fund of the Macau Special Administrative Region; Macau University of Science and Technology; DAR grant in planetology from the France Space Agency (CNES)</t>
  </si>
  <si>
    <t>We are grateful to the Chinese deep space network for providing models and data to make this research possible. We appreciated the discussion with Prof. Jinsong Ping from the National Astronomical Observatory of China, and we thank Mr. Stephen C. McClure, a native English speaker and researcher, from Wuhan University for helping polish this paper. The work is supported by the National Natural Science Foundation of China (U1831132, 41874010, 41804025), the Innovation Group of Natural Fund of Hubei Province (2018CFA087), and the Science and Technology Development Fund of the Macau Special Administrative Region (007/2016/A1, 119/2017/A3, 187/2017/A3). This work is also supported by the Open Funding of Macau University of Science and Technology (FDCT 119/2017/A3). J.-P.B. was funded by a DAR grant in planetology from the France Space Agency (CNES). The numerical calculations in this paper were done at the Supercomputing Center of Wuhan University. We are grateful to the anonymous referee for helpful comments that improved the manuscript.</t>
  </si>
  <si>
    <t>0004-6361</t>
  </si>
  <si>
    <t>1432-0746</t>
  </si>
  <si>
    <t>ASTRON ASTROPHYS</t>
  </si>
  <si>
    <t>Astron. Astrophys.</t>
  </si>
  <si>
    <t>10.1051/0004-6361/201936802</t>
  </si>
  <si>
    <t>LH1VT</t>
  </si>
  <si>
    <t>WOS:000528577600001</t>
  </si>
  <si>
    <t>Quillfeldt, P; Masello, JF</t>
  </si>
  <si>
    <t>Quillfeldt, Petra; Masello, Juan F.</t>
  </si>
  <si>
    <t>Compound-specific stable isotope analyses in Falkland Islands seabirds reveal seasonal changes in trophic positions</t>
  </si>
  <si>
    <t>Compound-specific stable isotope analyses of amino acids; Gentoo penguin Pygoscelis papua; Magellanic penguin Spheniscus magellanicus; Southern rockhopper penguin Eudyptes chrysocome; Thin-billed prion Pachyptila belcheri; Wilson's storm-petrel Oceanites oceanicus; Falkland; Malvinas archipelago</t>
  </si>
  <si>
    <t>THIN-BILLED PRIONS; AMINO-ACIDS; ENRICHMENT FACTORS; PYGOSCELIS-PAPUA; BREEDING SUCCESS; NITROGEN; DIET; FOOD; SEGREGATION; VARIABILITY</t>
  </si>
  <si>
    <t>Background While nitrogen and carbon stable isotope values can reflect ecological segregation, prey choice and spatial distribution in seabirds, the interpretation of bulk stable isotope values is frequently hampered by a lack of isotopic baseline data. In this study, we used compound-specific isotope analyses of amino acids (CSIA-AA) to overcome this constraint and to study interspecific differences, seasonal and historical changes in trophic positions of five seabird species, three penguins and two petrels, from a sub-Antarctic seabird community. Results CSIA-AA allowed comparing trophic positions of seabirds with temperate and polar distributions. Gentoo and Magellanic penguins had the highest trophic positions during the breeding season (3.7 and 3.9), but decreased these (2.9 and 3.3) during the feed-up for moult. Intra-specific differences were also detected in Thin-billed prions, where carbon isotope values clearly separated individuals with polar and temperate distributions, both in the breeding and interbreeding periods. Thin-billed prions that foraged in polar waters had lower trophic positions (3.2) than conspecifics foraging in temperate waters (3.8). We further investigated historical changes by comparing museum samples with samples collected recently. Our pilot study suggests that Rockhopper penguins, Magellanic penguins and Thin-billed prions with temperate non-breeding distributions had retained their trophic levels over a 90-100 year period, while Gentoo penguins and Thin-billed prions with polar non-breeding distributions had decreased trophic levels compared to historical samples. In contrast, Wilson's storm-petrels had slightly increased trophic levels compared to samples taken in 1924-1930. Conclusions We applied compound-specific stable isotope analyses across a range of contexts, from intra-specific comparisons between stages of the breeding cycle to inter-specific seabird community analysis that would not have been possible using bulk stable isotope analyses alone due to differences in isotopic baselines.</t>
  </si>
  <si>
    <t>[Quillfeldt, Petra; Masello, Juan F.] Justus Liebig Univ Giessen, Dept Anim Ecol &amp; Systemat, Heinrich Buff Ring 26, D-35392 Giessen, Germany</t>
  </si>
  <si>
    <t>Justus Liebig University Giessen</t>
  </si>
  <si>
    <t>Quillfeldt, Petra/A-9549-2009; Masello, Juan Francisco/C-7133-2009</t>
  </si>
  <si>
    <t>Quillfeldt, Petra/0000-0002-4450-8688; Masello, Juan Francisco/0000-0002-6826-4016</t>
  </si>
  <si>
    <t>Deutsche Forschungsgemeinschaft (DFG) [SPP1154, Qu148/16, MA2574/5]</t>
  </si>
  <si>
    <t>The data collection and analysis of his study was funded by the Deutsche Forschungsgemeinschaft (DFG) in the framework of the priority programme SPP1154 Antarctic Research with comparative investigations in Arctic ice areas by a grant to PQ (Qu148/16) and JFM (MA2574/5).</t>
  </si>
  <si>
    <t>10.1186/s12898-020-00288-5</t>
  </si>
  <si>
    <t>LH8PF</t>
  </si>
  <si>
    <t>WOS:000529044000001</t>
  </si>
  <si>
    <t>Blong, RJ; Kurbatov, AV</t>
  </si>
  <si>
    <t>Blong, Russell J.; Kurbatov, Andrei, V</t>
  </si>
  <si>
    <t>Steps and missteps on the path to a 1665-1668 CE date for the VEI 6 eruption of Long Island, Papua New Guinea</t>
  </si>
  <si>
    <t>Long Island; Tibito Tephra; Ice cores; Sulphate</t>
  </si>
  <si>
    <t>ICE CORE; CALDERA LAKE; VOLCANISM; COLONIZATION; CRYPTOTEPHRA; RECORD</t>
  </si>
  <si>
    <t>Estimates of the age of the widespread Tibito Tephra and the VEI 6 eruption of Long Island, Papua New Guinea, have been based on genealogical records derived from oral histories of a 'time of darkness', the voyage of William Dampier who named Long Island in 1700 CE, radiocarbon, palaeomagnetic and Pb-210 dating, and efforts from around the world to associate the eruption with a number of sulphur spikes in Greenland and Antarctic ice cores that were not linked to better-known eruptions. In total, there have been more than one hundred estimates of the timing of the eruption, with appraisals ranging from the late 16th century to the early 20th century. Some of these estimates have been based on solid science, some have ignored or been unaware of constraints on the possible eruption date imposed by the need to make an allowance for revegetation of the island before or after the observations of Dampier and other navigators, and some have tried to relate the eruption to the misdirected observation of sunsets over London in 1665. This account describes, more or less in chronological order, the narrowing of the supposed eruption date to the latter half of the 17th century, an early record suggesting a possible link to a 1667 acidity peak in the Crete, Greenland ice core, further constraints imposed by a renewed round of radiocarbon assays, and a final suggestion of a likely but not proven 1665-1668 eruption based on recent Antarctic and Greenland ice cores. We also elucidate missteps along the way introduced by the reliance on Royal Society of London records from the late 19th and 20th centuries and the role of the Victorian novelist William Harrison Ainsworth and Daniel Defoe's early-17th century accounts of bubonic plague in London in 1665 in leading us down dead-end pathways. (C) 2020 Elsevier B.V. All rights reserved.</t>
  </si>
  <si>
    <t>[Blong, Russell J.] Risk Frontiers, 8-33 Chandos St, St Leonards, NSW 2065, Australia; [Kurbatov, Andrei, V] Univ Maine, Climate Change Inst, Orono, ME 04473 USA; [Kurbatov, Andrei, V] Univ Maine, Sch Earth &amp; Climate Sci, Orono, ME 04473 USA</t>
  </si>
  <si>
    <t>University of Maine System; University of Maine Orono; University of Maine System; University of Maine Orono</t>
  </si>
  <si>
    <t>Blong, RJ (corresponding author), Risk Frontiers, 8-33 Chandos St, St Leonards, NSW 2065, Australia.</t>
  </si>
  <si>
    <t>rblong43@gmail.com</t>
  </si>
  <si>
    <t>Kurbatov, Andrei/0000-0002-9819-9251</t>
  </si>
  <si>
    <t>National Science Foundation [PLR-1543361]; US NSF Ice Core Facility</t>
  </si>
  <si>
    <t>National Science Foundation(National Science Foundation (NSF)); US NSF Ice Core Facility</t>
  </si>
  <si>
    <t>Support from the National Science Foundation grant PLR-1543361 and the US NSF Ice Core Facility is acknowledged.</t>
  </si>
  <si>
    <t>10.1016/j.jvolgeores.2020.106828</t>
  </si>
  <si>
    <t>LF4BP</t>
  </si>
  <si>
    <t>WOS:000527364300008</t>
  </si>
  <si>
    <t>Dupont, SM; Barbraud, C; Chastel, O; Delord, K; Parenteau, C; Ribout, C; Angelier, F</t>
  </si>
  <si>
    <t>Dupont, Sophie M.; Barbraud, Christophe; Chastel, Olivier; Delord, Karine; Parenteau, Charline; Ribout, Cecile; Angelier, Frederic</t>
  </si>
  <si>
    <t>Do repeated captures and handling affect phenotype and survival of growing Snow Petrel (Pagodroma nivea)?</t>
  </si>
  <si>
    <t>Disturbance; Survival; Growth; Antarctic seabirds</t>
  </si>
  <si>
    <t>LONG-LIVED BIRD; INVESTIGATOR DISTURBANCE; STRESS RESPONSES; WANDERING ALBATROSSES; REPRODUCTIVE SUCCESS; PHYSIOLOGICAL STRESS; ANTARCTIC SEABIRD; BREEDING SUCCESS; GROWTH-RATES; CHICK GROWTH</t>
  </si>
  <si>
    <t>In vertebrates, developmental conditions can affect not only fledging success but also the phenotype of the offspring, with potential long-term consequences on adult performance. However, surprisingly the potential impact of anthropogenic disturbance on developing chicks is rarely investigated, notably in Antarctic wildlife. In this study, we specifically investigated the effects of repeated nest visits, capture, and handling on offspring survival and several complementary offspring phenotypic traits in the Snow Petrel (Pagodroma nivea) chicks after thermal emancipation. We did not find any significant effect of our disturbance protocol on the morphology (body size, body mass, body condition), the physiology (breath rate, stress-induced corticosterone levels) and the behaviour (defense behaviour) of developing Snow Petrels. This specific disturbance protocol did not have any significant effect on chick survival, but there was a non-significant trend towards a lower survival for the disturbed group (p = 0.1006), which showed an especially high mortality during a period of repeated snow storms. To conclude, investigator disturbance seems to have little effect on Snow Petrel chicks after thermal emancipation, but to remain cautious, we recommend to avoid capture and handling of Snow Petrel chicks during or soon after inclement weather.</t>
  </si>
  <si>
    <t>[Dupont, Sophie M.; Barbraud, Christophe; Chastel, Olivier; Delord, Karine; Parenteau, Charline; Ribout, Cecile; Angelier, Frederic] ULR, CNRS, Ctr Etud Biol Chize, UMR 7372, F-79360 Villiers En Bois, France</t>
  </si>
  <si>
    <t>Centre National de la Recherche Scientifique (CNRS); CNRS - Institute of Ecology &amp; Environment (INEE)</t>
  </si>
  <si>
    <t>Dupont, SM (corresponding author), ULR, CNRS, Ctr Etud Biol Chize, UMR 7372, F-79360 Villiers En Bois, France.</t>
  </si>
  <si>
    <t>sophie.dupont93@gmail.com</t>
  </si>
  <si>
    <t>Barbraud, Christophe/A-5870-2012</t>
  </si>
  <si>
    <t>Barbraud, Christophe/0000-0003-0146-212X; Dupont, Sophie Marie/0000-0002-0883-8305</t>
  </si>
  <si>
    <t>Institut Paul-Emile Victor (IPEV Programme 109); Terres Australes et Antarctiques Francaises; Conseil General des Deux-Sevres; Region Nouvelle-Aquitaine</t>
  </si>
  <si>
    <t>Institut Paul-Emile Victor (IPEV Programme 109); Terres Australes et Antarctiques Francaises; Conseil General des Deux-Sevres(Region Nouvelle-Aquitaine); Region Nouvelle-Aquitaine(Region Nouvelle-Aquitaine)</t>
  </si>
  <si>
    <t>Fieldwork was financially and logistically supported by the Institut Paul-Emile Victor (IPEV Programme 109) and the Terres Australes et Antarctiques Francaises. S. Dupont was supported by a grant from the Conseil General des Deux-Sevres and the Region Nouvelle-Aquitaine. We are indebted to Alexandre Baduel and 3 fieldworkers for their assistance in the field.</t>
  </si>
  <si>
    <t>10.1007/s00300-020-02666-7</t>
  </si>
  <si>
    <t>WOS:000526799800001</t>
  </si>
  <si>
    <t>Alevropoulos-Borrill, AV; Nias, IJ; Payne, AJ; Golledge, NR; Bingham, RJ</t>
  </si>
  <si>
    <t>Alevropoulos-Borrill, Alanna, V; Nias, Isabel J.; Payne, Antony J.; Golledge, Nicholas R.; Bingham, Rory J.</t>
  </si>
  <si>
    <t>Ocean-forced evolution of the Amundsen Sea catchment, West Antarctica, by 2100</t>
  </si>
  <si>
    <t>MODELS HISTORICAL BIAS; CIRCUMPOLAR DEEP-WATER; PINE ISLAND GLACIER; GROUNDING LINE RETREAT; ICE-SHEET; SOUTHERN-OCEAN; LEVEL RISE; KOHLER GLACIERS; SHELF; EMBAYMENT</t>
  </si>
  <si>
    <t>The response of ice streams in the Amundsen Sea Embayment (ASE) to future climate forcing is highly uncertain. Here we present projections of 21st century response of ASE ice streams to modelled local ocean temperature change using a subset of Coupled Model Intercomparison Project (CMIP5) simulations. We use the BISICLES adaptive mesh refinement (AMR) ice sheet model, with high-resolution grounding line resolving capabilities, to explore grounding line migration in response to projected sub-ice-shelf basal melting. We find a contribution to sea level rise of between 2.0 and 4.5 cm by 2100 under RCP8.5 conditions from the CMIP5 subset, where the mass loss response is linearly related to the mean ocean temperature anomaly. To account for uncertainty associated with model initialization, we perform three further sets of CMIP5-forced experiments using different parameterizations that explore perturbations to the prescription of initial basal melt, the basal traction coefficient and the ice stiffening factor. We find that the response of the ASE to ocean temperature forcing is highly dependent on the parameter fields obtained in the initialization procedure, where the sensitivity of the ASE ice streams to the sub-ice-shelf melt forcing is dependent on the choice of parameter set. Accounting for ice sheet model parameter uncertainty results in a projected range in sea level equivalent contribution from the ASE of between -0.02 and 12.1 cm by the end of the 21st century.</t>
  </si>
  <si>
    <t>[Alevropoulos-Borrill, Alanna, V; Nias, Isabel J.; Payne, Antony J.; Bingham, Rory J.] Univ Bristol, Sch Geog Sci, Ctr Polar Observat &amp; Modelling, Univ Rd, Bristol BS8 1SS, Avon, England; [Nias, Isabel J.] NASA, Goddard Space Flight Ctr, Cryospher Sci Lab, Greenbelt, MD USA; [Nias, Isabel J.] Univ Maryland, Earth Syst Sci Interdisciplinary Ctr, College Pk, MD 20742 USA; [Alevropoulos-Borrill, Alanna, V; Golledge, Nicholas R.] Victoria Univ Wellington, Antarctic Res Ctr, Wellington 6012, New Zealand</t>
  </si>
  <si>
    <t>University of Bristol; National Aeronautics &amp; Space Administration (NASA); NASA Goddard Space Flight Center; University System of Maryland; University of Maryland College Park; Victoria University Wellington</t>
  </si>
  <si>
    <t>Alevropoulos-Borrill, AV (corresponding author), Univ Bristol, Sch Geog Sci, Ctr Polar Observat &amp; Modelling, Univ Rd, Bristol BS8 1SS, Avon, England.</t>
  </si>
  <si>
    <t>alanna.alevropoulosborrill@vuw.ac.nz</t>
  </si>
  <si>
    <t>; payne, antony/A-8916-2008</t>
  </si>
  <si>
    <t>Nias, Isabel/0000-0002-5657-8691; Golledge, Nicholas/0000-0001-7676-8970; payne, antony/0000-0001-8825-8425</t>
  </si>
  <si>
    <t>NERC [NE/T009470/1, cpom30001] Funding Source: UKRI</t>
  </si>
  <si>
    <t>10.5194/tc-14-1245-2020</t>
  </si>
  <si>
    <t>LD5HD</t>
  </si>
  <si>
    <t>WOS:000526059400001</t>
  </si>
  <si>
    <t>Lamping, N; Müller, J; Esper, O; Hillenbrand, CD; Smith, JA; Kuhn, G</t>
  </si>
  <si>
    <t>Lamping, Nele; Mueller, Juliane; Esper, Oliver; Hillenbrand, Claus-Dieter; Smith, James A.; Kuhn, Gerhard</t>
  </si>
  <si>
    <t>Highly branched isoprenoids reveal onset of deglaciation followed by dynamic sea-ice conditions in the western Amundsen Sea, Antarctica (vol 228, 106103, 2020)</t>
  </si>
  <si>
    <t>[Lamping, Nele; Mueller, Juliane; Esper, Oliver; Kuhn, Gerhard] Alfred Wegener Inst Helmholtz Zentrum Polar &amp; Mee, Alten Hafen 26, D-27568 Bremerhaven, Germany; [Mueller, Juliane] Univ Bremen, Dept Geosci, Klagenfurter Str, D-28359 Bremen, Germany; [Mueller, Juliane] Marum Ctr Marine Environm Sci, Leobener Str 8, D-28359 Bremen, Germany; [Hillenbrand, Claus-Dieter; Smith, James A.] British Antarctic Survey, Madingley Rd, Cambridge CB3 0ET, England</t>
  </si>
  <si>
    <t>Helmholtz Association; Alfred Wegener Institute, Helmholtz Centre for Polar &amp; Marine Research; University of Bremen; University of Bremen; UK Research &amp; Innovation (UKRI); Natural Environment Research Council (NERC); NERC British Antarctic Survey</t>
  </si>
  <si>
    <t>Lamping, N (corresponding author), Alten Hafen 26, D-27568 Bremerhaven, Germany.</t>
  </si>
  <si>
    <t>nele.lamping@awi.de; juliane.mueller@awi.de; oliver.esper@awi.de; hilc@bas.ac.uk; jaas@bas.ac.uk; gerhard.kuhn@awi.de</t>
  </si>
  <si>
    <t>10.1016/j.quascirev.2020.106260</t>
  </si>
  <si>
    <t>LD1KX</t>
  </si>
  <si>
    <t>WOS:000525791800011</t>
  </si>
  <si>
    <t>Palacios, D; Ruiz-Fernández, J; Oliva, M; Andrés, N; Fernández-Fernández, JM; Schimmelpfennig, I; Leanni, L; González-Díaz, B</t>
  </si>
  <si>
    <t>Palacios, David; Ruiz-Fernandez, Jesus; Oliva, Marc; Andres, Nuria; Fernandez-Fernandez, Jose M.; Schimmelpfennig, Irene; Leanni, Laetitia; Gonzalez-Diaz, Benjamin</t>
  </si>
  <si>
    <t>ASTER Team</t>
  </si>
  <si>
    <t>Timing of formation of neoglacial landforms in the South Shetland Islands (Antarctic Peninsula): Regional and global implications</t>
  </si>
  <si>
    <t>Antarctic peninsula; Byers peninsula; Neoglaciation; Surface exposure dating</t>
  </si>
  <si>
    <t>KING-GEORGE ISLAND; JAMES-ROSS-ISLAND; HOLOCENE GLACIER FLUCTUATIONS; ABRUPT CLIMATE-CHANGE; SEA-LEVEL CURVES; ICE-CORE RECORD; LIVINGSTON-ISLAND; BYERS PENINSULA; ACTIVE LAYER; BRANSFIELD BASIN</t>
  </si>
  <si>
    <t>The timing of neoglacial advances in the Antarctic Peninsula (AP) is not yet well constrained. Accurate temporal reconstruction of Neoglaciation in the AP is needed to better understand past glacial responses and regional and global teleconnections during the Holocene. Here, we examine all available information about neoglacial advances in the South Shetland Islands (SSI) as well as in the broader geographical context of the AP region and Antarctic continent. In order to shed light on the contrasting chronologies existing for neoglacial advances in these regions, we focused on a case study where a detailed picture of the Holocene deglaciation was already available. Lake sediments revealed that Byers Peninsula, west of Livingston Island (SSI), was fully deglaciated during the Holocene Thermal Maximum. To complement this approach, we identified glacially polished bedrock surfaces, erratic boulders and a moraine ridge near the present front of the glacier in the SE corner. We applied cosmogenic ray exposure (CRE) dating using in situ Cl-36 for basalt rocks and Be-10 for granitic rocks in: (i) 8 samples from glacial erratic and ice-rafted boulders, (ii) 2 samples from moraine boulders, (iii) 2 samples from polished bedrock surfaces, and (iv) 1 sample from an erratic boulder deposited on one of these surfaces. The CRE dates indicate that the onset of deglaciation started around 9.9 +/- 1.2 ka, with two phases of glacier expansion during the Mid-Late Holocene forming moraines at similar to 4.1 +/- 0.5 and similar to 1.0 +/- 0.2 ka, respectively. The main neoglacial advances in the AP and the SSI were mostly synchronous and coincided with cold periods, as shown by other records (e.g. glacio-isostatic marine terraces, marine and lake sediments). In addition, these periods of glacial expansion show a similar timing to those recorded in the Arctic. These results suggest that Neoglaciation was driven by global climate forcing in both polar areas despite temporal variations at regional and local scale. (C) 2020 Elsevier Ltd. All rights reserved.</t>
  </si>
  <si>
    <t>[Palacios, David; Andres, Nuria; Fernandez-Fernandez, Jose M.] Univ Complutense Madrid, Dept Geog, Madrid, Spain; [Ruiz-Fernandez, Jesus; Gonzalez-Diaz, Benjamin] Univ Oviedo, Dept Geog, Oviedo, Spain; [Oliva, Marc] Univ Barcelona, Dept Geog, Barcelona, Spain; [Schimmelpfennig, Irene; Leanni, Laetitia] Aix Marseille Univ, CNRS, CEREGE, INRAE,IRD,Coll France, Aix En Provence, France; [ASTER Team] Consortium Georges Aumaitre Didier Bourles, Karim Keddadouche, France</t>
  </si>
  <si>
    <t>Complutense University of Madrid; University of Oviedo; University of Barcelona; Institut de Recherche pour le Developpement (IRD); Aix-Marseille Universite; Universite PSL; College de France; Centre National de la Recherche Scientifique (CNRS); INRAE</t>
  </si>
  <si>
    <t>Palacios, D (corresponding author), Univ Complutense Madrid, Dept Geog, Madrid, Spain.</t>
  </si>
  <si>
    <t>davidp@ghis.ucm.es</t>
  </si>
  <si>
    <t>Oliva, Marc/K-5423-2014; Díaz, Benjamín/AAB-3457-2021; Fernández-Fernández, Jose M./H-5801-2017; PALACIOS, DAVID/H-3737-2015; Andres, Nuria/C-7146-2015</t>
  </si>
  <si>
    <t>Schimmelpfennig, Irene/0000-0001-8145-9160; Andres, Nuria/0000-0002-4362-1195</t>
  </si>
  <si>
    <t>Spanish Ministry of Economy and Competitiveness [CTM2016-77878-P, CGL2015-65813-R]; NUNANTAR (Fundacao para a Ciencia e a Tecnologia, Portugal) [02/SAICT/2017-32002]; project PALEOGREEN (Spanish Ministry of Economy and Competitiveness) [CTM2017-87976-P]; Portuguese Polar Program; INSU/CNRS; ANR; Ramon y Cajal Program [RYC-2015-17597]; Research Group ANTALP (Antarctic, Arctic, Alpine Environments) [2017-SGR-1102]</t>
  </si>
  <si>
    <t>Spanish Ministry of Economy and Competitiveness(Spanish Government); NUNANTAR (Fundacao para a Ciencia e a Tecnologia, Portugal); project PALEOGREEN (Spanish Ministry of Economy and Competitiveness); Portuguese Polar Program; INSU/CNRS(Centre National de la Recherche Scientifique (CNRS)); ANR(Agence Nationale de la Recherche (ANR)); Ramon y Cajal Program(Spanish Government); Research Group ANTALP (Antarctic, Arctic, Alpine Environments)</t>
  </si>
  <si>
    <t>This paper was supported by the projects CTM2016-77878-P and CGL2015-65813-R (Spanish Ministry of Economy and Competitiveness), and NUNANTAR (02/SAICT/2017-32002; Fundacao para a Ciencia e a Tecnologia, Portugal). It also complements the research topics examined in the project PALEOGREEN (CTM2017-87976-P; Spanish Ministry of Economy and Competitiveness). We also thank the Portuguese Polar Program for their support in organizing field logistics. The 10Be and 36Cl measurements were performed at the ASTER AMS national facility (CEREGE, Aix en Provence), which is supported by the INSU/CNRS and the ANR through the Projets th~ematiques d'excellence program for the Equipements d'excellence ASTER-CEREGE action and IRD. David Palacios thanks to the Institute of Alpine and Arctic Research, at the University of Colorado, the facilities provided to coordinate this work during his Fulbright Grant stay there in 2019. Marc Oliva is supported by the Ramon y Cajal Program (RYC-2015-17597) and the Research Group ANTALP (Antarctic, Arctic, Alpine Environments; 2017-SGR-1102). We thank Dr. Vincent Jomelli, Dr. JanHendrik May one anonymous reviewers for their valuable suggestions that have greatly improved the paper.</t>
  </si>
  <si>
    <t>10.1016/j.quascirev.2020.106248</t>
  </si>
  <si>
    <t>WOS:000525791800008</t>
  </si>
  <si>
    <t>Wu, Y; Li, TY; Yu, TL; Shen, CC; Chen, CJ; Zhang, J; Li, JY; Wang, T; Huang, R; Xiao, SY</t>
  </si>
  <si>
    <t>Wu, Yao; Li, Ting-Yong; Yu, Tsai-Luen; Shen, Chuan-Chou; Chen, Chao-Jun; Zhang, Jian; Li, Jun-Yun; Wang, Tao; Huang, Ran; Xiao, Si-Ya</t>
  </si>
  <si>
    <t>Variation of the Asian summer monsoon since the last glacial-interglacial recorded in a stalagmite from southwest China</t>
  </si>
  <si>
    <t>delta O-18 and delta C-13; Stalagmite; Southwest China; Last glacial-interglacial period; ASM; North-South Hemispheres; Local hydrological conditions</t>
  </si>
  <si>
    <t>STABLE-ISOTOPE VARIATIONS; OXYGEN ISOTOPES; ENVIRONMENTAL-CHANGES; CLIMATE OSCILLATIONS; LATE QUATERNARY; FURONG CAVE; HULU CAVE; VARIABILITY; SPELEOTHEMS; ICE</t>
  </si>
  <si>
    <t>A number of studies proposed a close link between the climate changes in the Asian summer monsoon (ASM), the Southern Hemisphere (SH), and high latitudes of the Northern Hemisphere (NH). But the mechanisms is still an open question. Although speleothems delta O-18 records have displayed excellent values in the reconstruction of paleoclimate change at centennial - millennial to orbital timescales, the significance of speleothems delta O-18 and delta C-13 is still debatable. Here, a high-precise Th-230 dated stalagmite from southwestern China was used to reconstruct the changes of ASM and regional hydrological conditions since the last interglacial (3.6-118.1 ka BP) by the coupled delta O-18 and delta C-13. We found: (1) The EASM and ISM are synchronous changing on the orbital timescale, responding to the change of North Hemisphere summer insolation (NHSI) and high latitude climate change. There is a teleconnection between Antarctic temperature change and ASM through the Mascarene High and the Somali Jet. (2) During MIS 5d, the stalagmite delta O-18 in Yangzi Cave is nearly 1.5% higher than that in MIS 2, the maximum of last glacial. This should be attributed to the different isotopic compositions in moisture source of ISM and EASM, and the dynamic changes of monsoon circulations. (3) From MIS 3 to MIS 2, the ASM showed a stepped pattern in weakening, consistent with the decreasing NHSI and increasing global ice volume. (4) The changes in stalagmite delta C-13 indicated the changes of local hydrological conditions and closely correlated with climate changes revealed by stalagmite delta O-18. The effective humidity, which determined by temperature, evaporation, and precipitation, dominated the regional hydrological conditions. The change of effective humidity recorded in stalagmite delta C-13 by influencing surface biomass and soil CO2-production. (C) 2020 Elsevier Ltd. All rights reserved.</t>
  </si>
  <si>
    <t>[Wu, Yao; Li, Ting-Yong; Chen, Chao-Jun; Zhang, Jian; Li, Jun-Yun; Wang, Tao; Huang, Ran; Xiao, Si-Ya] Yunnan Normal Univ, Coll Tourism &amp; Geog, Kunming 650050, Yunnan, Peoples R China; [Wu, Yao; Li, Ting-Yong; Chen, Chao-Jun; Zhang, Jian; Li, Jun-Yun; Wang, Tao; Huang, Ran; Xiao, Si-Ya] Southwest Univ, State Cultivat Base Ecoagr Southwest Mt Land, Chongqing 400715, Peoples R China; [Wu, Yao; Li, Ting-Yong; Chen, Chao-Jun; Zhang, Jian; Li, Jun-Yun; Wang, Tao; Huang, Ran; Xiao, Si-Ya] Southwest Univ, Sch Geog Sci, Chongqing Key Lab Karst Environm, Chongqing 400715, Peoples R China; [Yu, Tsai-Luen; Shen, Chuan-Chou] Natl Taiwan Univ, Dept Geosci, High Precis Mass Spectrometry &amp; Environm Change L, Taipei 10617, Taiwan; [Yu, Tsai-Luen; Shen, Chuan-Chou] Natl Taiwan Univ, Res Ctr Future Earth, Taipei 10617, Taiwan; [Shen, Chuan-Chou] Natl Taiwan Univ, Global Change Res Ctr, Taipei 10617, Taiwan</t>
  </si>
  <si>
    <t>Yunnan Normal University; Southwest University - China; Southwest University - China; National Taiwan University; National Taiwan University; National Taiwan University</t>
  </si>
  <si>
    <t>Li, TY (corresponding author), Yunnan Normal Univ, Coll Tourism &amp; Geog, Kunming 650050, Yunnan, Peoples R China.</t>
  </si>
  <si>
    <t>cdlty@swu.edu.cn</t>
  </si>
  <si>
    <t>Shen, Chuan-Chou/H-9642-2013; lin, ke/GZM-8300-2022; Shen, Chuan-Chou/JCE-1989-2023; Wu, Yao/HPE-4807-2023</t>
  </si>
  <si>
    <t>Shen, Chuan-Chou/0000-0003-2833-2771; Shen, Chuan-Chou/0000-0003-2833-2771; Wu, Yao/0000-0002-3865-4670; Wu, Yao/0009-0001-5577-0999; jian, zhang/0000-0003-2576-8270; Chen, Chao-Jun/0000-0001-7291-4061</t>
  </si>
  <si>
    <t>National Natural Science Foundation of China (NSFC) [41772170, 4191101278]; State Cultivation Base of Eco-agriculture for Southwest Mountainous Land, Southwest University, China [5330200076]; Fundamental Research Funds for the Central Universities, China [XDJK2017A010]; Science Vanguard Research Program of the Ministry of Science and Technology [108-2119-M-002-012]; National Taiwan University [105R7625]; Higher Education Sprout Project of the Ministry of Education [108L901001]</t>
  </si>
  <si>
    <t>National Natural Science Foundation of China (NSFC)(National Natural Science Foundation of China (NSFC)); State Cultivation Base of Eco-agriculture for Southwest Mountainous Land, Southwest University, China; Fundamental Research Funds for the Central Universities, China(Fundamental Research Funds for the Central Universities); Science Vanguard Research Program of the Ministry of Science and Technology; National Taiwan University(National Taiwan University); Higher Education Sprout Project of the Ministry of Education</t>
  </si>
  <si>
    <t>This research was supported by National Natural Science Foundation of China (NSFC, No. 41772170, 4191101278), the State Cultivation Base of Eco-agriculture for Southwest Mountainous Land, Southwest University, China (No. 5330200076), and the Fundamental Research Funds for the Central Universities, China (No. XDJK2017A010) to T.-Y Li.; UeTh dating was supported by the Science Vanguard Research Program of the Ministry of Science and Technology (108-2119-M-002-012 to C.-C.S.), the National Taiwan University (105R7625 to C.-C.S.), and the Higher Education Sprout Project of the Ministry of Education (108L901001 to C.-C.S.). Professor Ian. J. Fairchild, University of Birmingham, U.K., is greatly appreciated for improving the science of this MS and polishing the MS thoroughly. Great thanks to Editor Dr. Ana Moreno and two anonymous reviewers for their comments and suggestions.</t>
  </si>
  <si>
    <t>10.1016/j.quascirev.2020.106261</t>
  </si>
  <si>
    <t>WOS:000525791800012</t>
  </si>
  <si>
    <t>Roszkowska, M; Grobys, D; Bartylak, T; Gawlak, M; Kmita, H; Kepel, A; Kepel, M; Parnikoza, I; Kaczmarek, L</t>
  </si>
  <si>
    <t>Roszkowska, Milena; Grobys, Daria; Bartylak, Tomasz; Gawlak, Magdalena; Kmita, Hanna; Kepel, Andrzej; Kepel, Marta; Parnikoza, Ivan; Kaczmarek, Lukasz</t>
  </si>
  <si>
    <t>Integrative description of five Pseudechiniscus species (Heterotardigrada: Echiniscidae: the suillus-facettalis complex)</t>
  </si>
  <si>
    <t>Pseudechiniscus angelusalas sp. nov.; Pseudechiniscus dastychi sp. nov.; Pseudechiniscus ehrenbergi sp. nov.; Pseudechiniscus indistinctus sp. nov.; Pseudechiniscus lacyformis sp. nov.; Tardigrada</t>
  </si>
  <si>
    <t>TARDIGRADA; GENERA; DOYERE</t>
  </si>
  <si>
    <t>Pseudechiniscus is a morphologically homogeneous heterotardigrade genus with a relatively low number of morphological features useful for the species discrimination. The species of the Pseudechiniscus suillus-facettalis complex are some of the most challenging tardigrades to identify. Here, we examine several populations from Antarctica, Italy, Madagascar and Norway that would have most likely been attributed to Pse. suillus prior to the recent redescription of the species. Populations were analysed using integrative taxonomy-a combination of classical morphology and morphometry, as well as genetic data. Besides minute differences in dorsal sculpture and morphometry, we found clear, species-specific differences in ventral sculpture which are very useful in discrimination of Pseudechiniscus species. Based on morphology (mainly ventral sculpture) and significant genetic distances in COI and ITS-2 sequences, we describe five new species: Pse. angelusalas sp. nov. from Madagascar, Pse. dastychi sp. nov. from Antarctica, Pse. ehrenbergi sp. nov. from Italy as well as Pse. indistinctus sp. nov. and Pse. lacyformis sp. nov. from Norway. Finally, we provide an updated phylogenetic tree of the genus Pseudechiniscus based on COI sequences.</t>
  </si>
  <si>
    <t>[Roszkowska, Milena; Grobys, Daria; Bartylak, Tomasz; Kmita, Hanna] Adam Mickiewicz Univ, Dept Bioenerget, Fac Biol, Uniwersytetu Poznanskiego 6, PL-61614 Poznan, Poland; [Roszkowska, Milena; Kaczmarek, Lukasz] Adam Mickiewicz Univ, Dept Anim Taxon &amp; Ecol, Fac Biol, Uniwersytetu Poznanskiego 6, PL-61614 Poznan, Poland; [Gawlak, Magdalena] Natl Res Inst, Inst Plant Protect, Wegorka 20, PL-60318 Poznan, Poland; [Kepel, Andrzej; Kepel, Marta] Polish Soc Nat Conservat Salamandra, Stolarska 7-3, PL-60788 Poznan, Poland; [Parnikoza, Ivan] Natl Antarctic Sci Ctr Ukraine, Blvd Tarasa Shevchenka 16, UA-01601 Kiev, Ukraine; [Parnikoza, Ivan] Natl Acad Sci Ukraine, Inst Mol Biol &amp; Genet, Kiev, Ukraine</t>
  </si>
  <si>
    <t>Adam Mickiewicz University; Adam Mickiewicz University; Ministry of Education &amp; Science of Ukraine; State Institution National Antarctic Scientific Center; National Academy of Sciences Ukraine; Institute of Molecular Biology &amp; Genetics of NASU</t>
  </si>
  <si>
    <t>Roszkowska, M (corresponding author), Adam Mickiewicz Univ, Dept Bioenerget, Fac Biol, Uniwersytetu Poznanskiego 6, PL-61614 Poznan, Poland.;Roszkowska, M (corresponding author), Adam Mickiewicz Univ, Dept Anim Taxon &amp; Ecol, Fac Biol, Uniwersytetu Poznanskiego 6, PL-61614 Poznan, Poland.</t>
  </si>
  <si>
    <t>mil.roszkowska@gmail.com</t>
  </si>
  <si>
    <t>Parnikoza, Ivan/I-2398-2016; Kepel, Andrzej/ABH-6059-2020</t>
  </si>
  <si>
    <t>Kmita, Hanna/0000-0001-5018-5224; Wojciechowska, Daria/0000-0003-1587-9153; Roszkowska, Milena/0000-0003-1640-8142</t>
  </si>
  <si>
    <t>Norwegian Biodiversity Information Centre through the Norwegian Taxonomy Initiative [70184237]</t>
  </si>
  <si>
    <t>Norwegian Biodiversity Information Centre through the Norwegian Taxonomy Initiative</t>
  </si>
  <si>
    <t>Some of the specimens used in this study were obtained thanks to the project Tardigrades in Norwegian Forests funded by the Norwegian Biodiversity Information Centre through a grant to Torbjorn Ekrem from the Norwegian Taxonomy Initiative (70184237).</t>
  </si>
  <si>
    <t>10.11646/zootaxa.4763.4.1</t>
  </si>
  <si>
    <t>LD3UK</t>
  </si>
  <si>
    <t>WOS:000525957600001</t>
  </si>
  <si>
    <t>Mellin, C; Peterson, EE; Puotinen, M; Schaffelke, B</t>
  </si>
  <si>
    <t>Mellin, C.; Peterson, E. E.; Puotinen, M.; Schaffelke, B.</t>
  </si>
  <si>
    <t>Representation and complementarity of the long-term coral monitoring on the Great Barrier Reef</t>
  </si>
  <si>
    <t>ECOLOGICAL APPLICATIONS</t>
  </si>
  <si>
    <t>adaptive management; decision-making; disturbance; ecosystem dynamics; indicators; sampling; survey design</t>
  </si>
  <si>
    <t>SPECIES RICHNESS; CONSERVATION; RESILIENCE; PREDICTORS; MANAGEMENT; ABUNDANCE; PROTECT; COVER</t>
  </si>
  <si>
    <t>Effective environmental management hinges on efficient and targeted monitoring, which in turn should adapt to increasing disturbance regimes that now characterize most ecosystems. Habitats and biodiversity of Australia's Great Barrier Reef (GBR), the world's largest coral reef ecosystem, are in declining condition, prompting a review of the effectiveness of existing coral monitoring programs. Applying a regional model of coral cover (i.e., the most widely used proxy for coral reef condition globally) within major benthic communities, we assess the representation and complementarity of existing long-term coral reef monitoring programs on the GBR. We show that existing monitoring has captured up to 45% of the environmental diversity on the GBR, while some geographic areas (including major hotspots of cyclone activity over the last 30 yr) have remained unmonitored. Further, we identified complementary groups of reefs characterized by similar benthic community composition and similar coral cover trajectories since 1996. The mosaic of their distribution across the GBR reflects spatial variation in the cumulative impact of multiple acute disturbances, as well as spatial gradients in coral recovery potential. Representation and complementarity, in combination with other performance assessment criteria, can inform the cost-effective design and stratification of future surveys. Based on these results, we formulate recommendations to assist with the design of future long-term coral reef monitoring programs.</t>
  </si>
  <si>
    <t>[Mellin, C.] Univ Tasmania, Inst Marine &amp; Antarctic Studies, 15-21 Nubeena Cres, Taroona, Tas 7053, Australia; [Mellin, C.; Schaffelke, B.] Australian Inst Marine Sci, Townsville MC, PMB 3, Townsville, Qld 4810, Australia; [Mellin, C.] Univ Adelaide, Environm Inst, Adelaide, SA, Australia; [Mellin, C.] Univ Adelaide, Sch Biol Sci, Adelaide, SA, Australia; [Peterson, E. E.] Queensland Univ Technol, Inst Future Environm, 2 George St, Brisbane, Qld 4000, Australia; [Peterson, E. E.] Australian Res Council Ctr Excellence Math &amp; Stat, 2 George St, Brisbane, Qld 4000, Australia; [Peterson, E. E.] Queensland Univ Technol, Sch Math Sci, 2 George St, Brisbane, Qld 4000, Australia; [Puotinen, M.] Univ Western Australia, Indian Ocean Marine Res Ctr, Australian Inst Marine Sci, Crawley, WA 6009, Australia</t>
  </si>
  <si>
    <t>University of Tasmania; Australian Institute of Marine Science; University of Adelaide; University of Adelaide; Queensland University of Technology (QUT); Queensland University of Technology (QUT); University of Western Australia; Australian Institute of Marine Science</t>
  </si>
  <si>
    <t>Mellin, C (corresponding author), Univ Tasmania, Inst Marine &amp; Antarctic Studies, 15-21 Nubeena Cres, Taroona, Tas 7053, Australia.;Mellin, C (corresponding author), Australian Inst Marine Sci, Townsville MC, PMB 3, Townsville, Qld 4810, Australia.;Mellin, C (corresponding author), Univ Adelaide, Environm Inst, Adelaide, SA, Australia.;Mellin, C (corresponding author), Univ Adelaide, Sch Biol Sci, Adelaide, SA, Australia.</t>
  </si>
  <si>
    <t>camille.mellin@adelaide.edu.au</t>
  </si>
  <si>
    <t>Schaffelke, Britta/0000-0002-8487-0147; Puotinen, Marji/0000-0002-1383-697X; Mellin, Camille/0000-0002-7369-2349</t>
  </si>
  <si>
    <t>ARC grant [DE140100701]; Great Barrier Reef Marine Park Authority as part of the RIMReP design phase; Australian Research Council [DE140100701] Funding Source: Australian Research Council</t>
  </si>
  <si>
    <t>ARC grant(Australian Research Council); Great Barrier Reef Marine Park Authority as part of the RIMReP design phase; Australian Research Council(Australian Research Council)</t>
  </si>
  <si>
    <t>We thank members of the AIMS long-term coral reef monitoring teams that have contributed to collection of the data; and K. Anthony, A. Thompson, P. Menendez, and two anonymous reviewers for helpful comments. C. Mellin was funded by an ARC grant (DE140100701), and by the Great Barrier Reef Marine Park Authority as part of the RIMReP design phase. The authors have no conflict of interest to declare.</t>
  </si>
  <si>
    <t>1051-0761</t>
  </si>
  <si>
    <t>1939-5582</t>
  </si>
  <si>
    <t>ECOL APPL</t>
  </si>
  <si>
    <t>Ecol. Appl.</t>
  </si>
  <si>
    <t>10.1002/eap.2122</t>
  </si>
  <si>
    <t>NK8QN</t>
  </si>
  <si>
    <t>WOS:000525804800001</t>
  </si>
  <si>
    <t>Rizkallah, MR; Frickenhaus, S; Trimborn, S; Harms, L; Moustafa, A; Benes, V; Gäbler-Schwarz, S; Beszteri, S</t>
  </si>
  <si>
    <t>Rizkallah, Mariam R.; Frickenhaus, Stephan; Trimborn, Scarlett; Harms, Lars; Moustafa, Ahmed; Benes, Vladimir; Gaebler-Schwarz, Steffi; Beszteri, Sara</t>
  </si>
  <si>
    <t>Deciphering Patterns of Adaptation and Acclimation in the Transcriptome of Phaeocystis antarctica to Changing Iron Conditions1</t>
  </si>
  <si>
    <t>Antarctic regions; haptophyta; iron; photosynthesis; phytoplankton; transcriptome</t>
  </si>
  <si>
    <t>SOUTHERN-OCEAN PHYTOPLANKTON; PHAEODACTYLUM-TRICORNUTUM; MARINE-PHYTOPLANKTON; R-PACKAGE; ECOLOGY; BIOGEOCHEMISTRY; LIMITATION; GROWTH; MECHANISMS; GENOME</t>
  </si>
  <si>
    <t>The haptophyte Phaeocystis antarctica is endemic to the Southern Ocean, where iron supply is sporadic and its availability limits primary production. In iron fertilization experiments, P. antarctica showed a prompt and steady increase in cell abundance compared to heavily silicified diatoms along with enhanced colony formation. Here we utilized a transcriptomic approach to investigate molecular responses to alleviation of iron limitation in P. antarctica. We analyzed the transcriptomic response before and after (14 h, 24 h and 72 h) iron addition to a low-iron acclimated culture. After iron addition, we observed indicators of a quick reorganization of cellular energetics, from carbohydrate catabolism and mitochondrial energy production to anabolism. In addition to typical substitution responses from an iron-economic toward an iron-sufficient state for flavodoxin (ferredoxin) and plastocyanin (cytochrome c(6)), we found other genes utilizing the same strategy involved in nitrogen assimilation and fatty acid desaturation. Our results shed light on a number of adaptive mechanisms that P. antarctica uses under low iron, including the utilization of a Cu-dependent ferric reductase system and indication of mixotrophic growth. The gene expression patterns underpin P. antarctica as a quick responder to iron addition.</t>
  </si>
  <si>
    <t>[Rizkallah, Mariam R.] Jacobs Univ Bremen, Campus Ring 1, D-28759 Bremen, Germany; [Frickenhaus, Stephan; Trimborn, Scarlett; Harms, Lars; Gaebler-Schwarz, Steffi; Beszteri, Sara] Alfred Wegener Inst Polar &amp; Marine Res, Handelshafen 12, D-27570 Bremerhaven, Germany; [Frickenhaus, Stephan] Univ Bremen, Ctr Ind Math, Bibliothekstr 1,28359 Postfach 330440, D-28334 Bremen, Germany; [Trimborn, Scarlett] Univ Bremen, Dept Marine Bot, Bibliothekstr 1,28359 Postfach 330440, D-28334 Bremen, Germany; [Harms, Lars] Carl von Ossietzky Univ Oldenburg, HIFMB, Ammerlander Herrstr 231, D-26129 Oldenburg, Germany; [Moustafa, Ahmed] Amer Univ Cairo, Dept Biol, POB 74, Cairo 11835, Egypt; [Benes, Vladimir] European Mol Biol Lab, Meyerhofstr 1, D-69117 Heidelberg, Germany; [Beszteri, Sara] Univ Duisberg Essen, Dept Biodivers, D-45117 Essen, Germany</t>
  </si>
  <si>
    <t>Jacobs University; Helmholtz Association; Alfred Wegener Institute, Helmholtz Centre for Polar &amp; Marine Research; University of Bremen; University of Bremen; Carl von Ossietzky Universitat Oldenburg; Egyptian Knowledge Bank (EKB); American University Cairo; European Molecular Biology Laboratory (EMBL); University of Duisburg Essen</t>
  </si>
  <si>
    <t>Rizkallah, MR (corresponding author), Jacobs Univ Bremen, Campus Ring 1, D-28759 Bremen, Germany.;Beszteri, S (corresponding author), Alfred Wegener Inst Polar &amp; Marine Res, Handelshafen 12, D-27570 Bremerhaven, Germany.</t>
  </si>
  <si>
    <t>m.rizkallah@jacobs-university.de; sara.beszteri@uni-due.de</t>
  </si>
  <si>
    <t>Trimborn, Scarlett/AAM-1061-2021; Benes, Vladimir/M-4755-2017</t>
  </si>
  <si>
    <t>Trimborn, Scarlett/0000-0003-1434-9927; Rizkallah, Mariam R./0000-0001-7341-0447; Harms, Lars/0000-0001-7620-0613</t>
  </si>
  <si>
    <t>Deutsche Forschungsgemeinschaft (DFG) [BE5105/1-1]; DFG [131153660]; Helmholtz association [VHNG-901]; Al Alfi Foundation for Human and Social Development</t>
  </si>
  <si>
    <t>Deutsche Forschungsgemeinschaft (DFG)(German Research Foundation (DFG)); DFG(German Research Foundation (DFG)); Helmholtz association(Helmholtz Association); Al Alfi Foundation for Human and Social Development</t>
  </si>
  <si>
    <t>This work was supported by the Deutsche Forschungsgemeinschaft (DFG) in the framework of the priority program Antarctic Research with comparative investigations in Arctic ice areas by a grant BE5105/1-1 granted to SB, and by a DFG grant (131153660) to SG. ST was funded by the Helmholtz association (Young Investigator Group EcoTrace, VHNG-901). MRR was funded by Al Alfi Foundation for Human and Social Development. We thank Dieter Wolf-Gladrow, Christine Klaas, Katja Metfies, Klaus Valentin, and Susana C. Vazquez for their valuable input to the study and manuscript.</t>
  </si>
  <si>
    <t>10.1111/jpy.12979</t>
  </si>
  <si>
    <t>LX4ST</t>
  </si>
  <si>
    <t>WOS:000525781800001</t>
  </si>
  <si>
    <t>Tracey, SR; Hartmann, K; McAllister, J; Lyle, JM</t>
  </si>
  <si>
    <t>Tracey, Sean R.; Hartmann, Klaas; McAllister, Jaime; Lyle, Jeremy M.</t>
  </si>
  <si>
    <t>Home range, site fidelity and synchronous migrations of three co-occurring, morphologically distinct estuarine fish species</t>
  </si>
  <si>
    <t>Acoustic telemetry; Recreational fishing; Acanthopagrus butcheri; Platycephalus bassensis; Salmo trutta; Bayesian state-space model</t>
  </si>
  <si>
    <t>BROWN TROUT; SAND FLATHEAD; PLATYCEPHALUS-BASSENSIS; RESIDENT FISH; ULTRASONIC TELEMETRY; RESTRICTED MOVEMENT; MARINE RESERVE; RAINBOW-TROUT; ECOLOGY; RICHARDSON</t>
  </si>
  <si>
    <t>Determining the movement behaviours of animals is essential for understanding population dynamics. This is fundamental for developing effective spatial management strategies and in assessing the response of species to anthropogenic disturbance. This study uses a Bayesian state-space model applied to acoustic transmitter data to describe the temporal and spatial movement patterns of three estuarine fish species commonly targeted by recreational anglers in southeast Australia: Black Bream (Acanthopagrus butcheri), Sand Flathead (Platycephalus bassensis), and Brown Trout (Salmo trutta). Despite morphological differences between the three species, several common traits were observed in their movement and behaviour. Of the 50 individuals across all three species that were tracked, the vast majority remained within the estuary where they were tagged for the duration of the study. While the home ranges of the three species differed in size, all individuals remained resident around the mid-estuary where the majority of fish were tagged were released. Each of the species also displayed seasonal migrations, presumably linked to spawning. The timing of the beginning of these migrations was well synchronised both within and among species, starting in late spring/early summer. This suggests that environmental factors such as water temperature and day length may play an important role in cueing spawning behaviour for each of the species. These migratory behaviours suggest adverse changes to estuarine conditions such as reduced river flows may have potential consequences for spawning success for some species and hence implications for fisheries management. (C) 2020 Elsevier B.V. All rights reserved.</t>
  </si>
  <si>
    <t>[Tracey, Sean R.; Hartmann, Klaas; McAllister, Jaime; Lyle, Jeremy M.] Univ Tasmania, Inst Marine &amp; Antarctic Studies, Private Bag 49, Hobart, Tas 7001, Australia</t>
  </si>
  <si>
    <t>Tracey, SR (corresponding author), Univ Tasmania, Inst Marine &amp; Antarctic Studies, Private Bag 49, Hobart, Tas 7001, Australia.</t>
  </si>
  <si>
    <t>Sean.Tracey@utas.edu.au</t>
  </si>
  <si>
    <t>Hartmann, Klaas/B-3991-2008; Lyle, Jeremy M/J-7170-2014; Tracey, Sean/J-7446-2014</t>
  </si>
  <si>
    <t>Tracey, Sean/0000-0002-6735-5899</t>
  </si>
  <si>
    <t>Fishwise Community Grants Scheme [CG2007/087]; Inland Fisheries Service</t>
  </si>
  <si>
    <t>Fishwise Community Grants Scheme; Inland Fisheries Service</t>
  </si>
  <si>
    <t>Funding for this project was provided by the Fishwise Community Grants Scheme administered by the Tasmanian Department of Primary Industries, Parks, Water and Environment (Grant No. CG2007/087) and the Inland Fisheries Service.</t>
  </si>
  <si>
    <t>10.1016/j.scitotenv.2020.136629</t>
  </si>
  <si>
    <t>KN0QX</t>
  </si>
  <si>
    <t>WOS:000514544700067</t>
  </si>
  <si>
    <t>Gibson, SA; Rooks, EE; Day, JA; Petrone, CM; Leat, PT</t>
  </si>
  <si>
    <t>Gibson, Sally A.; Rooks, Eve E.; Day, Jason A.; Petrone, Chiara M.; Leat, Phillip T.</t>
  </si>
  <si>
    <t>The role of sub-continental mantle as both sink and source in deep Earth volatile cycles</t>
  </si>
  <si>
    <t>Mantle; Volatiles; Global volatile cycles; Pyroxenite; Peridotite</t>
  </si>
  <si>
    <t>NOMINALLY ANHYDROUS MINERALS; MIDOCEAN RIDGE BASALTS; HOSTED MELT INCLUSIONS; LITHOSPHERIC MANTLE; PERIDOTITE XENOLITHS; WATER CONTENTS; VOLCANIC FIELD; TRACE-ELEMENTS; ORTHO-PYROXENE; ISOTOPIC COMPOSITION</t>
  </si>
  <si>
    <t>The extent to which Earth's sub-continental lithospheric mantle modulates the flux of volatile elements from our planet's deep interior to its atmosphere (via volcanism) is poorly constrained. Here, we focus on off-craton sub-continental lithospheric mantle because this long-lived reservoir potentially acts as both a volatile sink and source during major heating and rifting events. The sub-continental lithospheric mantle is primarily formed of peridotites with subordinate amounts of pyroxenites. While both lithologies are dominated by nominally-volatile-free mantle minerals, some of these phases have been shown to contain non-negligible amounts of H2O (e.g. 100's of ppmw in clinopyroxene). Data for volatile elements other than Li are, however, limited. We present new, high-precision, in-situ Secondary Ion Mass Spectrometry analyses of H, F, Cl, Li and B in olivine and pyroxenes from well-characterised garnet- and spinel-bearing peridotites and pyroxenites (from southern Patagonia and the Antarctic Peninsula). Our study confirms that clinopyroxene is the main host of H2O and F. The maximum F contents we report (up to 154 ppmw) are higher than those in previous studies and occur in Ti-Cr diopsides in highly-metasomatised peridotites and Ti-Al augites from clinopyroxenite veins. Water contents of clinopyroxenes (up to 615 ppmw) are within the range previously published for continental mantle. Lithium concentrations are low (&lt;5 ppmw) in all analysed phases and both Cl and B are below detection levels (14 ppmw and 0.03 ppmw, respectively). Unique to our study is the large variation in major- and trace-element concentrations of the clinopyroxenes, which allows us to place quantitative constraints on how volatiles are stored in the mantle. We demonstrate that: (i) F contents of clinopyroxenes closely correlate with Ti and (ii) D-H(Cpx-Opx) and D-F(Cpx-Opx) is systematic and inversely correlated with temperature. Despite the redistribution of volatiles during sub-solidus re-equilibration, we show that the first order control on the concentration of volatiles in clinopyroxene is the style of metasomatism, i.e. channellised flow versus reactive percolation. The mean bulk volatile contents of peridotites from Pali Aike and the Antarctic Peninsula (H2O = 89 +/- 31 ppmw, F = 16 +/- 11.2 ppmw and Li = 2 +/- 0.7 ppmw) are within the range previously published for continental off-craton mantle. The pyroxenites have significantly higher mean bulk concentrations of H2O (260 +/- 59 ppmw), F (86 +/- 43 ppmw) and Li (1.0 +/- 0.35 ppmw). While the greater capacity of mantle pyroxenites to host H2O relative to the associated peridotites has previously been observed in global off-craton mantle xenolith suites (e.g. Oahu, Hawaii; eastern China and the Rio Grande Rift, SW USA), here we show for the first time that pyroxenites are also major hosts of F (but not Cl, Li or B). Because of their relatively low solidus temperatures, pyroxenites in off-craton settings will be readily re-mobilised during lithospheric extension (and heating). We suggest these pyroxene-rich mantle lithologies may be responsible for the elevated concentrations of H2O and F observed in basalts and volcanic gasses from major continental rift zones and flood basalt provinces, and hence an important consideration in models of global volatile cycles. (C) 2020 Elsevier Ltd. All rights reserved.</t>
  </si>
  <si>
    <t>[Gibson, Sally A.; Rooks, Eve E.; Day, Jason A.] Univ Cambridge, Dept Earth Sci, Cambridge CB2 3EQ, England; [Petrone, Chiara M.] Nat Hist Museum, Dept Earth Sci, Cromwell Rd, London SW7 5BD, England; [Leat, Phillip T.] Univ Leicester, Sch Geog Geol &amp; Environm, Univ Rd, Leicester LE1 7RH, Leics, England</t>
  </si>
  <si>
    <t>University of Cambridge; Natural History Museum London; University of Leicester</t>
  </si>
  <si>
    <t>Gibson, SA (corresponding author), Univ Cambridge, Dept Earth Sci, Cambridge CB2 3EQ, England.</t>
  </si>
  <si>
    <t>sally@esc.cam.ac.uk</t>
  </si>
  <si>
    <t>Petrone, Chiara Maria/B-6103-2015; EIMF, EIMF/AAD-8512-2020</t>
  </si>
  <si>
    <t>Petrone, Chiara Maria/0000-0002-4492-9183; EIMF, EIMF/0000-0001-6248-6657; Gibson, Sally/0000-0002-4835-2908</t>
  </si>
  <si>
    <t>NERC [NE/G523404/1, NE/K500884/1]</t>
  </si>
  <si>
    <t>We thank the British Antarctic Survey (Cambridge, UK) and Natural History Museum (London, UK) for allowing access to their collections of mantle xenoliths from the Antarctic Peninsula and southern Patagonia, respectively. Iris Buisman provided assistance with electron microprobe analyses in the Department of Earth Sciences at the University of Cambridge. Analysis of volatiles in mantle phases was undertaken at the University of Edinburgh Ion Microprobe Facility (IMF533/0514) with technical support from CJ de Hoog. We thank M.A. Carpenter, T.B. Holland, C.G. Jackson and J.C Crosby for stimulating discussions on the capability of mantle minerals to sequester volatiles. We are also grateful to B. Urann and two anonymous reviewers for their constructive comments on an earlier draft of the manuscript. MRes and PhD Research at the University of Cambridge on mantle xenoliths from the Antarctic Peninsula was undertaken by AJ Ross and L. Gibson (NERC grant NE/G523404/1) and on southern Patagonia and the Antarctic Peninsula by E. Rooks (NERC grant NE/K500884/1).</t>
  </si>
  <si>
    <t>10.1016/j.gca.2020.02.018</t>
  </si>
  <si>
    <t>KU9CC</t>
  </si>
  <si>
    <t>WOS:000520018300009</t>
  </si>
  <si>
    <t>Nowak, B; Speare, D; Powell, M</t>
  </si>
  <si>
    <t>Nowak, Barbara; Speare, David; Powell, Mark</t>
  </si>
  <si>
    <t>Introduction to the Invited Review Series initiative of the Journal of Fish Diseases: Health Management of Zebrafish in Research Facilities</t>
  </si>
  <si>
    <t>[Nowak, Barbara] Univ Tasmania, Inst Marine &amp; Antarctic Studies, Launceston, Tas, Australia; [Speare, David] Univ Prince Edward Isl, Atlantic Vet Coll, Dept Pathol &amp; Microbiol, Charlottetown, PE, Canada; [Powell, Mark] Univ Bergen, Marineholmen RASLab AS, Bergen, Norway</t>
  </si>
  <si>
    <t>University of Tasmania; University of Prince Edward Island; University of Bergen</t>
  </si>
  <si>
    <t>Nowak, B (corresponding author), Univ Tasmania, Inst Marine &amp; Antarctic Studies, Launceston, Tas, Australia.</t>
  </si>
  <si>
    <t>Nowak, Barbara/J-7261-2014</t>
  </si>
  <si>
    <t>10.1111/jfd.13157</t>
  </si>
  <si>
    <t>LQ6TU</t>
  </si>
  <si>
    <t>WOS:000525815500001</t>
  </si>
  <si>
    <t>Gribben, PE; Poore, AGB; Thomsen, MS; Quesey, P; Weschke, E; Wright, JT</t>
  </si>
  <si>
    <t>Gribben, Paul E.; Poore, Alistair G. B.; Thomsen, Mads S.; Quesey, Phoebe; Weschke, Emma; Wright, Jeffrey T.</t>
  </si>
  <si>
    <t>Habitat provided by native species facilitates higher abundances of an invader in its introduced compared to native range</t>
  </si>
  <si>
    <t>INVASIVE CRAB; SOIL BIOTA; ECOSYSTEM ENGINEER; PLANT INVASIONS; IMPACTS; RELEASE; MARINE; BIODIVERSITY; RECRUITMENT; ORGANISMS</t>
  </si>
  <si>
    <t>The impacts invasive species have on biodiversity and ecosystem function globally have been linked to the higher abundances they often obtain in their introduced compared to native ranges. Higher abundances of invaders in the introduced range are often explained by a reduction in negative species interactions in that range, although results are equivocal. The role of positive interactions in explaining differences in the abundance of invaders between native and invasive ranges has not been tested. Using biogeographic surveys, we showed that the rocky shore porcelain crab, Petrolisthes elongatus, was similar to 4 times more abundant in its introduced (Tasmania, Australia) compared to its native (New Zealand) range. The habitat of these crabs in the invaded range (underside of intertidal boulders) was extensively covered with the habitat-forming tubeworm Galeolaria caespitosa. We tested whether the habitat provided by the tubeworm facilitates a higher abundance of the invasive crab by creating mimics of boulders with and without the tubeworm physical structure and measured crab colonisation into these habitats at three sites in both Tasmania and New Zealand. Adding the tubeworm structure increased crab abundance by an average of 85% across all sites in both ranges. Our intercontinental biogeographic survey and experiment demonstrate that native species can facilitate invader abundance and that positive interactions can be important drivers of invasion success.</t>
  </si>
  <si>
    <t>[Gribben, Paul E.; Quesey, Phoebe; Weschke, Emma] Univ New South Wales, Sch Biol Earth &amp; Environm Sci, Ctr Marine Sci &amp; Innovat, Sydney, NSW 2052, Australia; [Gribben, Paul E.] Sydney Inst Marine Sci, 19 Chowder Bay Rd, Mosman, NSW 2088, Australia; [Poore, Alistair G. B.] Univ New South Wales, Sch Biol Earth &amp; Environm Sci, Evolut &amp; Ecol Res Ctr, Sydney, NSW 2052, Australia; [Thomsen, Mads S.] Univ Canterbury, Sch Biol Sci, Marine Ecol Res Grp, Christchurch, New Zealand; [Thomsen, Mads S.] Univ Canterbury, Sch Biol Sci, Ctr Integrat Ecol, Christchurch, New Zealand; [Wright, Jeffrey T.] Univ Tasmania, Inst Marine &amp; Antarctic Studies, Private Bag 129, Hobart, Tas 7001, Australia</t>
  </si>
  <si>
    <t>University of New South Wales Sydney; Sydney Institute of Marine Science; University of New South Wales Sydney; University of Canterbury; University of Canterbury; University of Tasmania</t>
  </si>
  <si>
    <t>Gribben, PE (corresponding author), Univ New South Wales, Sch Biol Earth &amp; Environm Sci, Ctr Marine Sci &amp; Innovat, Sydney, NSW 2052, Australia.;Gribben, PE (corresponding author), Sydney Inst Marine Sci, 19 Chowder Bay Rd, Mosman, NSW 2088, Australia.</t>
  </si>
  <si>
    <t>p.gribben@unsw.edu.au</t>
  </si>
  <si>
    <t>Thomsen, Mads/B-1204-2011; Poore, Alistair/C-2934-2008; Wright, Jeffrey/J-7536-2014</t>
  </si>
  <si>
    <t>Poore, Alistair/0000-0002-3560-3659; Thomsen, Mads/0000-0003-4597-3343; Wright, Jeffrey/0000-0002-1085-4582</t>
  </si>
  <si>
    <t>Australian Research Council Future Fellowships [FT140100322]; Marsden Fund of The Royal Society of New Zealand [13-UOC-106]</t>
  </si>
  <si>
    <t>Australian Research Council Future Fellowships(Australian Research Council); Marsden Fund of The Royal Society of New Zealand(Royal Society of New ZealandMarsden Fund (NZ))</t>
  </si>
  <si>
    <t>The work was supported by the Australian Research Council Future Fellowships to PEG (FT140100322). The authors thank Prof. Robert Poulin from Otago University for providing lab space. They also thank Aly Ross and Simone Wong for helping with field work in Tasmania and New Zealand. Troy Myers (Palaeontology, Geobiology and Earth Archives Research Centre, UNSW) and Callum Price assisted with the production of moulds. M.S.T. was funded by the Marsden Fund of The Royal Society of New Zealand (13-UOC-106).</t>
  </si>
  <si>
    <t>APR 14</t>
  </si>
  <si>
    <t>10.1038/s41598-020-63429-2</t>
  </si>
  <si>
    <t>ND8OT</t>
  </si>
  <si>
    <t>WOS:000562162800063</t>
  </si>
  <si>
    <t>Pongpiachan, S; Surapipith, V; Hashmi, MZ; Latif, M; Sohail, M; Eqani, SAMAS; Charoenkalunyuta, T; Promdee, K</t>
  </si>
  <si>
    <t>Pongpiachan, Siwatt; Surapipith, Vanisa; Hashmi, Muhammad Zaffar; Latif, Muhammad; Sohail, Muhammad; Eqani, Syed Ali Musstjab Akber Shah; Charoenkalunyuta, Teetat; Promdee, Kittiphop</t>
  </si>
  <si>
    <t>Latitudinal Transects and Quantitative Ecological Risk Assessments of Polycyclic Aromatic Hydrocarbons in Terrestrial Soils of Pakistan and King George Island, Antarctica</t>
  </si>
  <si>
    <t>POLYCYCLIC AROMATIC COMPOUNDS</t>
  </si>
  <si>
    <t>Antarctica; King George Island; latitudinal and longitudinal transect; Pakistan; Polycyclic aromatic hydrocarbons (PAHs); terrestrial soils</t>
  </si>
  <si>
    <t>POSITIVE MATRIX FACTORIZATION; FRASER-RIVER BASIN; SOURCE APPORTIONMENT; POLYCHLORINATED-BIPHENYLS; SOURCE IDENTIFICATION; SPATIAL-DISTRIBUTION; MOLECULAR MARKERS; CONTAMINATED SOIL; HUMAN EXPOSURE; COASTAL AREAS</t>
  </si>
  <si>
    <t>Polycyclic aromatic hydrocarbons (PAHs) were carefully analyzed from terrestrial soils collected at numerous sites in Pakistan and King George Island (sub-Antarctica) and compared with other data around the world. The mean concentrations of An, Pyr, B[a]A, Chry, B[b + k]F, B[a]P, Ind, D[a,h]A, and B[g,h,i]P of world terrestrial soils were significantly (p &lt; 0.05) greater than those of samples collected at King George Island and Pakistan. We found that a comparatively high percentage contribution of sigma 5,6-ring PAHs was detected at terrestrial soils of Pakistan (i.e., 48%), indicating that high molecular weight PAHs as the main composition of carcinogenic substances. On the contrary, a relatively high percentage contribution of sigma 3,4-ring PAHs was observed at KGS (i.e., 89%) and in good agreement with earlier studies in a similar areas. A simple linear regression analysis indicated that no significant relationships between latitude/longitude and PAH contents were observed in Pakistan. Applications of diagnostic binary ratios coupled with advanced statistical tools highlight the importance of vehicle exhausts as one of the main contributors of PAH congeners in terrestrial soils of Pakistan. It is also crucial to underline that cancer risk levels of terrestrial soils collected at Pakistan and King George Island fall into acceptable level range.</t>
  </si>
  <si>
    <t>[Pongpiachan, Siwatt] NIDA, Sch Social &amp; Environm Dev, NIDA Ctr Res Dev Disaster Prevent Management, 118 Moo 3,Sereethai Rd, Bangkok 10240, Thailand; [Surapipith, Vanisa] Publ Org, Natl Astron Res Inst Thailand, Chiang Mai, Thailand; [Hashmi, Muhammad Zaffar; Latif, Muhammad] COMSATS Univ, Dept Meteorol, Islamabad, Pakistan; [Sohail, Muhammad; Eqani, Syed Ali Musstjab Akber Shah] COMSATS Univ, Dept Biosci, Islamabad, Pakistan; [Charoenkalunyuta, Teetat] Chulalongkorn Univ, Dept Survey Engn, Bangkok, Thailand; [Promdee, Kittiphop] Chulachomklao Royal Mil Acad, Dept Environm Sci, Nakhon Nayok, Thailand</t>
  </si>
  <si>
    <t>National Institute of Development Administration - Thailand; National Institutes of Health (NIH) - USA; NIH National Institute on Drug Abuse (NIDA); COMSATS University Islamabad (CUI); COMSATS University Islamabad (CUI); Chulalongkorn University</t>
  </si>
  <si>
    <t>Pongpiachan, S (corresponding author), NIDA, Sch Social &amp; Environm Dev, NIDA Ctr Res Dev Disaster Prevent Management, 118 Moo 3,Sereethai Rd, Bangkok 10240, Thailand.;Promdee, K (corresponding author), Chulachomklao Royal Mil Acad, Dept Environm Sci, Nakhon Nayok, Thailand.</t>
  </si>
  <si>
    <t>pongpiajun@gmail.com; nuumensci@gmail.com</t>
  </si>
  <si>
    <t>Hashmi, Muhammad Zaffar/F-3427-2015; Sohail, Muhammad/IWU-3475-2023; Charoenkalunyuta, Teetat/AAD-4258-2019</t>
  </si>
  <si>
    <t>Sohail, Muhammad/0000-0002-2821-011X; Charoenkalunyuta, Teetat/0000-0002-9562-9607; Pongpiachan, Siwatt/0000-0003-1062-7627</t>
  </si>
  <si>
    <t>Information Technology Foundation under the Initiative of Her Royal Highness Princess Maha Chakri Sirindhorn; Polar Research Project under the Initiatives of Her Royal Highness Princess Maha Chakri Sirindhorn; National Science and Technology Development Agency (NSTDA); T. C. Pharmaceutical Industries Co., Ltd; Chinese Arctic and Antarctic Administration</t>
  </si>
  <si>
    <t>The authors acknowledge the Information Technology Foundation under the Initiative of Her Royal Highness Princess Maha Chakri Sirindhorn, Polar Research Project under the Initiatives of Her Royal Highness Princess Maha Chakri Sirindhorn, National Science and Technology Development Agency (NSTDA), Chinese Arctic and Antarctic Administration, and T. C. Pharmaceutical Industries Co., Ltd for supporting this study. The authors would also like to thank all members of CHINARE 34 for their kind assistances. The authors appreciate kind assistances from Ms. Mattanawadee Hattayanone, Ms. Woranuch Deelaman and Ms. Chormsri Choochuay for their contributions on laboratory works. All the GC-MS analysis of PAHs was conducted at Bara Scientific laboratory under the guidance of Mr. Chukkapong Khumsup, Mr. Itthipon Kittikoon, and Mr. Phoosak Hirunyatrakul.</t>
  </si>
  <si>
    <t>1040-6638</t>
  </si>
  <si>
    <t>1563-5333</t>
  </si>
  <si>
    <t>POLYCYCL AROMAT COMP</t>
  </si>
  <si>
    <t>Polycycl. Aromat. Compd.</t>
  </si>
  <si>
    <t>10.1080/10406638.2020.1751666</t>
  </si>
  <si>
    <t>Chemistry, Organic</t>
  </si>
  <si>
    <t>0T6RE</t>
  </si>
  <si>
    <t>WOS:000527182700001</t>
  </si>
  <si>
    <t>Handley, JM; Pearmain, EJ; Oppel, S; Carneiro, APB; Hazin, C; Phillips, RA; Ratcliffe, N; Staniland, IJ; Clay, TA; Hall, J; Scheffer, A; Fedak, M; Boehme, L; Pütz, K; Belchier, M; Boyd, IL; Trathan, PN; Dias, MP</t>
  </si>
  <si>
    <t>Handley, Jonathan M.; Pearmain, Elizabeth J.; Oppel, Steffen; Carneiro, Ana P. B.; Hazin, Carolina; Phillips, Richard A.; Ratcliffe, Norman; Staniland, Iain J.; Clay, Thomas A.; Hall, Jonathan; Scheffer, Annette; Fedak, Mike; Boehme, Lars; Puetz, Klemens; Belchier, Mark; Boyd, Ian L.; Trathan, Phil N.; Dias, Maria P.</t>
  </si>
  <si>
    <t>Evaluating the effectiveness of a large multi-use MPA in protecting Key Biodiversity Areas for marine predators</t>
  </si>
  <si>
    <t>animal tracking; fisheries; important bird and biodiversity area; key biodiversity area; marine protected area; pinnipeds; seabirds</t>
  </si>
  <si>
    <t>SOUTH SANDWICH ISLANDS; ANTARCTIC FUR SEALS; IMPORTANT BIRD; OCEAN ALBATROSSES; CONSERVATION; PENGUINS; FISHERIES; GEORGIA; CLIMATE; KRILL</t>
  </si>
  <si>
    <t>Aim Marine protected areas can serve to regulate harvesting and conserve biodiversity. Within large multi-use MPAs, it is often unclear to what degree critical sites of biodiversity are afforded protection against commercial activities. Addressing this issue is a prerequisite if we are to appropriately assess sites against conservation targets. We evaluated whether the management regime of a large MPA conserved sites (Key Biodiversity Areas, KBAs) supporting the global persistence of top marine predators. Location Southwest Atlantic Ocean. Method We collated population and tracking data (1,418 tracks) from 14 marine predator species (Procellariiformes, Sphenisciformes, Pinnipedia) that breed at South Georgia and the South Sandwich Islands, and identified hotspots for their conservation under the recently developed KBA framework. We then evaluated the spatiotemporal overlap of these sites and the different management regimes of krill, demersal longline and pelagic trawl fisheries operating within a large MPA, which was created with the intention to protect marine predator species. Results We identified 12 new global marine KBAs that are important for this community of top predators, both within and beyond the focal MPA. Only three species consistently used marine areas at a time when a potentially higher-risk fishery was allowed to operate in that area, while other interactions between fisheries and our target species were mostly precluded by MPA management plans. Main conclusions We show that current fishery management measures within the MPA contribute to protecting top predators considered in this study and that resource harvesting within the MPA does not pose a major threat-under current climate conditions. Unregulated fisheries beyond the MPA, however, pose a likely threat to identified KBAs. Our approach demonstrates the utility of the KBA guidelines and multispecies tracking data to assess the contributing role of well-designed MPAs in achieving local and internationally agreed conservation targets.</t>
  </si>
  <si>
    <t>[Handley, Jonathan M.; Pearmain, Elizabeth J.; Carneiro, Ana P. B.; Hazin, Carolina; Dias, Maria P.] BirdLife Int, David Attenborough Bldg,Pembroke St, Cambridge CB2 3QZ, England; [Oppel, Steffen; Hall, Jonathan] Royal Soc Protect Birds, RSPB Ctr Conservat Sci, Sandy, Beds, England; [Phillips, Richard A.; Ratcliffe, Norman; Staniland, Iain J.; Belchier, Mark] British Antarctic Survey, Nat Environm Res Council, Cambridge, England; [Clay, Thomas A.; Trathan, Phil N.] Univ Liverpool, Sch Environm Sci, Liverpool, Merseyside, England; [Scheffer, Annette] Marine Stewardship Council, AS, London, England; [Scheffer, Annette] Univ Azores, Okeanos Ctr, P-9901862 Horta, Portugal; [Fedak, Mike; Boehme, Lars; Boyd, Ian L.] Univ St Andrews, St Andrews, Fife, Scotland; [Puetz, Klemens] Antarctic Res Trust, Bremervorde, Germany</t>
  </si>
  <si>
    <t>BirdLife International; Royal Society for Protection of Birds; UK Research &amp; Innovation (UKRI); Natural Environment Research Council (NERC); NERC British Antarctic Survey; University of Liverpool; Universidade dos Acores; University of St Andrews</t>
  </si>
  <si>
    <t>Handley, JM (corresponding author), BirdLife Int, David Attenborough Bldg,Pembroke St, Cambridge CB2 3QZ, England.</t>
  </si>
  <si>
    <t>jonathan.m.handley@gmail.com</t>
  </si>
  <si>
    <t>Staniland, Iain/I-4725-2012; Oppel, Steffen/H-2771-2019; Carneiro, Ana Paula/IQT-6077-2023; Dias, Maria P./D-1331-2012; Clay, Tommy/W-4867-2019; Boehme, Lars/B-6567-2009; Fedak, Michael/B-3987-2009</t>
  </si>
  <si>
    <t>Staniland, Iain/0000-0003-2736-9134; Oppel, Steffen/0000-0002-8220-3789; Dias, Maria P./0000-0002-7281-4391; Clay, Tommy/0000-0002-0644-6105; Handley, Jonathan/0000-0001-6468-338X; Boehme, Lars/0000-0003-3513-6816; Fedak, Michael/0000-0002-9569-1128; Pearmain, Elizabeth/0000-0002-6600-1482; , Ana/0000-0003-0573-7549</t>
  </si>
  <si>
    <t>Pew Bertarelli Ocean Legacy Project of the Pew Charitable Trusts; Bertarelli Foundation; NERC [bas0100035] Funding Source: UKRI</t>
  </si>
  <si>
    <t>Pew Bertarelli Ocean Legacy Project of the Pew Charitable Trusts; Bertarelli Foundation; NERC(UK Research &amp; Innovation (UKRI)Natural Environment Research Council (NERC))</t>
  </si>
  <si>
    <t>Pew Bertarelli Ocean Legacy Project of the Pew Charitable Trusts and Bertarelli Foundation.</t>
  </si>
  <si>
    <t>10.1111/ddi.13041</t>
  </si>
  <si>
    <t>LP8VM</t>
  </si>
  <si>
    <t>WOS:000525941200001</t>
  </si>
  <si>
    <t>Wille, M; Harvey, E; Shi, M; Gonzalez-Acuña, D; Holmes, EC; Hurt, AC</t>
  </si>
  <si>
    <t>Wille, Michelle; Harvey, Erin; Shi, Mang; Gonzalez-Acuna, Daniel; Holmes, Edward C.; Hurt, Aeron C.</t>
  </si>
  <si>
    <t>Sustained RNA virome diversity in Antarctic penguins and their ticks</t>
  </si>
  <si>
    <t>IXODES-URIAE ACARI; INFLUENZA-A VIRUS; PYGOSCELIS-ADELIAE; MACQUARIE ISLAND; GUT MICROBIOTA; ROSS ISLAND; ALIGNMENT; CONSERVATION; IXODIDAE; IDENTIFICATION</t>
  </si>
  <si>
    <t>Despite its isolation and extreme climate, Antarctica is home to diverse fauna and associated microorganisms. It has been proposed that the most iconic Antarctic animal, the penguin, experiences low pathogen pressure, accounting for their disease susceptibility in foreign environments. There is, however, a limited understanding of virome diversity in Antarctic species, the extent of in situ virus evolution, or how it relates to that in other geographic regions. To assess whether penguins have limited microbial diversity we determined the RNA viromes of three species of penguins and their ticks sampled on the Antarctic peninsula. Using total RNA sequencing we identified 107 viral species, comprising likely penguin associated viruses (n = 13), penguin diet and microbiome associated viruses (n = 82), and tick viruses (n = 8), two of which may have the potential to infect penguins. Notably, the level of virome diversity revealed in penguins is comparable to that seen in Australian waterbirds, including many of the same viral families. These data run counter to the idea that penguins are subject to lower pathogen pressure. The repeated detection of specific viruses in Antarctic penguins also suggests that rather than being simply spill-over hosts, these animals may act as key virus reservoirs.</t>
  </si>
  <si>
    <t>[Wille, Michelle; Hurt, Aeron C.] Peter Doherty Inst Infect &amp; Immun, WHO Collaborating Ctr Reference &amp; Res Influenza, Melbourne, Vic, Australia; [Harvey, Erin; Shi, Mang; Holmes, Edward C.] Univ Sydney, Marie Bashir Inst Infect Dis &amp; Biosecur, Sch Life &amp; Environm Sci, Sydney, NSW 2006, Australia; [Harvey, Erin; Shi, Mang; Holmes, Edward C.] Univ Sydney, Sch Med Sci, Sydney, NSW 2006, Australia; [Gonzalez-Acuna, Daniel] Univ Concepcion, Fac Ciencias Vet, Lab Parasitos &amp; Enfermedades Fauna Silvestre, Chillan, Chile</t>
  </si>
  <si>
    <t>World Health Organization; Melbourne Genomics Health Alliance; University of Melbourne; Peter Doherty Institute; University of Sydney; University of Sydney; Universidad de Concepcion</t>
  </si>
  <si>
    <t>Wille, M (corresponding author), Peter Doherty Inst Infect &amp; Immun, WHO Collaborating Ctr Reference &amp; Res Influenza, Melbourne, Vic, Australia.;Holmes, EC (corresponding author), Univ Sydney, Marie Bashir Inst Infect Dis &amp; Biosecur, Sch Life &amp; Environm Sci, Sydney, NSW 2006, Australia.;Holmes, EC (corresponding author), Univ Sydney, Sch Med Sci, Sydney, NSW 2006, Australia.</t>
  </si>
  <si>
    <t>michelle.wille@influenzacentre.org; edward.holmes@sydney.edu.au</t>
  </si>
  <si>
    <t>Holmes, Edward C/Y-2789-2019; Holmes, Edward/GVR-9499-2022; Wille, Michelle/F-4819-2013; Shi, Mang/D-5118-2013</t>
  </si>
  <si>
    <t>Holmes, Edward C/0000-0001-9596-3552; Wille, Michelle/0000-0002-5629-0196; Shi, Mang/0000-0002-6154-4437</t>
  </si>
  <si>
    <t>Australian Department for Health; ARC Australian Laureate Fellowship [FL170100022]; Instituto Antartico Chileno [INACH T-27-INACH T-12-13]</t>
  </si>
  <si>
    <t>Australian Department for Health; ARC Australian Laureate Fellowship(Australian Research Council); Instituto Antartico Chileno</t>
  </si>
  <si>
    <t>The Melbourne WHO Collaborating Centre for Reference and Research on Influenza is supported by the Australian Department for Health. ECH is funded by an ARC Australian Laureate Fellowship (FL170100022). The fieldwork was funded by the Instituto Antartico Chileno as a part of the project INACH T-27-INACH T-12-13: Campylobacter in Antarctica: diversity, origin and effects on wildlife. We are grateful to Jorge Hernandez, Gonzalo Medina, Lucila Moreno, Juana Lopez, Patrik Ellstrom, Michelle Thomson, Fernanda Gonzalez, Hakan Johansson for assistance in field collection, and the staff of the Chilean bases for their hospitality.</t>
  </si>
  <si>
    <t>10.1038/s41396-020-0643-1</t>
  </si>
  <si>
    <t>LZ5FP</t>
  </si>
  <si>
    <t>WOS:000526217900001</t>
  </si>
  <si>
    <t>Kaufman, D; McKay, N; Routson, C; Erb, M; Davis, B; Heiri, O; Jaccard, S; Tierney, J; Dätwyler, C; Axford, Y; Brussel, T; Cartapanis, O; Chase, B; Dawson, A; de Vernal, A; Engels, S; Jonkers, L; Marsicek, J; Moffa-Sánchez, P; Morrill, C; Orsi, A; Rehfeld, K; Saunders, K; Sommer, PS; Thomas, E; Tonello, M; Tóth, M; Vachula, R; Andreev, A; Bertrand, S; Biskaborn, B; Bringué, M; Brooks, S; Caniupán, M; Chevalier, M; Cwynar, L; Emile-Geay, J; Fegyveresi, J; Feurdean, A; Finsinger, W; Fortin, MC; Foster, L; Fox, M; Gajewski, K; Grosjean, M; Hausmann, S; Heinrichs, M; Holmes, N; Ilyashuk, B; Ilyashuk, E; Juggins, S; Khider, D; Koinig, K; Langdon, P; Larocque-Tobler, I; Li, JY; Lotter, A; Luoto, T; Mackay, A; Magyari, E; Malevich, S; Mark, B; Massaferro, J; Montade, V; Nazarova, L; Novenko, E; Paril, P; Pearson, E; Peros, M; Pienitz, R; Plóciennik, M; Porinchu, D; Potito, A; Rees, A; Reinemann, S; Roberts, S; Rolland, N; Salonen, S; Self, A; Seppä, H; Shala, S; St-Jacques, JM; Stenni, B; Syrykh, L; Tarrats, P; Taylor, K; van den Bos, V; Velle, G; Wahl, E; Walker, I; Wilmshurst, J; Zhang, EL; Zhilich, S</t>
  </si>
  <si>
    <t>Kaufman, Darrell; McKay, Nicholas; Routson, Cody; Erb, Michael; Davis, Basil; Heiri, Oliver; Jaccard, Samuel; Tierney, Jessica; Datwyler, Christoph; Axford, Yarrow; Brussel, Thomas; Cartapanis, Olivier; Chase, Brian; Dawson, Andria; de Vernal, Anne; Engels, Stefan; Jonkers, Lukas; Marsicek, Jeremiah; Moffa-Sanchez, Paola; Morrill, Carrie; Orsi, Anais; Rehfeld, Kira; Saunders, Krystyna; Sommer, Philipp S.; Thomas, Elizabeth; Tonello, Marcela; Toth, Monika; Vachula, Richard; Andreev, Andrei; Bertrand, Sebastien; Biskaborn, Boris; Bringue, Manuel; Brooks, Stephen; Caniupan, Magaly; Chevalier, Manuel; Cwynar, Les; Emile-Geay, Julien; Fegyveresi, John; Feurdean, Angelica; Finsinger, Walter; Fortin, Marie-Claude; Foster, Louise; Fox, Mathew; Gajewski, Konrad; Grosjean, Martin; Hausmann, Sonja; Heinrichs, Markus; Holmes, Naomi; Ilyashuk, Boris; Ilyashuk, Elena; Juggins, Steve; Khider, Deborah; Koinig, Karin; Langdon, Peter; Larocque-Tobler, Isabelle; Li, Jianyong; Lotter, Andre; Luoto, Tomi; Mackay, Anson; Magyari, Eniko; Malevich, Steven; Mark, Bryan; Massaferro, Julieta; Montade, Vincent; Nazarova, Larisa; Novenko, Elena; Paril, Petr; Pearson, Emma; Peros, Matthew; Pienitz, Reinhard; Plociennik, Mateusz; Porinchu, David; Potito, Aaron; Rees, Andrew; Reinemann, Scott; Roberts, Stephen; Rolland, Nicolas; Salonen, Sakari; Self, Angela; Seppa, Heikki; Shala, Shyhrete; St-Jacques, Jeannine-Marie; Stenni, Barbara; Syrykh, Liudmila; Tarrats, Pol; Taylor, Karen; van den Bos, Valerie; Velle, Gaute; Wahl, Eugene; Walker, Ian; Wilmshurst, Janet; Zhang, Enlou; Zhilich, Snezhana</t>
  </si>
  <si>
    <t>A global database of Holocene paleotemperature records</t>
  </si>
  <si>
    <t>SEA-SURFACE TEMPERATURE; LATE-QUATERNARY VEGETATION; MILLENNIAL-SCALE CHANGES; NORTHERN NORTH-ATLANTIC; SOUTH CHINA SEA; INTERTROPICAL CONVERGENCE ZONE; POLLEN-BASED RECONSTRUCTION; WESTERN EQUATORIAL PACIFIC; EASTERN TIBETAN PLATEAU; LAKE VUOLEP-NJAKAJAURE</t>
  </si>
  <si>
    <t>A comprehensive database of paleoclimate records is needed to place recent warming into the longer-term context of natural climate variability. We present a global compilation of quality-controlled, published, temperature-sensitive proxy records extending back 12,000 years through the Holocene. Data were compiled from 679 sites where time series cover at least 4000 years, are resolved at sub-millennial scale (median spacing of 400 years or finer) and have at least one age control point every 3000 years, with cut-off values slackened in data-sparse regions. The data derive from lake sediment (51%), marine sediment (31%), peat (11%), glacier ice (3%), and other natural archives. The database contains 1319 records, including 157 from the Southern Hemisphere. The multi-proxy database comprises paleotemperature time series based on ecological assemblages, as well as biophysical and geochemical indicators that reflect mean annual or seasonal temperatures, as encoded in the database. This database can be used to reconstruct the spatiotemporal evolution of Holocene temperature at global to regional scales, and is publicly available in Linked Paleo Data (LiPD) format. Measurement(s)climateTechnology Type(s)digital curationFactor Type(s)temporal interval center dot geographic location center dot proxy typeSample Characteristic - Environmentclimate systemSample Characteristic - LocationEarth (planet) Machine-accessible metadata file describing the reported data:</t>
  </si>
  <si>
    <t>[Kaufman, Darrell; McKay, Nicholas; Routson, Cody; Erb, Michael; Fegyveresi, John] No Arizona Univ, Sch Earth &amp; Sustainabil, Flagstaff, AZ 86011 USA; [Davis, Basil; Sommer, Philipp S.; Chevalier, Manuel] Univ Lausanne, Inst Earth Surface Dynam, CH-1015 Lausanne, Switzerland; [Heiri, Oliver] Univ Basel, Dept Environm Sci, CH-4056 Basel, Switzerland; [Jaccard, Samuel; Cartapanis, Olivier] Univ Bern, Inst Geol Sci, CH-3012 Bern, Switzerland; [Jaccard, Samuel; Datwyler, Christoph; Cartapanis, Olivier; Grosjean, Martin] Oeschger Ctr Climate Change Res, CH-3012 Bern, Switzerland; [Tierney, Jessica; Malevich, Steven] Univ Arizona, Dept Geosci, Tucson, AZ 85721 USA; [Datwyler, Christoph; Grosjean, Martin] Univ Bern, Inst Geog, CH-3012 Bern, Switzerland; [Axford, Yarrow] Northwestern Univ, Dept Earth &amp; Planetary Sci, Evanston, IL 60208 USA; [Brussel, Thomas] Univ Utah, Dept Geog, Salt Lake City, UT 84112 USA; [Chase, Brian; Finsinger, Walter; Montade, Vincent] Univ Montpellier, CNRS, Inst Sci Evolut, F-34095 Montpellier, France; [Dawson, Andria] Mt Royal Univ, Dept Gen Educ, Calgary, AB T3E6K6, Canada; [de Vernal, Anne] Univ Quebec, Geotop UQAM, Montreal, PQ H3C 3P8, Canada; [Engels, Stefan] Univ London, Dept Geog, London WC1E 7HX, England; [Jonkers, Lukas] Univ Bremen, MARUM Ctr Marine Environm Sci, D-28359 Bremen, Germany; [Marsicek, Jeremiah] Univ Wisconsin, Dept Geosci, Madison, WI 53706 USA; [Moffa-Sanchez, Paola] Univ Durham, Dept Geog, Durham DH1 3LE, England; [Morrill, Carrie] Univ Colorado, Cooperat Inst Res Environm Sci, Boulder, CO 80309 USA; [Orsi, Anais] Univ Paris Saclay, Lab Sci Climat &amp; Environm, F-91191 Gif Sur Yvette, France; [Rehfeld, Kira] Heidelberg Univ, Inst Environm Phys, D-69221 Heidelberg, Germany; [Saunders, Krystyna] Australian Nucl Sci &amp; Technol Org, Lucas Heights, NSW 2234, Australia; [Sommer, Philipp S.] Helmholtz Zentrum, Inst Coastal Res, Geesthacht, Germany; [Thomas, Elizabeth] SUNY Buffalo, Dept Geol, Buffalo, NY 14206 USA; [Tonello, Marcela] Univ Nacl Mar del Plata, Inst Invest Marinas &amp; Costeras, RA-7600 Mar Del Plata, Argentina; [Toth, Monika] Balaton Limnol Inst, Ctr Ecol Res, H-8237 Tihany, Hungary; [Vachula, Richard] Brown Univ, Dept Earth Environm &amp; Planetary Sci, Providence, RI 02912 USA; [Andreev, Andrei; Biskaborn, Boris] Helmholtz Ctr Polar &amp; Marine Res, Polar Terr Environm Syst, Alfred Wegener Inst, D-14473 Potsdam, Germany; [Bertrand, Sebastien] Univ Ghent, Renard Ctr Marine Geol, B-9000 Ghent, Belgium; [Bringue, Manuel] Geol Survey Canada, Nat Resources Canada, Calgary, AB T2L 2A7, Canada; [Brooks, Stephen] Nat Hist Museum, Dept Life Sci, London SW7 5BD, England; [Caniupan, Magaly] Univ Concepcion, Dept Oceanog, Concepcion 4030000, Chile; [Caniupan, Magaly] COPAS Sur Austral Program, Concepcion 4030000, Chile; [Cwynar, Les] Univ New Brunswick, Dept Biol, Fredericton, NB E3B 5A3, Canada; [Emile-Geay, Julien] Univ Southern Calif, Dept Earth Sci, Los Angeles, CA 90089 USA; [Feurdean, Angelica] Goethe Univ, Dept Phys Geog, D-60438 Frankfurt, Germany; [Fortin, Marie-Claude] Univ Ottawa, Ottawa Carleton Inst Biol, Ottawa, ON KIN 6N5, Canada; [Foster, Louise; Juggins, Steve; Pearson, Emma] Newcastle Univ, Sch Geog Polit &amp; Sociol, Newcastle Upon Tyne NE1 7RU, Tyne &amp; Wear, England; [Foster, Louise; Roberts, Stephen] British Antarctic Survey, Palaeoenvironm &amp; Ice Sheets, Cambridge CB3 0ET, England; [Fox, Mathew] Univ Arizona, Sch Anthropol, Tucson, AZ 85721 USA; [Gajewski, Konrad] Univ Ottawa, Dept Geog Environm &amp; Geomat, Ottawa, ON K1N 6N5, Canada; [Hausmann, Sonja] Aquat GmbH, CH-3007 Bern, Switzerland; [Heinrichs, Markus] Okanagan Coll, Dept Geog &amp; Earth &amp; Environm Sci, Kelowna, BC V1Y 4X8, Canada; [Holmes, Naomi] Sheffield Hallam Univ, Dept Nat &amp; Built Environm, Sheffield S1 1WB, S Yorkshire, England; [Ilyashuk, Boris; Ilyashuk, Elena; Koinig, Karin] Univ Innsbruck, Dept Ecol, A-6020 Innsbruck, Austria; [Khider, Deborah] Univ Southern Calif, Inst Informat Sci, Marina Del Rey, CA 90292 USA; [Langdon, Peter] Univ Southampton, Sch Geog &amp; Environm Sci, Southampton SO17 1BJ, Hants, England; [Larocque-Tobler, Isabelle] LAKES Inst, CH-3250 Lyss, Switzerland; [Li, Jianyong] Northwest Univ, Coll Urban &amp; Environm Sci, Xian 710027, Peoples R China; [Lotter, Andre] Univ Bern, Palaeoecol, CH-3013 Bern, Switzerland; [Luoto, Tomi] Univ Helsinki, Fac Biol &amp; Environm Sci, Lahti 15140, Finland; [Mackay, Anson] UCL, Dept Geog, London WC1E 6BT, England; [Magyari, Eniko] Eotvos Lorand Univ, Dept Environm &amp; Landscape Geog, H-1117 Budapest, Hungary; [Mark, Bryan] Ohio State Univ, Dept Geog, Columbus, OH 43210 USA; Byrd Polar &amp; Climate Res Ctr, Columbus, OH 43210 USA; [Massaferro, Julieta] CONICET Argentina, CENAC APN, RA-8400 San Carlos De Bariloche, RN, Argentina; [Nazarova, Larisa] Potsdam Univ, Inst Geosci, D-14476 Golm, Germany; [Novenko, Elena] Lomonosov Moscow State Univ, Fac Geog, Moscow 119991, Russia; [Paril, Petr] Masaryk Univ, Dept Bot &amp; Zool, Brno 61137, Czech Republic; [Peros, Matthew] Bishops Univ, Dept Geog &amp; Environm, Sherbrooke, PQ J1M 1Z7, Canada; [Pienitz, Reinhard] Univ Laval, Dept Geog, Ctr Northern Studies, Quebec City, PQ G1V 0A6, Canada; [Plociennik, Mateusz] Univ Lodz, Dept Invertebrate Zool &amp; Hydrobiol, PL-90237 Lodz, Poland; [Porinchu, David] Univ Georgia, Dept Geog, Athens, GA 30606 USA; [Potito, Aaron; Taylor, Karen] Natl Univ Ireland Galway, Sch Geog Archaeol &amp; Irish Studies, Galway H91 TK33, Ireland; [Rees, Andrew; van den Bos, Valerie] Victoria Univ Wellington, Sch Geog Environm &amp; Earth Sci, Wellington 6012, New Zealand; [Reinemann, Scott] Sinclair Community Coll, Dept Geog, Dayton, OH 45402 USA; [Rolland, Nicolas] Fisheries &amp; Ocean Canada, Gulf Fisheries Ctr, Moncton, NB E1C 9B6, Canada; [Salonen, Sakari; Seppa, Heikki] Univ Helsinki, Dept Geosci &amp; Geog, Helsinki 00014, Finland; [Self, Angela] Nat Hist Museum, London SW7 5BD, England; [Shala, Shyhrete] Stockholm Univ, Dept Phys Geog, SE-10691 Stockholm, Sweden; [St-Jacques, Jeannine-Marie] Concordia Univ, Geog Planning &amp; Environm, Montreal, PQ H3G 1M8, Canada; [Stenni, Barbara] Ca Foscari Univ Venice, Dept Environm Sci Informat &amp; Stat, I-30172 Venice, Italy; [Syrykh, Liudmila] Herzen State Pedag Univ Russia, Res Lab Environm Management, St Petersburg 191186, Russia; [Tarrats, Pol] Univ Barcelona, Dept Biol Evolut Ecol &amp; Ciencies Ambientals, Seccio Ecol, Barcelona 08028, Spain; [Taylor, Karen] Univ Coll Cork, Dept Geog, Cork, Ireland; [Velle, Gaute] LFI, NORCE Norwegian Res Ctr, N-5008 Bergen, Norway; [Wahl, Eugene] US NOAA, Natl Ctr Environm Informat, Boulder, CO 80305 USA; [Walker, Ian] Univ British Columbia, Dept Biol, Dept Earth Environm &amp; Geog Sci, Kelowna, BC V1V 1V7, Canada; [Wilmshurst, Janet] Landcare Res Ecosyst &amp; Conservat, Lincoln 7640, New Zealand; [Zhang, Enlou] Chinese Acad Sci, Nanjing Inst Geog &amp; Limnol, Nanjing 210008, Peoples R China; [Zhilich, Snezhana] Russian Acad Sci, Inst Archaeol &amp; Ethnog, Siberian Branch, Novosibirsk 630090, Russia</t>
  </si>
  <si>
    <t>Northern Arizona University; University of Lausanne; University of Basel; University of Bern; University of Bern; University of Arizona; University of Bern; Northwestern University; Utah System of Higher Education; University of Utah; Centre National de la Recherche Scientifique (CNRS); Institut de Recherche pour le Developpement (IRD); Universite de Montpellier; Mount Royal University; University of Quebec; University of Quebec Montreal; University of London; University of Bremen; University of Wisconsin System; University of Wisconsin Madison; Durham University; University of Colorado System; University of Colorado Boulder; CEA; Centre National de la Recherche Scientifique (CNRS); Universite Paris Saclay; Universite Paris Cite; Ruprecht Karls University Heidelberg; Australian Nuclear Science &amp; Technology Organisation; Helmholtz Association; Helmholtz-Zentrum Hereon; State University of New York (SUNY) System; State University of New York (SUNY) Buffalo; National University of Mar del Plata; Hungarian Research Network; HUN-REN Balaton Limnological Research Institute; Hungarian Academy of Sciences; HUN-REN Centre for Ecological Research; Brown University; Helmholtz Association; Alfred Wegener Institute, Helmholtz Centre for Polar &amp; Marine Research; Ghent University; Natural Resources Canada; Lands &amp; Minerals Sector - Natural Resources Canada; Geological Survey of Canada; Natural History Museum London; Universidad de Concepcion; University of New Brunswick; University of Southern California; Goethe University Frankfurt; University of Ottawa; Newcastle University - UK; UK Research &amp; Innovation (UKRI); Natural Environment Research Council (NERC); NERC British Antarctic Survey; University of Arizona; University of Ottawa; Sheffield Hallam University; University of Innsbruck; University of Southern California; University of Southampton; Northwest University Xi'an; University of Bern; University of Helsinki; University of London; University College London; Eotvos Lorand University; University System of Ohio; Ohio State University; Lomonosov Moscow State University; Masaryk University Brno; Bishops University; Laval University; University of Lodz; University System of Georgia; University of Georgia; Victoria University Wellington; Sinclair Community College; Fisheries &amp; Oceans Canada; University of Helsinki; Natural History Museum London; Stockholm University; Concordia University - Canada; Universita Ca Foscari Venezia; Herzen State Pedagogical University of Russia; University of Barcelona; University College Cork; Norwegian Research Centre (NORCE); National Oceanic Atmospheric Admin (NOAA) - USA; University of British Columbia; Chinese Academy of Sciences; Nanjing Institute of Geography &amp; Limnology, CAS; Russian Academy of Sciences; Institute of Archaeology &amp; Ethnography, Siberian Branch of Russian Academy of Sciences</t>
  </si>
  <si>
    <t>Kaufman, D (corresponding author), No Arizona Univ, Sch Earth &amp; Sustainabil, Flagstaff, AZ 86011 USA.</t>
  </si>
  <si>
    <t>darrell.kaufman@nau.edu</t>
  </si>
  <si>
    <t>Heiri, Oliver/A-2403-2008; Koinig, Karin/F-2542-2013; Syrykh, Liudmila/K-8331-2018; Paril, Petr/AGK-5133-2022; de Vernal, Anne/D-5602-2013; Ilyashuk, Boris/AAZ-7301-2020; Moffa-Sanchez, Paola/AAA-7188-2022; Reinemann, Scott/ABD-1503-2021; Thomas, Elizabeth Ruth/ADF-3660-2022; Mark, Bryan/AAD-6137-2022; Chevalier, Manuel/W-6949-2019; Nazarova, Larisa/C-8926-2014; Sommer, Philipp S. S./R-5839-2017; Mark, Bryan G./HMD-9537-2023; St-Jacques, Jeannine-Marie/A-4925-2015; Biskaborn, Boris K./D-2419-2011; Jonkers, Lukas/H-6314-2011; IPO, PAGES/JXY-7546-2024; Płóciennik, Mateusz/R-1232-2018; Rehfeld, Kira/O-1781-2019; Andreev, Andrei A/J-2701-2015; Bertrand, Sebastien/G-9744-2011; Finsinger, Walter/A-7937-2011; Chase, Brian M/A-1202-2010; Ilyashuk, Elena/A-1910-2017; Foster, Louise C/O-7543-2015; Lotter, Andre F/C-3477-2008; Cartapanis, Olivier/AAM-9779-2021; Nazarova, Larisa/AAP-7185-2020; Heiri, Oliver/JCE-4598-2023; McKay, Nicholas Paul/JYQ-5440-2024; Zhilich, Snezhana/B-5733-2016; Montade, Vincent/F-8198-2019; Saunders, Krystyna/G-1368-2019; Jaccard, Samuel/G-3447-2014; Kaufman, Darrell/A-2471-2008; Emile-Geay, Julien/B-1102-2010; Rees, Andrew/Q-1417-2017; Axford, Yarrow/N-4151-2014</t>
  </si>
  <si>
    <t>Heiri, Oliver/0000-0002-3957-5835; Koinig, Karin/0000-0002-3659-4934; Syrykh, Liudmila/0000-0003-2076-8570; Paril, Petr/0000-0002-7471-997X; Ilyashuk, Boris/0000-0003-3846-7178; Moffa-Sanchez, Paola/0000-0003-1857-8954; Thomas, Elizabeth Ruth/0000-0002-3010-6493; Chevalier, Manuel/0000-0002-8183-9881; Nazarova, Larisa/0000-0003-4145-9689; Sommer, Philipp S. S./0000-0001-6171-7716; Mark, Bryan G./0000-0002-4500-7957; Biskaborn, Boris K./0000-0003-2378-0348; Płóciennik, Mateusz/0000-0003-1487-6698; Rehfeld, Kira/0000-0002-9442-5362; Andreev, Andrei A/0000-0002-8745-9636; Bertrand, Sebastien/0000-0003-0374-4040; Finsinger, Walter/0000-0002-8297-0574; Ilyashuk, Elena/0000-0001-7335-4123; Lotter, Andre F/0000-0002-2954-8809; Cartapanis, Olivier/0000-0001-8542-6884; Zhilich, Snezhana/0000-0002-0365-0602; Luoto, Tomi/0000-0001-6925-3688; Datwyler, Christoph/0000-0002-9923-4311; Novenko, Elena/0000-0003-2174-8467; Morrill, Carrie/0000-0002-1635-5469; Vachula, Richard/0000-0001-5559-6540; Feurdean, Angelica/0000-0002-2497-3005; Potito, Aaron/0000-0003-0194-9552; Montade, Vincent/0000-0002-8518-2610; Malevich, Steven/0000-0002-4752-8190; Saunders, Krystyna/0000-0002-6800-2630; Jaccard, Samuel/0000-0002-5793-0896; Kaufman, Darrell/0000-0002-7572-1414; Stenni, Barbara/0000-0003-4950-3664; Seppa, Heikki/0000-0003-2494-7955; Salonen, Sakari/0000-0002-8847-9081; McKay, Nicholas/0000-0003-3598-5113; Rolland, Nicolas/0000-0001-9883-8124; Erb, Michael/0000-0002-1187-952X; Emile-Geay, Julien/0000-0001-5920-4751; Rees, Andrew/0000-0003-4026-7765; Axford, Yarrow/0000-0002-8033-358X; Langdon, Peter/0000-0003-2724-2643; Tonello, Marcela Sandra/0000-0002-4134-3814; Taylor, Karen/0000-0003-4376-8610; Roberts, Stephen/0000-0003-3407-9127; Porinchu, David/0000-0002-0495-3082</t>
  </si>
  <si>
    <t>US National Science Foundation [AGS-1602105, AGS-1602301, AGS-1903548]; Swiss National Science Foundation [IZSEZO 180887, SNF 200021-165494]; NOAA's Climate Program Office [NA17OAR4320101]; Heising-Simons Foundation [2016-015]; NERC [bas0100030, bosc01001] Funding Source: UKRI</t>
  </si>
  <si>
    <t>US National Science Foundation(National Science Foundation (NSF)); Swiss National Science Foundation(Swiss National Science Foundation (SNSF)); NOAA's Climate Program Office(National Oceanic Atmospheric Admin (NOAA) - USA); Heising-Simons Foundation; NERC(UK Research &amp; Innovation (UKRI)Natural Environment Research Council (NERC))</t>
  </si>
  <si>
    <t>Funding for this research was provided by the US National Science Foundation (AGS-1602105, AGS-1602301, AGS-1903548), Swiss National Science Foundation (IZSEZO 180887, SNF 200021-165494), NOAA's Climate Program Office (Cooperative Agreement #NA17OAR4320101), and the Heising-Simons Foundation (2016-015). The Past Global Changes (PAGES) project provided additional support for workshops leading up to this data product. We thank the original data generators who made their data available for reuse, and we acknowledge the data repositories for safeguarding these valuable data assets, enabling the community to unlock their collective power582.</t>
  </si>
  <si>
    <t>10.1038/s41597-020-0445-3</t>
  </si>
  <si>
    <t>LI0ZJ</t>
  </si>
  <si>
    <t>WOS:000529214800002</t>
  </si>
  <si>
    <t>Dillon, ML; Hawes, I; Jungblut, AD; Mackey, TJ; Eisen, JA; Doran, PT; Sumner, DY</t>
  </si>
  <si>
    <t>Dillon, Megan L.; Hawes, Ian; Jungblut, Anne D.; Mackey, Tyler J.; Eisen, Jonathan A.; Doran, Peter T.; Sumner, Dawn Y.</t>
  </si>
  <si>
    <t>Environmental control on the distribution of metabolic strategies of benthic microbial mats in Lake Fryxell, Antarctica</t>
  </si>
  <si>
    <t>MCMURDO DRY VALLEYS; COMMUNITY STRUCTURE; NITROGEN-FIXATION; TAYLOR VALLEY; WATER COLUMN; POLAR NIGHT; ICE SHELF; DIVERSITY; BACTERIA; PHYTOPLANKTON</t>
  </si>
  <si>
    <t>Ecological theories posit that heterogeneity in environmental conditions greatly affects community structure and function. However, the degree to which ecological theory developed using plant- and animal-dominated systems applies to microbiomes is unclear. Investigating the metabolic strategies found in microbiomes are particularly informative for testing the universality of ecological theories because microorganisms have far wider metabolic capacity than plants and animals. We used metagenomic analyses to explore the relationships between the energy and physicochemical gradients in Lake Fryxell and the metabolic capacity of its benthic microbiome. Statistical analysis of the relative abundance of metabolic marker genes and gene family diversity shows that oxygenic photosynthesis, carbon fixation, and flavin-based electron bifurcation differentiate mats growing in different environmental conditions. The pattern of gene family diversity points to the likely importance of temporal environmental heterogeneity in addition to resource gradients. Overall, we found that the environmental heterogeneity of photosynthetically active radiation (PAR) and oxygen concentration ([O-2]) in Lake Fryxell provide the framework by which metabolic diversity and composition of the community is structured, in accordance with its phylogenetic structure. The organization of the resulting microbial ecosystems are consistent with the maximum power principle and the species sorting model.</t>
  </si>
  <si>
    <t>[Dillon, Megan L.] Lawrence Berkeley Natl Lab, Ecol Dept, Berkeley, CA 94720 USA; [Dillon, Megan L.; Sumner, Dawn Y.] Univ Calif Davis, Dept Earth &amp; Planetary Sci, Davis, CA 95616 USA; [Hawes, Ian] Univ Waikato, Coastal Marine Field Stn, Hamilton, Waikato, New Zealand; [Jungblut, Anne D.] Nat Hist Museum, Life Sci Dept, London, England; [Mackey, Tyler J.] MIT, Dept Earth Atmospher &amp; Planetary Sci, Cambridge, MA USA; [Eisen, Jonathan A.] Univ Calif Davis, Dept Evolut &amp; Ecol, Davis, CA 95616 USA; [Doran, Peter T.] Louisiana State Univ, Geol &amp; Geophys Dept, Baton Rouge, LA 70803 USA</t>
  </si>
  <si>
    <t>United States Department of Energy (DOE); Lawrence Berkeley National Laboratory; University of California System; University of California Davis; University of Waikato; Natural History Museum London; Massachusetts Institute of Technology (MIT); University of California System; University of California Davis; Louisiana State University System; Louisiana State University</t>
  </si>
  <si>
    <t>Dillon, ML (corresponding author), Lawrence Berkeley Natl Lab, Ecol Dept, Berkeley, CA 94720 USA.;Dillon, ML (corresponding author), Univ Calif Davis, Dept Earth &amp; Planetary Sci, Davis, CA 95616 USA.</t>
  </si>
  <si>
    <t>mldillon@lbl.gov</t>
  </si>
  <si>
    <t>Eisen, Jonathan A./H-2706-2019; Sumner, Dawn/E-8744-2011</t>
  </si>
  <si>
    <t>Eisen, Jonathan A./0000-0002-0159-2197; Mackey, Tyler/0000-0001-6377-3797; Sumner, Dawn/0000-0002-7343-2061</t>
  </si>
  <si>
    <t>National Science Foundation Division of Polar Programs through the McMurdo Long Term Ecological Research project [OPP-115245, OPP-1637708]; NASA Astrobiology [NN13AI60G]</t>
  </si>
  <si>
    <t>National Science Foundation Division of Polar Programs through the McMurdo Long Term Ecological Research project; NASA Astrobiology</t>
  </si>
  <si>
    <t>Logistic field work support was provided by the National Science Foundation Division of Polar Programs https://nsf.gov/div/index.jsp?div= OPP through the McMurdo Long Term Ecological Research project http://mcm.lternet.edu/(DYS, grants OPP-115245 and OPP-1637708) and Antarctic New Zealand Program https://www.antarcticanz.govt.nz. Support for genomics and data analysis was provided by NASA Astrobiology https://astrobiology.nasa.gov through grant NN13AI60G (DYS). The funders had no role in study design, data collection and analysis, decision to publish, or preparation of the manuscript.</t>
  </si>
  <si>
    <t>APR 13</t>
  </si>
  <si>
    <t>e0231053</t>
  </si>
  <si>
    <t>10.1371/journal.pone.0231053</t>
  </si>
  <si>
    <t>LR9BE</t>
  </si>
  <si>
    <t>WOS:000535989800018</t>
  </si>
  <si>
    <t>Fernandez, MO; Collins, AG; Marques, AC</t>
  </si>
  <si>
    <t>Fernandez, Marina O.; Collins, Allen G.; Marques, Antonio C.</t>
  </si>
  <si>
    <t>Gradual and rapid shifts in the composition of assemblages of hydroids (Cnidaria) along depth and latitude in the deep Atlantic Ocean</t>
  </si>
  <si>
    <t>Atlantic Ocean; deep-sea benthos; depth; faunal changes; Hydrozoa; latitude; marine biogeography; turnover</t>
  </si>
  <si>
    <t>US ANTARCTIC EXPEDITIONS; SPECIES-DIVERSITY; HABITAT HETEROGENEITY; MULTIVARIATE-ANALYSIS; BIOLOGICAL TRAITS; SEA; BIOGEOGRAPHY; PATTERNS; BIODIVERSITY; HYDROZOA</t>
  </si>
  <si>
    <t>Aim Despite growing knowledge on deep-sea benthic fauna, patterns of changes in species composition combining both bathymetric and latitudinal variation are still poorly known. In the first synthesis on the beta diversity patterns of assemblages of hydroids across an entire ocean basin, our aim was to infer limits and gradients of species distribution along depth and latitude. Location Atlantic Ocean and adjacent polar seas. Taxon Hydrozoa. Methods Hydroids from 50 to 5,330 m deep were studied primarily based on museum collections. Identifications were made by the authors, improving uniformity within the dataset by avoiding variations in taxonomic interpretation. Data totalled 3,699 records belonging to 432 species, at 1,444 unique sites. Records were assigned to three depth strata (50-200, 201-1,000 and 1,001-5,330 m) and eight latitudinal bands of 20 degrees each, totalling 24 sample areas. We conducted non-metric multidimensional scaling (NMDS) ordination, clustering and PERMANOVA analyses of species compositions and abundances per area to examine differences and relationships in hydroid assemblages among areas. Results Assemblages primarily differentiate between those to the north and south of 40 degrees S, regardless of depth, with southern ones separated between Patagonian and Antarctic. Northwards of 40 degrees S, assemblages differentiate gradually along both depth and latitude, although a faunal turnover occurs at 1,000 m deep. Also, assemblages at 1,001-5,330 m deep tend to be more similar to each other than assemblages at shallower strata, suggesting significant connectivity over great distances in the deep sea. We note the problem of largely unequal hydroid sampling in the Atlantic Ocean across depths and latitudes, especially in the southern hemisphere and below 1,000 m deep. Main Conclusions Assemblages of hydroids differentiate gradually along latitude and depth, with more rapid shifts in species composition occurring at 40 degrees S, 60 degrees S and at 1,000 m deep. Greater similarity was found among deeper water assemblages.</t>
  </si>
  <si>
    <t>[Fernandez, Marina O.; Marques, Antonio C.] Univ Sao Paulo, Inst Biociencias, Dept Zool, Sao Paulo, Brazil; [Collins, Allen G.] NOAA, Natl Systemat Lab, Natl Marine Fisheries Serv, Smithsonian Natl Museum Nat Hist, Washington, DC USA</t>
  </si>
  <si>
    <t>Universidade de Sao Paulo; Smithsonian Institution; Smithsonian National Museum of Natural History; National Oceanic Atmospheric Admin (NOAA) - USA</t>
  </si>
  <si>
    <t>Fernandez, MO (corresponding author), Univ Sao Paulo, Inst Biociencias, Dept Zool, Sao Paulo, Brazil.</t>
  </si>
  <si>
    <t>marinafernandez@ib.usp.br</t>
  </si>
  <si>
    <t>Fernandez, Marina/X-7755-2018; Marques, Antonio/E-8049-2011; Collins, Allen/A-7944-2008</t>
  </si>
  <si>
    <t>Fernandez, Marina/0000-0002-8161-8579; Marques, Antonio/0000-0002-2884-0541; Collins, Allen/0000-0002-3664-9691</t>
  </si>
  <si>
    <t>Fundacao de Amparo a Pesquisa do Estado de Sao Paulo [2013/10821-1, 2015/16948-9, 2018/04257-0, 2011/50242-5]; Conselho Nacional de Desenvolvimento Cientifico e Tecnologico [142052/2013-2, 445444/2014-2, 309995/2017-5]; Coordenacao de Aperfeicoamento de Pessoal de Nivel Superior [6229/14-0]</t>
  </si>
  <si>
    <t>Fundacao de Amparo a Pesquisa do Estado de Sao Paulo(Fundacao de Amparo a Pesquisa do Estado de Sao Paulo (FAPESP)); Conselho Nacional de Desenvolvimento Cientifico e Tecnologico(Conselho Nacional de Desenvolvimento Cientifico e Tecnologico (CNPQ)); Coordenacao de Aperfeicoamento de Pessoal de Nivel Superior(Coordenacao de Aperfeicoamento de Pessoal de Nivel Superior (CAPES))</t>
  </si>
  <si>
    <t>Fundacao de Amparo a Pesquisa do Estado de Sao Paulo, Grant/Award Number: 2013/10821-1, 2015/16948-9, 2018/04257-0 and 2011/50242-5; Conselho Nacional de Desenvolvimento Cientifico e Tecnologico, Grant/Award Number: 142052/2013-2, 445444/2014-2 and 309995/2017-5; Coordenacao de Aperfeicoamento de Pessoal de Nivel Superior, Grant/Award Number: 6229/14-0</t>
  </si>
  <si>
    <t>10.1111/jbi.13853</t>
  </si>
  <si>
    <t>MD3ZU</t>
  </si>
  <si>
    <t>WOS:000525960700001</t>
  </si>
  <si>
    <t>Wang, YZ; Liu, C; Ren, P; Li, YM</t>
  </si>
  <si>
    <t>Wang, Yuanzheng; Liu, Chen; Ren, Ping; Li, Yingmei</t>
  </si>
  <si>
    <t>Pre-cold acclimation promotes cryoprotectant accumulation and enhances freezing tolerance of Meloidogyne incognita</t>
  </si>
  <si>
    <t>JOURNAL OF PHYTOPATHOLOGY</t>
  </si>
  <si>
    <t>cold acclimation; cryoprotectant; Meloidogyne incognita; pathogenicity</t>
  </si>
  <si>
    <t>ANTARCTIC NEMATODE; LOW-TEMPERATURE; SURVIVAL; EGGS</t>
  </si>
  <si>
    <t>Strong evidence suggests that cryoprotectant accumulation during pre-cold acclimation protects cells against freezing injuries caused by cellular dehydration. In this study, the concentrations of trehalose and glycerol were measured in Meloidogyne incognita and it was found that both cryoprotectants were significantly accumulated in second-stage juveniles (J2) of M. incognita after acclimation at 4 degrees C. However, compared with non-acclimated samples, only a higher level of trehalose was induced in the egg masses of M. incognita in response to cold treatment. Further characterizations indicated that pre-cold acclimation efficiently accelerated the speed of larvae hatching from egg masses that were subjected to freezing at -1 degrees C. In addition, the survival rate and pathogenicity of M. incognita J2 that had been acclimated prior to freezing were significantly enhanced when compared with non-acclimated J2 individuals. As far as we know, this is the first time that this phenomenon has been reported in M. incognita.</t>
  </si>
  <si>
    <t>[Wang, Yuanzheng; Liu, Chen; Ren, Ping; Li, Yingmei] Shaanxi Acad Sci, Bioagr Inst Shaanxi, Shaanxi Key Lab Plant Nematol, Xian, Peoples R China</t>
  </si>
  <si>
    <t>Shaanxi Academy of Sciences</t>
  </si>
  <si>
    <t>Li, YM (corresponding author), Shaanxi Acad Sci, Bioagr Inst Shaanxi, Xian 710043, Peoples R China.</t>
  </si>
  <si>
    <t>liyingmei9@163.com</t>
  </si>
  <si>
    <t>Natural Science Foundation of Shaanxi Province [2019JQ992]; Talents Program of Shaanxi Academy of Sciences [2019K-17]</t>
  </si>
  <si>
    <t>Natural Science Foundation of Shaanxi Province(Natural Science Foundation of Shaanxi Province); Talents Program of Shaanxi Academy of Sciences</t>
  </si>
  <si>
    <t>Natural Science Foundation of Shaanxi Province, Grant/Award Number: 2019JQ992; Talents Program of Shaanxi Academy of Sciences, Grant/Award Number: 2019K-17</t>
  </si>
  <si>
    <t>0931-1785</t>
  </si>
  <si>
    <t>1439-0434</t>
  </si>
  <si>
    <t>J PHYTOPATHOL</t>
  </si>
  <si>
    <t>J. Phytopathol.</t>
  </si>
  <si>
    <t>10.1111/jph.12897</t>
  </si>
  <si>
    <t>LL7DB</t>
  </si>
  <si>
    <t>WOS:000525974800001</t>
  </si>
  <si>
    <t>Tomkins, AG; Johnson, TE; Mitchell, JT</t>
  </si>
  <si>
    <t>Tomkins, Andrew G.; Johnson, Tim E.; Mitchell, Jennifer T.</t>
  </si>
  <si>
    <t>A review of the chondrite-achondrite transition, and a metamorphic facies series for equilibrated primitive stony meteorites</t>
  </si>
  <si>
    <t>PARTIALLY MOLTEN SILICATES; PARTIAL MELT RESIDUES; PARENT BODY; THERMAL HISTORY; ENSTATITE CHONDRITES; SHOCK HISTORIES; PORTALES VALLEY; ACAPULCOITE; UREILITE; RICH</t>
  </si>
  <si>
    <t>Here, the petrological features of numerous primitive achondrites and highly equilibrated chondrites are evaluated to review and expand upon our knowledge of the chondrite-achondrite transition, and primitive achondrites in general. A thermodynamic model for the initial silicate melting temperature and progressive melting for nearly the entire known range of oxidation states is provided, which can be expressed as T-m = 0.035Fa(2)-3.51Fa + 1109 (in degrees C, where Fa is the proportion of fayalite in olivine). This model is then used to frame a discussion of textural and mineralogical evolution of stony meteorites with increasing temperature. We suggest that the metamorphic petrology of these meteorites should be based on diffusive equilibration among the silicate minerals, and as such, the chondrite-achondrite transition should be defined by the initial point of silicate melting, not by metal-troilite melting. Evidence of silicate melting is preserved by a distinctive texture of interconnected interstitial plagioclase +/- pyroxene networks among rounded olivine and/or pyroxene (depending on integral O-2), which pseudomorph the former silicate melt network. Indirectly, the presence of exsolution lamellae in augite in slowly cooled achondrites also implies that silicate melting occurred because of the high temperatures required, and because silicate melt enhances diffusion. A metamorphic facies series is defined: the Plagioclase Facies is equivalent to petrologic types 5 and 6, the Sub-calcic Augite Facies is bounded at lower temperatures by the initiation of silicate melting and at higher temperatures by the appearance of pigeonite, which marks the transition to the Pigeonite Facies.</t>
  </si>
  <si>
    <t>[Tomkins, Andrew G.; Mitchell, Jennifer T.] Monash Univ, Sch Earth Atmosphere &amp; Environm, Melbourne, Vic 3800, Australia; [Johnson, Tim E.] Curtin Univ, Inst Geosci Res TIGeR, Dept Appl Geol, Perth, WA 6845, Australia; [Johnson, Tim E.] China Univ Geosci, Sch Earth Sci, State Key Lab Geol Proc &amp; Mineral Resources, Wuhan 430074, Peoples R China; [Johnson, Tim E.] China Univ Geosci, Sch Earth Sci, Ctr Global Tecton, Wuhan 430074, Peoples R China</t>
  </si>
  <si>
    <t>Melbourne Genomics Health Alliance; Monash University; Curtin University; China University of Geosciences; China University of Geosciences</t>
  </si>
  <si>
    <t>Tomkins, AG (corresponding author), Monash Univ, Sch Earth Atmosphere &amp; Environm, Melbourne, Vic 3800, Australia.</t>
  </si>
  <si>
    <t>andy.tomkins@monash.edu</t>
  </si>
  <si>
    <t>Johnson, Tim/M-6009-2017</t>
  </si>
  <si>
    <t>Johnson, Tim/0000-0001-8704-4396; Tomkins, Andrew/0000-0003-2788-331X; Mitchell, Jennifer T./0000-0002-5922-2463</t>
  </si>
  <si>
    <t>NSF; NASA; National Geographic Research and Exploration Grant [9680-15]; ARC LIEF grant [LE130100087]; Monash University; Institute of Geosciences, Curtin University; State Key Lab for Geological Processes and Mineral Resources, China University of Geosciences, Wuhan [GPMR210704]; Australian Research Council [LE130100087] Funding Source: Australian Research Council</t>
  </si>
  <si>
    <t>NSF(National Science Foundation (NSF)); NASA(National Aeronautics &amp; Space Administration (NASA)); National Geographic Research and Exploration Grant(National Geographic Society); ARC LIEF grant(Australian Research Council); Monash University(Monash University); Institute of Geosciences, Curtin University; State Key Lab for Geological Processes and Mineral Resources, China University of Geosciences, Wuhan; Australian Research Council(Australian Research Council)</t>
  </si>
  <si>
    <t>Colin MacRae and Nick Wilson are thanked for assistance with the electron microprobe work. Junnel Alegado is thanked for preparing many thin sections. NASA JSC is thanked for provision of some of the samples used in this study;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project was funded in part by National Geographic Research and Exploration Grant 9680-15, which funded fieldwork that resulted in recovery of some of the meteorites used in this study. We acknowledge ARC LIEF grant LE130100087, which provided funds to purchase the electron microprobe used in this study. We acknowledge use of the Monash Centre for Electron Microscopy, funded centrally by Monash University. We also thank our crowd-sourced funding supporters who donated to our Space Rocks campaign with Pozible; the meteorites recovered through that project were invaluable in this study. T.E.J. acknowledges support from The Institute of Geosciences, Curtin University, and Open Fund GPMR210704 from the State Key Lab for Geological Processes and Mineral Resources, China University of Geosciences, Wuhan. The authors declare no conflicting interests.</t>
  </si>
  <si>
    <t>10.1111/maps.13472</t>
  </si>
  <si>
    <t>WOS:000526027500001</t>
  </si>
  <si>
    <t>Acuña-Rodríguez, IS; Newsham, KK; Gundel, PE; Torres-Díaz, C; Molina-Montenegro, MA</t>
  </si>
  <si>
    <t>Acuna-Rodriguez, Ian S.; Newsham, Kevin K.; Gundel, Pedro E.; Torres-Diaz, Cristian; Molina-Montenegro, Marco A.</t>
  </si>
  <si>
    <t>Functional roles of microbial symbionts in plant cold tolerance</t>
  </si>
  <si>
    <t>ECOLOGY LETTERS</t>
  </si>
  <si>
    <t>Arbuscular mycorrhizas; bacteria; cold stress; endophytes; freezing; fungi; symbiosis</t>
  </si>
  <si>
    <t>LOW-TEMPERATURE STRESS; MYCORRHIZAL FUNGI AMF; ENDOPHYTIC FUNGI; PLASMA-MEMBRANE; GENE-EXPRESSION; DARK-SEPTATE; COLOBANTHUS-QUITENSIS; ARBUSCULAR MYCORRHIZA; CHILLING RESISTANCE; DROUGHT STRESS</t>
  </si>
  <si>
    <t>In this review, we examine the functional roles of microbial symbionts in plant tolerance to cold and freezing stresses. The impacts of symbionts on antioxidant activity, hormonal signaling and host osmotic balance are described, including the effects of the bacterial endosymbionts Burkholderia, Pseudomonas and Azospirillum on photosynthesis and the accumulation of carbohydrates such as trehalose and raffinose that improve cell osmotic regulation and plasma membrane integrity. The influence of root fungal endophytes and arbuscular mycorrhizal fungi on plant physiology at low temperatures, for example their effects on nutrient acquisition and the accumulation of indole-3-acetic acid and antioxidants in tissues, are also reviewed. Meta-analyses are presented showing that aspects of plant performance (shoot biomass, relative water content, sugar and proline concentrations and F-v/F-m) are enhanced in symbiotic plants at low (-1 to 15 degrees C), but not at high (20-26 degrees C), temperatures. We discuss the implications of microbial symbionts for plant performance at low and sub-zero temperatures in the natural environment and propose future directions for research into the effects of symbionts on the cold and freezing tolerances of plants, concluding that further studies should routinely incorporate symbiotic microbes in their experimental designs.</t>
  </si>
  <si>
    <t>[Acuna-Rodriguez, Ian S.; Molina-Montenegro, Marco A.] Univ Talca, Lab Biol Vegetal, Inst Ciencias Biol, Campus Lircay, Talca, Chile; [Newsham, Kevin K.] NERC British Antarctic Survey, Cambridge, England; [Gundel, Pedro E.] Univ Buenos Aires, Fac Agron, CONICET, IFEVA, Buenos Aires, DF, Argentina; [Torres-Diaz, Cristian] Univ Bio Bio, Dept Ciencias Basicas, Grp Biodivers &amp; Cambio Global BCG, Campus Fernando May, Chillan, Chile; [Molina-Montenegro, Marco A.] Univ Catolica Norte, Fac Ciencias Mar, CEAZA, Coquimbo, Chile; [Molina-Montenegro, Marco A.] Univ Catolica Maule, CIEAM, Campus San Miguel, Talca, Chile</t>
  </si>
  <si>
    <t>Universidad de Talca; Consejo Nacional de Investigaciones Cientificas y Tecnicas (CONICET); University of Buenos Aires; Universidad del Bio-Bio; Universidad Catolica del Norte; Universidad Catolica del Maule</t>
  </si>
  <si>
    <t>Acuña-Rodríguez, IS (corresponding author), Univ Talca, Lab Biol Vegetal, Inst Ciencias Biol, Campus Lircay, Talca, Chile.</t>
  </si>
  <si>
    <t>iacuna@utalca.cl</t>
  </si>
  <si>
    <t>Gundel, Pedro Emilio/A-5314-2013</t>
  </si>
  <si>
    <t>Gundel, Pedro Emilio/0000-0003-3246-0282; Acuna, Ian/0000-0001-5380-895X; Torres Diaz, Cristian/0000-0002-5741-5288</t>
  </si>
  <si>
    <t>FONDECYT [3180441, 1181034, PII 20150126]; NERC-CONICYT award [NE/P003079/1 -PII20150126]; NERC [bas0100036, NE/P003079/1] Funding Source: UKRI</t>
  </si>
  <si>
    <t>FONDECYT(Comision Nacional de Investigacion Cientifica y Tecnologica (CONICYT)CONICYT FONDECYT); NERC-CONICYT award; NERC(UK Research &amp; Innovation (UKRI)Natural Environment Research Council (NERC))</t>
  </si>
  <si>
    <t>I.S. Acuna-Rodriguez is funded by project FONDECYT 3180441. M.A. Molina-Montenegro is supported by projects FONDECYT 1181034, PII 20150126 and a NERC-CONICYT award (NE/P003079/1 -PII20150126), which also supports K.K. Newsham and C. Torres-Diaz. This article contributes to the SCAR biological research programs Antarctic Thresholds - Ecosystem Resilience and Adaptation (AnT-ERA) and State of the Antarctic Ecosystem (AntEco). Three anonymous reviewers and the editor provided constructive and helpful comments on the manuscript. Special thanks to Fernarda Oyarzun for her artwork design in Fig. 3.</t>
  </si>
  <si>
    <t>1461-023X</t>
  </si>
  <si>
    <t>1461-0248</t>
  </si>
  <si>
    <t>ECOL LETT</t>
  </si>
  <si>
    <t>Ecol. Lett.</t>
  </si>
  <si>
    <t>10.1111/ele.13502</t>
  </si>
  <si>
    <t>LP3KZ</t>
  </si>
  <si>
    <t>WOS:000526007100001</t>
  </si>
  <si>
    <t>Stratospheric Ozone-induced Cloud Radiative Effects on Antarctic Sea Ice (vol 37, pg 505, 2020)</t>
  </si>
  <si>
    <t>Xie, Fei/I-9766-2016; Lin, Jintai/A-8872-2012; Hu, Yongyun/B-6786-2016; Huang, Yi/E-9479-2016; Xia, Yan/A-7160-2018</t>
  </si>
  <si>
    <t>Xie, Fei/0000-0003-2891-3883; Lin, Jintai/0000-0002-2362-2940; Hu, Yongyun/0000-0002-4003-4630;</t>
  </si>
  <si>
    <t>10.1007/s00376-020-2003-5</t>
  </si>
  <si>
    <t>3B7RG</t>
  </si>
  <si>
    <t>WOS:000558460600001</t>
  </si>
  <si>
    <t>Vasinka, M; Krmícek, L; Vsiansky, D; Hrbacek, F; Nyvlt, D</t>
  </si>
  <si>
    <t>Vasinka, Martin; Krmicek, Lukas; Vsiansky, Dalibor; Hrbacek, Filip; Nyvlt, Daniel</t>
  </si>
  <si>
    <t>Chemical weathering in Antarctica: an example of igneous rock particles in Big Lachman Lake sediments, James Ross Island</t>
  </si>
  <si>
    <t>ENVIRONMENTAL EARTH SCIENCES</t>
  </si>
  <si>
    <t>Lake sediments; Trace elements; Clay minerals; Weathering</t>
  </si>
  <si>
    <t>PRINCE GUSTAV CHANNEL; SOR-RONDANE MOUNTAINS; EASTERN GRAHAM LAND; ULU PENINSULA; GLACIAL HISTORY; ATMOSPHERIC CO2; VOLCANIC GROUP; TAYLOR VALLEY; WEDDELL SEA; DRY VALLEYS</t>
  </si>
  <si>
    <t>Lacustrine sediments of the Big Lachman Lake (James Ross Island, Antarctica) are dominated by clay- and silt-sized particles of varied petrographic composition. These are of volcanic origin and are derived predominantly from the Mendel Formation. The intensity of chemical weathering of volcanic rock particles in the sediments was expressed by the Chemical Index of Alteration (CIA), which reflects alteration of feldspars and formation of clay minerals. The observed mineral assemblage of montmorillonite, illite, and kaolinite probably originated from alteration of volcanic glass and from alteration of feldspars to clay minerals. CIA weathering rates from the lacustrine sediments are similar to those of Early Jurrasic high-Ti volcanic rocks of the Mount Poster Formation and Middle Jurrasic high-Ti volcanic rocks of the Mapple Formation from the Antarctic Peninsula. However, the sediments show a good fit in OIB-normalized incompatible trace-element patterns only with the high-Ti volcanic rocks from the Middle Jurassic rhyolites of the Mapple Formation, while the fit with Cenozoic basalts of the James Ross Island Volcanic Group is poorer. Rocks from the Antarctic Peninsula were probably transported through the Prince Gustav channel by small glaciers during the Neogene and Quaternary.</t>
  </si>
  <si>
    <t>[Vasinka, Martin; Krmicek, Lukas; Vsiansky, Dalibor] Masaryk Univ, Fac Sci, Dept Geol Sci, Kotlarska 2, CS-61137 Brno, Czech Republic; [Vasinka, Martin] Agr Res Spol Sro, Zahradni 400-1, Troubsko 66441, Czech Republic; [Krmicek, Lukas] Czech Acad Sci, Inst Geol, Rozvojova 269, Prague 16502 6, Czech Republic; [Krmicek, Lukas] Brno Univ Technol, Fac Civil Engn, AdMaS Ctr, Veveri 95, Brno 60200, Czech Republic; [Hrbacek, Filip; Nyvlt, Daniel] Masaryk Univ, Fac Sci, Dept Geog, Kotlarska 2, CS-61137 Brno, Czech Republic</t>
  </si>
  <si>
    <t>Masaryk University Brno; Czech Academy of Sciences; Institute of Geology of the Czech Academy of Sciences; Brno University of Technology; Masaryk University Brno</t>
  </si>
  <si>
    <t>Krmícek, L (corresponding author), Masaryk Univ, Fac Sci, Dept Geol Sci, Kotlarska 2, CS-61137 Brno, Czech Republic.;Krmícek, L (corresponding author), Czech Acad Sci, Inst Geol, Rozvojova 269, Prague 16502 6, Czech Republic.;Krmícek, L (corresponding author), Brno Univ Technol, Fac Civil Engn, AdMaS Ctr, Veveri 95, Brno 60200, Czech Republic.</t>
  </si>
  <si>
    <t>lukas.krmicek@gmail.com</t>
  </si>
  <si>
    <t>Krmíček, Lukáš/ABB-2293-2020; Všianský, Dalibor/AAR-4135-2021; Nyvlt, Daniel/J-6504-2019; Hrbacek, Filip/ABG-4319-2020</t>
  </si>
  <si>
    <t>Krmíček, Lukáš/0000-0003-0943-9776; Nyvlt, Daniel/0000-0002-6876-490X; Hrbacek, Filip/0000-0001-5032-9216; Vasinka, Martin/0000-0002-0857-3925</t>
  </si>
  <si>
    <t>Institute of Geology of the Czech Academy of Sciences [RVO 67985831]; BUT project - Ministry of Education, Youth and Sports CR under the National Sustainability Programme I [LO1408]; Ministry of Education, Youth and Sports of the Czech Republic [LM2015078, CZ.02.1.01/0.0/0.0/16_013/0001708]; [MZE-RO1719]</t>
  </si>
  <si>
    <t>Institute of Geology of the Czech Academy of Sciences(Czech Academy of Sciences); BUT project - Ministry of Education, Youth and Sports CR under the National Sustainability Programme I; Ministry of Education, Youth and Sports of the Czech Republic(Ministry of Education, Youth &amp; Sports - Czech Republic);</t>
  </si>
  <si>
    <t>This research was financially supported by the institutional project RVO 67985831 of the Institute of Geology of the Czech Academy of Sciences, as well as by the BUT project LO1408 AdMaS UP - Advanced Materials, Structures and Technologies, supported by the Ministry of Education, Youth and Sports CR under the National Sustainability Programme I and the project MZE-RO1719. This contribution was supported by the Ministry of Education, Youth and Sports of the Czech Republic projects no. LM2015078 and CZ.02.1.01/0.0/0.0/16_013/0001708, which finance the scientific infrastructure of the Czech Antarctic J. G. Mendel Station. The authors appreciate the support of its crew. The authors also thank Simona Krmikova (Masaryk University) and Martin J. Timmerman (Universitat Potsdam) for the final corrections.</t>
  </si>
  <si>
    <t>1866-6280</t>
  </si>
  <si>
    <t>1866-6299</t>
  </si>
  <si>
    <t>ENVIRON EARTH SCI</t>
  </si>
  <si>
    <t>Environ. Earth Sci.</t>
  </si>
  <si>
    <t>APR 11</t>
  </si>
  <si>
    <t>10.1007/s12665-020-08926-3</t>
  </si>
  <si>
    <t>Environmental Sciences; Geosciences, Multidisciplinary; Water Resources</t>
  </si>
  <si>
    <t>Environmental Sciences &amp; Ecology; Geology; Water Resources</t>
  </si>
  <si>
    <t>LF8PR</t>
  </si>
  <si>
    <t>WOS:000527677100002</t>
  </si>
  <si>
    <t>Nuwagira, E; Muzoora, C</t>
  </si>
  <si>
    <t>Nuwagira, Edwin; Muzoora, Conrad</t>
  </si>
  <si>
    <t>Is Sub-Saharan Africa prepared for COVID-19?</t>
  </si>
  <si>
    <t>TROPICAL MEDICINE AND HEALTH</t>
  </si>
  <si>
    <t>COVID-19; Sub-Saharan Africa</t>
  </si>
  <si>
    <t>Severe acute respiratory syndrome coronavirus 2 (SARS-CoV-2), the virus that causes coronavirus disease 2019 (COVID-19), is the latest virus to cause global health panic. Due to the rapidly escalating numbers of new infections outside China, COVID-19 was declared a pandemic by the World Health Organization (WHO) on March 11, 2020, in a message delivered by Dr. Tedros Adhanom Ghebreyesus, the WHO Director-General [1]. As of March 21, about 166 countries globally had recoded cases of the COVID-19 in only 4 months since its outbreak in Wuhan, Hubei Province, China [2, 3]. With the Antarctic continent unaffected, Africa, in particular Sub-Saharan Africa (SSA), has recorded the least number of cases, despite the cited moderate-to-high risk of infection [4]. The biggest challenge is whether Sub-Saharan Africa is ready for this pandemic.</t>
  </si>
  <si>
    <t>[Nuwagira, Edwin; Muzoora, Conrad] Mbarara Univ Sci &amp; Technol, Dept Med, Infect Dis Unit, POB 1410, Mbarara, Uganda</t>
  </si>
  <si>
    <t>Mbarara University of Science &amp; Technology</t>
  </si>
  <si>
    <t>Nuwagira, E (corresponding author), Mbarara Univ Sci &amp; Technol, Dept Med, Infect Dis Unit, POB 1410, Mbarara, Uganda.</t>
  </si>
  <si>
    <t>enuwagira@must.ac.ug</t>
  </si>
  <si>
    <t>Francis, Toluse Dove/Q-4449-2018; Muzoora, Conrad/AAV-7023-2021</t>
  </si>
  <si>
    <t>Francis, Toluse Dove/0000-0001-5100-2784; Muzoora, Conrad/0000-0002-7866-5198</t>
  </si>
  <si>
    <t>1348-8945</t>
  </si>
  <si>
    <t>1349-4147</t>
  </si>
  <si>
    <t>TROP MED HEALTH</t>
  </si>
  <si>
    <t>Trop. Med. Health</t>
  </si>
  <si>
    <t>APR 10</t>
  </si>
  <si>
    <t>10.1186/s41182-020-00206-x</t>
  </si>
  <si>
    <t>Tropical Medicine</t>
  </si>
  <si>
    <t>LE2EB</t>
  </si>
  <si>
    <t>WOS:000526534900001</t>
  </si>
  <si>
    <t>Tan, IKP; Foong, CP; Tan, HT; Lim, H; Zain, NAA; Tan, YC; Hoh, CC; Sudesh, K</t>
  </si>
  <si>
    <t>Tan, Irene Kit Ping; Foong, Choon Pin; Tan, Hua Tiang; Lim, Hui; Zain, Noor-Afiqah Ahmad; Tan, Yung Chie; Hoh, Chee Choong; Sudesh, Kumar</t>
  </si>
  <si>
    <t>Polyhydroxyalkanoate (PHA) synthase genes and PHA-associated gene clusters in Pseudomonas spp. and Janthinobacterium spp. isolated from Antarctica</t>
  </si>
  <si>
    <t>JOURNAL OF BIOTECHNOLOGY</t>
  </si>
  <si>
    <t>Antarctic bacteria; PHA operon; PHA synthase; Polyhydroxyalkanoates (PHA); Whole-genome sequencing</t>
  </si>
  <si>
    <t>BIOSYNTHESIS GENES; CLONING; POLY(3-HYDROXYBUTYRATE); PURIFICATION; METABOLISM; ABILITY; SYSTEM</t>
  </si>
  <si>
    <t>The polyhydroxyalkanoate (PHA) producing capability of four bacterial strains isolated from Antarctica was reported in a previous study. This study analyzed the PHA synthase genes and the PHA-associated gene clusters from the two antarctic Pseudomonas isolates (UMAB-08 and UMAB-40) and the two antarctic Janthinobacterium isolates (UMAB-56 and UMAB-60) through whole-genome sequence analysis. The Pseudomonas isolates were found to carry PHA synthase genes which fall into two different PHA gene clusters, namely Class I and Class II, which are involved in the biosynthesis of short-chain-length-PHA (SCL-PHA) and medium-chain-length-PHA (MCL-PHA), respectively. On the other hand, the Janthinobacterium isolates carry a Class I and an uncharacterized putative PHA synthase genes. No other gene involved in PHA synthesis was detected in close proximity to the uncharacterized putative PHA synthase gene in the Janthinobacterium isolates, therefore it falls into a separate clade from the ordinary Class I, II, III and IV clades of PHA synthase (PhaC) phylogenetic tree. Multiple sequence alignment showed that the uncharacterized putative PHA synthase gene contains all the highly conserved amino acid residues and the proposed catalytic triad of PHA synthase. PHA biosynthesis and in vitro PhaC enzymatic assay results showed that this uncharacterized putative PHA synthase from Janthinobacterium sp. UMAB-60 is funtional. This report adds new knowledge to the PHA synthase database as we describe scarce information of PHA synthase genes and PHA-associated gene clusters from the antarctic bacterial isolates (extreme and geographically isolated environment) and comparing with those from non-antarctic PHA-producing bacteria.</t>
  </si>
  <si>
    <t>[Tan, Irene Kit Ping] Univ Malaya, Fac Sci, Inst Biol Sci, Kuala Lumpur 50603, Malaysia; [Foong, Choon Pin; Tan, Hua Tiang; Lim, Hui; Zain, Noor-Afiqah Ahmad; Sudesh, Kumar] Univ Sains Malaysia, Sch Biol Sci, Ecobiomat Res Lab, George Town 11800, Malaysia; [Tan, Yung Chie; Hoh, Chee Choong] Codon Genom SB, Dept Sci &amp; Technol, Balakong 43200, Seri Kembangan, Malaysia</t>
  </si>
  <si>
    <t>Universiti Malaya; Universiti Sains Malaysia</t>
  </si>
  <si>
    <t>Sudesh, K (corresponding author), Univ Sains Malaysia, Sch Biol Sci, George Town 11800, Malaysia.</t>
  </si>
  <si>
    <t>ksudesh@usm.my</t>
  </si>
  <si>
    <t>Tan, Irene Kit Ping/B-8661-2010; Sudesh, Kumar/ABG-4333-2020; Foong, Choon Pin/C-4270-2017</t>
  </si>
  <si>
    <t>Tan, Irene Kit Ping/0000-0001-9601-5810; Sudesh, Kumar/0000-0003-4756-9192; Foong, Choon Pin/0000-0002-7785-7702</t>
  </si>
  <si>
    <t>University of Malaya [UMRG RP007-2012B]; Universiti Sains Malaysia [1001/PBIOLOGI/8011060]; Ministry of Higher Education (Malaysia); Public Service Department of Malaysia scholarship scheme</t>
  </si>
  <si>
    <t>University of Malaya(Universiti Malaya); Universiti Sains Malaysia(Universiti Sains Malaysia); Ministry of Higher Education (Malaysia)(Ministry of Education, Malaysia); Public Service Department of Malaysia scholarship scheme</t>
  </si>
  <si>
    <t>This study was funded in parts by University of Malaya Research Grant (UMRG RP007-2012B) and Research University Grant (RUI) from Universiti Sains Malaysia (1001/PBIOLOGI/8011060). HTT acknowledges MyBrainSc scholarship awarded by Ministry of Higher Education (Malaysia) for financial support. N-AAZ is supported by the Public Service Department of Malaysia scholarship scheme.</t>
  </si>
  <si>
    <t>0168-1656</t>
  </si>
  <si>
    <t>1873-4863</t>
  </si>
  <si>
    <t>J BIOTECHNOL</t>
  </si>
  <si>
    <t>J. Biotechnol.</t>
  </si>
  <si>
    <t>10.1016/j.jbiotec.2020.03.006</t>
  </si>
  <si>
    <t>KY8AK</t>
  </si>
  <si>
    <t>WOS:000522793800003</t>
  </si>
  <si>
    <t>Logan, LC; Narayanan, SHK; Greve, R; Heimbach, P</t>
  </si>
  <si>
    <t>Logan, Liz C.; Narayanan, Sri Hari Krishna; Greve, Ralf; Heimbach, Patrick</t>
  </si>
  <si>
    <t>SICOPOLIS-AD v1: an open-source adjoint modeling framework for ice sheet simulation enabled by the algorithmic differentiation tool OpenAD</t>
  </si>
  <si>
    <t>GENERAL-CIRCULATION MODEL; DATA ASSIMILATION; INITIAL CONDITIONS; PINE ISLAND; GREENLAND; GLACIERS; BASAL; ANTARCTICA; SATELLITE; THICKNESS</t>
  </si>
  <si>
    <t>We present a new capability of the ice sheet model SICOPOLIS that enables flexible adjoint code generation via source transformation using the open-source algorithmic differentiation (AD) tool OpenAD. The adjoint code enables efficient calculation of the sensitivities of a scalar-valued objective function or quantity of interest (QoI) to a range of important, often spatially varying and uncertain model input variables, including initial and boundary conditions, as well as model parameters. Compared to earlier work on the adjoint code generation of SICOPOLIS, our work makes several important advances: (i) it is embedded within the up-to-date trunk of the SICOPOLIS repository - accounting for 1.5 decades of code development and improvements - and is readily available to the wider community; (ii) the AD tool used, OpenAD, is an open-source tool; (iii) the adjoint code developed is applicable to both Greenland and Antarctica, including grounded ice as well as floating ice shelves, with an extended choice of thermodynamical representations. A number of code refactorization steps were required. They are discussed in detail in an Appendix as they hold lessons for the application of AD to legacy codes at large. As an example application, we examine the sensitivity of the total Antarctic Ice Sheet volume to changes in initial ice thickness, austral summer precipitation, and basal and surface temperatures across the ice sheet. Simulations of Antarctica with floating ice shelves show that over 100 years of simulation the sensitivity of total ice sheet volume to the initial ice thickness and precipitation is almost uniformly positive, while the sensitivities to surface and basal temperature are almost uniformly negative. Sensitivity to austral summer precipitation is largest on floating ice shelves from Queen Maud to Queen Mary Land. The largest sensitivity to initial ice thickness is at outlet glaciers around Antarctica. Comparison between total ice sheet volume sensitivities to surface and basal temperature shows that surface temperature sensitivities are higher broadly across the floating ice shelves, while basal temperature sensitivities are highest at the grounding lines of floating ice shelves and outlet glaciers. A uniformly perturbed region of East Antarctica reveals that, among the four control variables tested here, total ice sheet volume is the most sensitive to variations in austral summer precipitation as formulated in SICOPOLIS. Comparison between adjoint- and finite-difference-derived sensitivities shows good agreement, lending confidence that the AD tool is producing correct adjoint code. The new modeling infrastructure is freely available at http://www.sicopolis.net (last access: 2 April 2020) under the development trunk.</t>
  </si>
  <si>
    <t>[Logan, Liz C.; Heimbach, Patrick] Univ Texas Austin, Oden Inst Computat Engn &amp; Sci, 201 East 24th St, Austin, TX 78712 USA; [Narayanan, Sri Hari Krishna] Argonne Natl Lab, Div Math &amp; Comp Sci, 9700 S Cass Ave, Argonne, IL 60439 USA; [Greve, Ralf] Hokkaido Univ, Inst Low Temp Sci, Kita Ku, Kita-19,Nishi-8, Sapporo, Hokkaido 0600819, Japan; [Greve, Ralf] Hokkaido Univ, Arctic Res Ctr, Kita Ku, Kita-21,Nishi-11, Sapporo, Hokkaido 0010021, Japan; [Heimbach, Patrick] Univ Texas Austin, Jackson Sch Geosci, 201 East 24th St, Austin, TX 78712 USA; [Heimbach, Patrick] Univ Texas Austin, Inst Geophys, JJ Pickle Res Campus,Bldg 196, Austin, TX 78758 USA</t>
  </si>
  <si>
    <t>University of Texas System; University of Texas Austin; United States Department of Energy (DOE); Argonne National Laboratory; Hokkaido University; Hokkaido University; University of Texas System; University of Texas Austin; University of Texas System; University of Texas Austin</t>
  </si>
  <si>
    <t>Heimbach, P (corresponding author), Univ Texas Austin, Oden Inst Computat Engn &amp; Sci, 201 East 24th St, Austin, TX 78712 USA.;Heimbach, P (corresponding author), Univ Texas Austin, Jackson Sch Geosci, 201 East 24th St, Austin, TX 78712 USA.;Heimbach, P (corresponding author), Univ Texas Austin, Inst Geophys, JJ Pickle Res Campus,Bldg 196, Austin, TX 78758 USA.</t>
  </si>
  <si>
    <t>heimbach@utexas.edu</t>
  </si>
  <si>
    <t>Heimbach, Patrick/K-3530-2013; Greve, Ralf/G-2336-2010</t>
  </si>
  <si>
    <t>Heimbach, Patrick/0000-0003-3925-6161; Narayanan, Sri Hari Krishna/0000-0003-0388-5943; Greve, Ralf/0000-0002-1341-4777</t>
  </si>
  <si>
    <t>U.S. Department of Energy, Office of Science [DE-AC0206CH11357, SC0008060]; U.S. National Science Foundation [1750035]; Japan Society for the Promotion of Science (KAKENHI) [JP16H02224, JP17H06104, JP17H06323]; Japanese Ministry of Education, Culture, Sports, Science and Technology (MEXT) through the Arctic Challenge for Sustainability (ArCS) project [JPMXD1300000000]</t>
  </si>
  <si>
    <t>U.S. Department of Energy, Office of Science(United States Department of Energy (DOE)); U.S. National Science Foundation(National Science Foundation (NSF)); Japan Society for the Promotion of Science (KAKENHI)(Ministry of Education, Culture, Sports, Science and Technology, Japan (MEXT)Japan Society for the Promotion of ScienceGrants-in-Aid for Scientific Research (KAKENHI)); Japanese Ministry of Education, Culture, Sports, Science and Technology (MEXT) through the Arctic Challenge for Sustainability (ArCS) project</t>
  </si>
  <si>
    <t>This research has been supported by the U.S. Department of Energy, Office of Science (grant no. DE-AC0206CH11357 and SC0008060), the U.S. National Science Foundation (grant no. 1750035), the Japan Society for the Promotion of Science (KAKENHI grant nos. JP16H02224, JP17H06104 and JP17H06323), and the Japanese Ministry of Education, Culture, Sports, Science and Technology (MEXT) through the Arctic Challenge for Sustainability (ArCS) project (program grant number JPMXD1300000000).</t>
  </si>
  <si>
    <t>APR 9</t>
  </si>
  <si>
    <t>10.5194/gmd-13-1845-2020</t>
  </si>
  <si>
    <t>LD4WV</t>
  </si>
  <si>
    <t>WOS:000526032000001</t>
  </si>
  <si>
    <t>Ramírez-Ortiz, G; Reyes-Bonilla, H; Balart, EF; Olivier, D; Huato-Soberanis, L; Micheli, F; Edgar, GJ</t>
  </si>
  <si>
    <t>Ramirez-Ortiz, Georgina; Reyes-Bonilla, Hector; Balart, Eduardo F.; Olivier, Damien; Huato-Soberanis, Leonardo; Micheli, Fiorenza; Edgar, Graham J.</t>
  </si>
  <si>
    <t>Reduced fish diversity despite increased fish biomass in a Gulf of California Marine Protected Area</t>
  </si>
  <si>
    <t>Biological conservation; Functional diversity; Fish community; Temporal monitoring; Sea of Cortez; Multi-use marine protected area; No-take zones</t>
  </si>
  <si>
    <t>REEF FISH; MYCTEROPERCA-ROSACEA; FUNCTIONAL DIVERSITY; ROCKY REEF; RESERVES; COMMUNITY; ASSEMBLAGES; REDUNDANCY; RESPONSES; TARGETS</t>
  </si>
  <si>
    <t>Multi-use marine protected areas (MUMPAs) are a commonly applied tool for marine conservation in developing countries, particularly where large no-take reserves are not socially or politically feasible. Although MUMPAs have produced benefits around the world, the persistence of moderate fishing pressure reduces the likelihood of achieving the primary objective of these areas, which is the conservation of ecosystems. In this study we used traditional and functional metrics to evaluate how fish assemblages changed through time in a MUMPA, including shifts in species responses and in ecological processes. We conducted visual censuses of fishes at Espiritu Santo Island, Mexico (MUMPA; N D 320; 24 degrees N, 110 degrees W) from 2005 to 2017 to assess fish richness, size-distribution and density. Three functional indices were calculated using six traits (size, mobility, period of activity, aggregation, position in water column and diet): functional richness (volume occupied by species), dispersion (complementarity between species) and originality (inverse of functional redundancy). We compared fish diversity among three management zone types (sustainable fishing, traditional fishing and no-take zones), through a 13-year period, assessing which species increased or decreased in occurrence, density, and biomass, and how indices respond over time. Despite a general increase in biomass and stability in density and originality, we detected a reduction in fish biodiversity in the form of declines in species and functional richness, which could imply the risk of local extinction and decrease in certain ecosystem processes. In addition, changes in functional dispersion showed that some functions are losing representation through time. Although no single cause is apparent, such factors as competitive interactions, habitat loss and persistence of fishing pressure potentially explain these decreases. The rise in biomass was associated with a general increase in the average size, rather than increased biomass of commercial species, as the latter remained stable during the study period. Expansion of no-take areas, enforcement of fishing regulations, and surveillance in core zones, should be implemented to reverse the decline in particular species and to promote conservation of fish functional diversity in this MUMPA.</t>
  </si>
  <si>
    <t>[Ramirez-Ortiz, Georgina; Balart, Eduardo F.; Huato-Soberanis, Leonardo] Ctr Invest Biol Noroeste SC, Programa Ecol Pesquera, La Paz, Baja California, Mexico; [Reyes-Bonilla, Hector; Olivier, Damien] Univ Autonoma Baja California Sur, Dept Acad Ciencias Marinas &amp; Costeras, La Paz, Baja California, Mexico; [Olivier, Damien] Consejo Nacl Invest Cient &amp; Tecn, Ciudad De Mexico, Mexico; [Micheli, Fiorenza] Stanford Univ, Hopkins Marine Stn, Pacific Grove, CA 93950 USA; [Micheli, Fiorenza] Stanford Univ, Ctr Ocean Solut, Pacific Grove, CA USA; [Edgar, Graham J.] Univ Tasmania, Inst Marine &amp; Antarctic Studies, Hobart, Tas, Australia</t>
  </si>
  <si>
    <t>CIBNOR - Centro de Investigaciones Biologicas del Noroeste; Universidad Autonoma de Baja California; Stanford University; Stanford University; University of Tasmania</t>
  </si>
  <si>
    <t>Ramírez-Ortiz, G (corresponding author), Ctr Invest Biol Noroeste SC, Programa Ecol Pesquera, La Paz, Baja California, Mexico.</t>
  </si>
  <si>
    <t>gramirez@pg.cibnor.mx</t>
  </si>
  <si>
    <t>Olivier, Damien/AAY-2054-2020; Edgar, Graham/AAY-3797-2020</t>
  </si>
  <si>
    <t>Olivier, Damien/0000-0001-6560-7426; Edgar, Graham/0000-0003-0833-9001; Micheli, Fiorenza/0000-0002-6865-1438; Reyes-Bonilla, Hector/0000-0003-2593-9631</t>
  </si>
  <si>
    <t>Comision Nacional de Areas Naturales Protegidas [PROMOBI/IGCBCS/003/2015, CONANP/PROMANP/MB/DRPBCPN/02/2016]; Sociedad de Historia Natural Niparaja, A. C.; David &amp; Lucile Packard Foundation; Sandler Family Foundation; The Walton Family Foundation; Waterloo Foundation; CONACYT [266599]</t>
  </si>
  <si>
    <t>Comision Nacional de Areas Naturales Protegidas; Sociedad de Historia Natural Niparaja, A. C.; David &amp; Lucile Packard Foundation(The David &amp; Lucile Packard Foundation); Sandler Family Foundation; The Walton Family Foundation; Waterloo Foundation; CONACYT(Consejo Nacional de Ciencia y Tecnologia (CONACyT))</t>
  </si>
  <si>
    <t>Monitoring programs were funded by Comision Nacional de Areas Naturales Protegidas (PROMOBI/IGCBCS/003/2015 y CONANP/PROMANP/MB/DRPBCPN/02/2016), Sociedad de Historia Natural Niparaja, A. C., David &amp; Lucile Packard Foundation, Sandler Family Foundation, The Walton Family Foundation, The Waterloo Foundation. Georgina Ramirez-Ortiz received a scholarship from CONACYT (266599) for her Doctorate degree. The funders had no role in study design, data collection and analysis, decision to publish, or preparation of the manuscript.</t>
  </si>
  <si>
    <t>e8885</t>
  </si>
  <si>
    <t>10.7717/peerj.8885</t>
  </si>
  <si>
    <t>LC1IE</t>
  </si>
  <si>
    <t>WOS:000525081400005</t>
  </si>
  <si>
    <t>Lembrechts, J</t>
  </si>
  <si>
    <t>Lembrechts, Jonas</t>
  </si>
  <si>
    <t>The Holy Trinity of spatial climate change ecology: high-resolution climate data, long-term biodiversity monitoring and physiological experiments. A commentary on: 'Invasive grasses of sub-Antarctic Marion Island respond to increasing temperatures at the expense of chilling tolerance'</t>
  </si>
  <si>
    <t>ANNALS OF BOTANY</t>
  </si>
  <si>
    <t>[Lembrechts, Jonas] Univ Antwerp, Pleco Res Grp Plant &amp; Vegetat Ecol, CDE C-007, Antwerp, Belgium</t>
  </si>
  <si>
    <t>Lembrechts, J (corresponding author), Univ Antwerp, Pleco Res Grp Plant &amp; Vegetat Ecol, CDE C-007, Antwerp, Belgium.</t>
  </si>
  <si>
    <t>lembrechtsjonas@gmail.com</t>
  </si>
  <si>
    <t>Lembrechts, Jonas/E-7651-2014</t>
  </si>
  <si>
    <t>0305-7364</t>
  </si>
  <si>
    <t>1095-8290</t>
  </si>
  <si>
    <t>ANN BOT-LONDON</t>
  </si>
  <si>
    <t>Ann. Bot.</t>
  </si>
  <si>
    <t>APR 8</t>
  </si>
  <si>
    <t>IX</t>
  </si>
  <si>
    <t>X</t>
  </si>
  <si>
    <t>10.1093/aob/mcaa057</t>
  </si>
  <si>
    <t>MQ7TG</t>
  </si>
  <si>
    <t>WOS:000553095900003</t>
  </si>
  <si>
    <t>Hellessey, N; Johnson, R; Ericson, JA; Nichols, PD; Kawaguchi, S; Nicol, S; Hoem, N; Virtue, P</t>
  </si>
  <si>
    <t>Hellessey, Nicole; Johnson, Robert; Ericson, Jessica A.; Nichols, Peter D.; Kawaguchi, So; Nicol, Stephen; Hoem, Nils; Virtue, Patti</t>
  </si>
  <si>
    <t>Antarctic Krill Lipid and Fatty acid Content Variability is Associated to Satellite Derived Chlorophyll a and Sea Surface Temperatures</t>
  </si>
  <si>
    <t>EUPHAUSIA-SUPERBA; SCOTIA SEA; SOUTHERN-OCEAN; DIGESTIVE GLAND; ELEPHANT ISLAND; CLIMATE-CHANGE; FOOD-WEB; PHYTOPLANKTON; ICE; GROWTH</t>
  </si>
  <si>
    <t>Antarctic krill (Euphausia superba) are a key component of the Antarctic food web with considerable lipid reserves that are vital for their health and higher predator survival. Krill lipids are primarily derived from their diet of plankton, in particular diatoms and flagellates. Few attempts have been made to link the spatial and temporal variations in krill lipids to those in their food supply. Remotely-sensed environmental parameters provide large-scale information on the potential availability of krill food, although relating this to physiological and biochemical differences has only been performed on small scales and with limited samples. Our study utilised remotely-sensed data (chlorophyll a and sea surface temperature) coupled with krill lipid data obtained from 3 years of fishery-derived samples. We examined within and between year variation of trends in both the environment and krill biochemistry data. Chlorophyll a levels were positively related to krill lipid levels, particularly triacylglycerol. Plankton fatty acid biomarkers analysed in krill (such as n-3 polyunsaturated fatty acids) increased with decreasing sea surface temperature and increasing chlorophyll a levels. Our study demonstrates the utility of combining remote-sensing and biochemical data in examining biological and physiological relationships between Antarctic krill and the Southern Ocean environment.</t>
  </si>
  <si>
    <t>[Hellessey, Nicole; Johnson, Robert; Ericson, Jessica A.; Nichols, Peter D.; Nicol, Stephen; Virtue, Patti] Univ Tasmania, Inst Marine &amp; Antarctic Studies, 20 Castray Esplanade, Battery Point, Tas 7004, Australia; [Hellessey, Nicole; Ericson, Jessica A.; Nichols, Peter D.; Virtue, Patti] CSIRO Oceans &amp; Atmosphere, Battery Point, Tas 7004, Australia; [Hellessey, Nicole; Ericson, Jessica A.; Virtue, Patti] Antarctic Climate &amp; Ecosyst Cooperat Res Ctr, 20 Castray Esplanade, Battery Point, Tas 7004, Australia; [Hellessey, Nicole] Georgia Inst Technol, Sch Biol Sci, 311 Ferst Dr NW, Atlanta, GA 30332 USA; [Ericson, Jessica A.] Cawthron Inst, Private Bag 2, Nelson 7041, New Zealand; [Kawaguchi, So] Australian Antarctic Div, 203 Channel Highway, Kingston, Tas 7050, Australia; [Hoem, Nils] Aker BioMarine Antarctic AS, Oksenoyveien 10,POB 496, NO-1327 Lysaker, Norway</t>
  </si>
  <si>
    <t>University of Tasmania; Commonwealth Scientific &amp; Industrial Research Organisation (CSIRO); Antarctic Climate &amp; Ecosystems Cooperative Research Centre (ACE CRC); University System of Georgia; Georgia Institute of Technology; Cawthron Institute; Australian Antarctic Division</t>
  </si>
  <si>
    <t>Hellessey, N (corresponding author), Univ Tasmania, Inst Marine &amp; Antarctic Studies, 20 Castray Esplanade, Battery Point, Tas 7004, Australia.;Hellessey, N (corresponding author), CSIRO Oceans &amp; Atmosphere, Battery Point, Tas 7004, Australia.;Hellessey, N (corresponding author), Antarctic Climate &amp; Ecosyst Cooperat Res Ctr, 20 Castray Esplanade, Battery Point, Tas 7004, Australia.;Hellessey, N (corresponding author), Georgia Inst Technol, Sch Biol Sci, 311 Ferst Dr NW, Atlanta, GA 30332 USA.</t>
  </si>
  <si>
    <t>n.hellessey@gmail.com</t>
  </si>
  <si>
    <t>Nichols, Peter D/C-5128-2011; Kawaguchi, So/N-1795-2017; Ericson, Jessica/AAP-1976-2020; Hellessey, Nicole/B-1695-2016; Johnson, Robert/E-7321-2012</t>
  </si>
  <si>
    <t>Ericson, Jessica/0000-0001-5220-8493; Hellessey, Nicole/0000-0002-3053-8720; Johnson, Robert/0000-0002-5915-5416; Kawaguchi, So/0000-0002-2042-5095; Hoem, Nils/0000-0002-3124-8290</t>
  </si>
  <si>
    <t>Australian Research Council [LP140100412]; Australian Research Council [LP140100412] Funding Source: Australian Research Council</t>
  </si>
  <si>
    <t>This research was funded by an Australian Research Council Linkage Grant LP140100412 between the Australian Antarctic Division, Commonwealth Scientific and Industrial Research Organisation, Institute for Marine and Antarctic Studies (University of Tasmania), Aker BioMarine and Griffith University. The Australian Bureau of Meteorology allowed Dr Robert Johnson to assist and participate in this research. The authors thank the two journal anonymous reviewers and the editor for their helpful suggestions and comments on the manuscript.</t>
  </si>
  <si>
    <t>10.1038/s41598-020-62800-7</t>
  </si>
  <si>
    <t>NA3YR</t>
  </si>
  <si>
    <t>WOS:000559751100007</t>
  </si>
  <si>
    <t>Ripley, BS; Edwardes, A; Rossouw, MW; Smith, VR; Midgley, GF</t>
  </si>
  <si>
    <t>Ripley, Brad S.; Edwardes, Amy; Rossouw, Marius W.; Smith, Valdon R.; Midgley, Guy F.</t>
  </si>
  <si>
    <t>Invasive grasses of sub-Antarctic Marion Island respond to increasing temperatures at the expense of chilling tolerance</t>
  </si>
  <si>
    <t>Climate change; invasive grasses; temperature response; chilling sensitivity; temperature acclimation; Pooiid grasses</t>
  </si>
  <si>
    <t>LEAF TRAIT RELATIONSHIPS; THERMAL-ACCLIMATION; ELECTRON-TRANSPORT; FREEZING TOLERANCE; COLD-ACCLIMATION; CO2 ASSIMILATION; CLIMATE-CHANGE; ALIEN PLANTS; PHOTOSYNTHESIS; RESPIRATION</t>
  </si>
  <si>
    <t>Background and Aims Global warming has large effects on the performance and spatial distribution of plants, and increasingly facilitates the spread of invasive species. Particularly vulnerable is the vegetation of cold environments where indigenous plants selected for cold tolerance can have reduced phenotypic plasticity and associated lower capacity to respond to warming temperatures. In contrast, invasive species can be phenotypically plastic and respond positively to climate change, but at the expense of stress tolerance. Methods We investigate this trade-off in traits, measuring the photosynthetic response to warming, chilling tolerance and specific leaf area (SLA) of Pooid grasses. We compare this between invasive and non-invasive grasses and correlate this to their range expansions on a cold sub-Antarctic island that has warmed significantly in the past five decades. We determined whether these responses remained consistent after temperature acclimation. Key Results Invasive species responded strongly to warming, increasing photosynthetic rates by up to 2-fold, while non-invasive species did not respond. The response was associated with increased stomatal conductance, but not with modified photosynthetic metabolism. Electrolyte leakage and SLA were higher in invasive than in non-invasive species. Acclimation altered the photosynthetic response and invasive species responded to warm temperatures irrespective of acclimation, while non-invasive species responded only after acclimation to warm temperature. Conclusions Traits scaled linearly with rates of range expansion and demonstrate that under sub-Antarctic conditions, anthropogenic warming over the last 50 years may have favoured species with greater capacity to respond photosynthetically to warming to the detriment of species that cannot, and negated the advantage that chilling tolerance would have conferred on endemic species in the past. This suggests that species of cold ecosystems could be particularly vulnerable to warming as selection for stress tolerance has limited their responsiveness to environmental change, while introduced invasive species may have no such limitations. We show mechanistic evidence of the physiology that underpins an apparent trade-off between warming and chilling tolerance traits.</t>
  </si>
  <si>
    <t>[Ripley, Brad S.] Rhodes Univ, Bot Dept, POB 94, ZA-6140 Grahamstown, South Africa; [Edwardes, Amy; Rossouw, Marius W.; Smith, Valdon R.; Midgley, Guy F.] Stellenbosch Univ, Dept Bot &amp; Zool, Private Bag Xl, ZA-7602 Matieland, South Africa</t>
  </si>
  <si>
    <t>Rhodes University; Stellenbosch University</t>
  </si>
  <si>
    <t>Ripley, BS (corresponding author), Rhodes Univ, Bot Dept, POB 94, ZA-6140 Grahamstown, South Africa.</t>
  </si>
  <si>
    <t>b.ripley@ru.ac.za</t>
  </si>
  <si>
    <t>Ripley, Brad/AGP-3789-2022; Midgley, Guy F./H-3585-2014</t>
  </si>
  <si>
    <t>Midgley, Guy F./0000-0001-8264-0869</t>
  </si>
  <si>
    <t>South African National Research Foundation under the South African National Antarctic Programme (SNGR) [SNA14072580160]</t>
  </si>
  <si>
    <t>South African National Research Foundation under the South African National Antarctic Programme (SNGR)</t>
  </si>
  <si>
    <t>We thank the South African National Research Foundation for funding under the South African National Antarctic Programme (SNGR grant SNA14072580160).</t>
  </si>
  <si>
    <t>10.1093/aob/mcz156</t>
  </si>
  <si>
    <t>WOS:000553095900008</t>
  </si>
  <si>
    <t>Queirós, JP; Fenwick, M; Stevens, DW; Cherel, Y; Ramos, JA; Xavier, JC</t>
  </si>
  <si>
    <t>Queiros, Jose P.; Fenwick, Mark; Stevens, Darren W.; Cherel, Yves; Ramos, Jaime A.; Xavier, Jose C.</t>
  </si>
  <si>
    <t>Ontogenetic changes in habitat and trophic ecology of the giant Antarctic octopus Megaleledone setebos inferred from stable isotope analyses in beaks</t>
  </si>
  <si>
    <t>TOOTHFISH DISSOSTICHUS-MAWSONI; LIFE-HISTORY; DIET; CEPHALOPODA; SIGNATURES; PREDATORS; PATTERNS; CARBON; TOOL; DNA</t>
  </si>
  <si>
    <t>The giant Antarctic Octopus Megaleledone setebos is the largest Southern Ocean octopod whose ecology is poorly known. Here, we study ontogenetic shifts of habitat and trophic ecology of M. setebos throughout its life cycle by stable isotopic analysis of delta C-13 and delta N-15 on its beaks collected from the diet of Antarctic toothfish in Amundsen and Ross Seas (Antarctica). Values of delta C-13 (from - 24.3 to - 19.4 parts per thousand) differed between beaks of individuals from different capture locations, thus reflecting the ability of M. setebos living in different habitats. Despite sequential sampling along beaks showed a small (&lt;2.3), but significant variation in lower beak's delta C-13 values, a relation with delta N-15 values suggests that such differences are related to changes in the diet with M. setebos inhabiting the same area its entire life. Values of delta N-15 differed between beaks of individuals from different capture locations, suggesting that different habitats of M. setebos are associated with different diets. Serial sampling along the beaks (from+4.2 to+10.7 parts per thousand) suggests an ontogenetic change of, at least, one trophic level from juvenile to adult. We also report a capture of two large intact specimens from Dumont D'Urville Sea (Antarctica): a male with 1150 mm of total length and 18,300 g of mass and a female with 1030 mm of total length and 10,061 g of mass. The beaks of these both specimens, confirmed to be of M. setebos through genetic analysis, were also used to confirm the identification of M. setebos collected from Antarctic toothfish stomachs.</t>
  </si>
  <si>
    <t>[Queiros, Jose P.; Ramos, Jaime A.; Xavier, Jose C.] Univ Coimbra, Dept Ciencias Vida, MARE Marine &amp; Environm Sci Ctr, P-3000456 Coimbra, Portugal; [Fenwick, Mark; Stevens, Darren W.] NIWA Natl Inst Water &amp; Atmospher Res Ltd, 301 Evans Bay Parade, Wellington 6021, New Zealand; [Cherel, Yves] La Rochelle Univ, CNRS, UMR 7372, CEBC, F-79360 Villiers En Bois, France; [Xavier, Jose C.] BAS, NERC, Madingley Rd, Cambridge CB3 0ET, England</t>
  </si>
  <si>
    <t>Universidade de Coimbra; Centre National de la Recherche Scientifique (CNRS); CNRS - Institute of Ecology &amp; Environment (INEE); UK Research &amp; Innovation (UKRI); Natural Environment Research Council (NERC); NERC British Antarctic Survey</t>
  </si>
  <si>
    <t>Queirós, JP (corresponding author), Univ Coimbra, Dept Ciencias Vida, MARE Marine &amp; Environm Sci Ctr, P-3000456 Coimbra, Portugal.</t>
  </si>
  <si>
    <t>Fenwick, Mark/HCG-8860-2022; Ramos, Jaime A./B-6616-2018; Queirós, José P./K-4158-2019; Xavier, José/KFB-6739-2024</t>
  </si>
  <si>
    <t>Fenwick, Mark/0000-0003-3954-0074; Ramos, Jaime A./0000-0002-9533-987X; Queirós, José P./0000-0003-2763-2529; /0000-0002-9621-6660</t>
  </si>
  <si>
    <t>NHK Japan; FCT/MCTES through national funds (PIDDAC); Portuguese Polar Program PROPOLAR; SCAR AnT-ERA; FCT [Foundation for Science and Technology] [UIDB/04292/2020]</t>
  </si>
  <si>
    <t>NHK Japan; FCT/MCTES through national funds (PIDDAC)(Fundacao para a Ciencia e a Tecnologia (FCT)); Portuguese Polar Program PROPOLAR; SCAR AnT-ERA; FCT [Foundation for Science and Technology](Fundacao para a Ciencia e a Tecnologia (FCT))</t>
  </si>
  <si>
    <t>Authors would like to give a special thanks to the crew of the FV Antarctic Discovery, Antarctic toothfish fishing season 2016/2017, for keeping the two M. setebos specimens onboard for JQ, allowing the amazing discovery of these large animals. We would also like to thank the crew and observers on board of the FV Janas for collecting the Antarctic toothfish stomachs. Thanks to the National Institute of Water and Atmospheric Research (NIWA) scientists and staff especially Heather Braid for working in the genetic analysis, Sarah Allen for helping with the permits, Diana Macpherson, and all the team from NIWA's Invertebrate Collection for the help in storing both specimens and Bruce Marshall from Te Papa (National Museum of New Zealand Te Papa Tongarewa). Thanks to Dave Allen for the M. setebos photo. This project was financially supported by NHK Japan. This work is an international collaboration under the Scientific Committee on Antarctic Research (SCAR) associated programs, expert and action groups, namely SCAR AnT-ERA (Antarctic Thresholds-Ecosystems Resilience and Adaptation), SCAR EGBAMM (Expert Group in Birds and Marine Mammals), and ICED (Integrating Climate and Ecosystems Dynamics). JQ would like to thank Australian Longline for allowing his presence onboard of FV Antarctic Discovery. JQ was supported by FCT/MCTES through national funds (PIDDAC), Portuguese Polar Program PROPOLAR, and SCAR AnT-ERA. This study benefited from the strategic program of MARE (Marine and Environmental Sciences Centre), financed by FCT [Foundation for Science and Technology (UIDB/04292/2020)]. Authors would like to thank to both reviewers that helped to improve the quality of the manuscript.</t>
  </si>
  <si>
    <t>10.1007/s00227-020-3666-2</t>
  </si>
  <si>
    <t>LE6RT</t>
  </si>
  <si>
    <t>WOS:000526851400002</t>
  </si>
  <si>
    <t>Burrell, AG; Chisham, G; Milan, SE; Kilcommons, L; Chen, YJ; Thomas, EG; Anderson, B</t>
  </si>
  <si>
    <t>Burrell, Angeline G.; Chisham, Gareth; Milan, Stephen E.; Kilcommons, Liam; Chen, Yun-Ju; Thomas, Evan G.; Anderson, Brian</t>
  </si>
  <si>
    <t>AMPERE polar cap boundaries</t>
  </si>
  <si>
    <t>ANNALES GEOPHYSICAE</t>
  </si>
  <si>
    <t>CONVECTION REVERSAL BOUNDARY; FIELD-ALIGNED CURRENTS; MAGNETIC-FIELD; BIRKELAND CURRENTS; HIGH-LATITUDES; LINE BOUNDARY</t>
  </si>
  <si>
    <t>The high-latitude atmosphere is a dynamic region with processes that respond to forcing from the Sun, magnetosphere, neutral atmosphere, and ionosphere. Historically, the dominance of magnetosphere-ionosphere interactions has motivated upper atmospheric studies to use magnetic coordinates when examining magnetosphere-ionosphere-thermosphere coupling processes. However, there are significant differences between the dominant interactions within the polar cap, auroral oval, and equatorward of the auroral oval. Organising data relative to these boundaries has been shown to improve climatological and statistical studies, but the process of doing so is complicated by the shifting nature of the auroral oval and the difficulty in measuring its poleward and equatorward boundaries. This study presents a new set of open-closed magnetic field line boundaries (OCBs) obtained from Active Magnetosphere and Planetary Electrodynamics Response Experiment (AMPERE) magnetic perturbation data. AMPERE observations of field-aligned currents (FACs) are used to determine the location of the boundary between the Region 1 (R1) and Region 2 (R2) FAC systems. This current boundary is thought to typically lie a few degrees equatorward of the OCB, making it a good candidate for obtaining OCB locations. The AMPERE R1-R2 boundaries are compared to the Defense Meteorological Satellite Program Special Sen- sor J (DMSP SSJ) electron energy flux boundaries to test this hypothesis and determine the best estimate of the systematic offset between the R1-R2 boundary and the OCB as a function of magnetic local time. These calibrated boundaries, as well as OCBs obtained from the Imager for Magnetopauseto-Aurora Global Exploration (IMAGE) observations, are validated using simultaneous observations of the convection reversal boundary measured by DMSP. The validation shows that the OCBs from IMAGE and AMPERE may be used together in statistical studies, providing the basis of a long-term data set that can be used to separate observations originating inside and outside of the polar cap.</t>
  </si>
  <si>
    <t>[Burrell, Angeline G.] US Naval Res Lab, Space Sci Div, 4555 Overlook Ave SW, Washington, DC 20375 USA; [Chisham, Gareth] British Antarctic Survey, Cambridge, England; [Milan, Stephen E.] Univ Leicester, Dept Phys &amp; Astron, Radio &amp; Space Plasma Phys, Univ Rd, Leicester, Leics, England; [Kilcommons, Liam] Univ Colorado, Ann &amp; HJ Smead Dept Aerosp Engn Sci, 2055 Regent Dr, Boulder, CO USA; [Chen, Yun-Ju] Univ Texas Dallas, Dept Phys, Ctr Space Sci, 800 West Campbell Rd, Richardson, TX USA; [Thomas, Evan G.] Dartmouth Coll, Thayer Sch Engn, 14 Engn Dr, Hanover, NH USA; [Anderson, Brian] Johns Hopkins Univ, Appl Phys Lab, 11100 Johns Hopkins Rd, Laurel, MD USA</t>
  </si>
  <si>
    <t>United States Department of Defense; United States Navy; Naval Research Laboratory; UK Research &amp; Innovation (UKRI); Natural Environment Research Council (NERC); NERC British Antarctic Survey; University of Leicester; University of Colorado System; University of Colorado Boulder; University of Texas System; University of Texas Dallas; Dartmouth College; Johns Hopkins University; Johns Hopkins University Applied Physics Laboratory</t>
  </si>
  <si>
    <t>Burrell, AG (corresponding author), US Naval Res Lab, Space Sci Div, 4555 Overlook Ave SW, Washington, DC 20375 USA.</t>
  </si>
  <si>
    <t>angeline.burrell@nrl.navy.mil</t>
  </si>
  <si>
    <t>; Thomas, Evan/B-3921-2017</t>
  </si>
  <si>
    <t>Burrell, Angeline/0000-0001-8875-9326; Chisham, Gareth/0000-0003-1151-5934; Thomas, Evan/0000-0001-8036-8793</t>
  </si>
  <si>
    <t>United States Chief of Naval Research (US CNR); United Kingdom Research and Innovation (UKRI); British Antarctic Survey -Polar Science for Planet Earth Programme; Air Force Office of Scientific Research [FA9550-17-1-0258, FA9559-161-0364]; National Science Foundation, Office of Polar Programs [OPP-1836426]; NERC [bas0100031] Funding Source: UKRI; STFC [ST/S000429/1] Funding Source: UKRI</t>
  </si>
  <si>
    <t>United States Chief of Naval Research (US CNR); United Kingdom Research and Innovation (UKRI); British Antarctic Survey -Polar Science for Planet Earth Programme; Air Force Office of Scientific Research(United States Department of DefenseAir Force Office of Scientific Research (AFOSR)); National Science Foundation, Office of Polar Programs(National Science Foundation (NSF)); NERC(UK Research &amp; Innovation (UKRI)Natural Environment Research Council (NERC)); STFC(UK Research &amp; Innovation (UKRI)Science &amp; Technology Facilities Council (STFC))</t>
  </si>
  <si>
    <t>This research has been supported by the United States Chief of Naval Research (US CNR); the United Kingdom Research and Innovation (UKRI), British Antarctic Survey -Polar Science for Planet Earth Programme; the Air Force Office of Scientific Research (grant nos. FA9550-17-1-0258 and FA9559-161-0364); and the National Science Foundation, Office of Polar Programs (grant no. OPP-1836426).</t>
  </si>
  <si>
    <t>0992-7689</t>
  </si>
  <si>
    <t>1432-0576</t>
  </si>
  <si>
    <t>ANN GEOPHYS-GERMANY</t>
  </si>
  <si>
    <t>Ann. Geophys.</t>
  </si>
  <si>
    <t>10.5194/angeo-38-481-2020</t>
  </si>
  <si>
    <t>Astronomy &amp; Astrophysics; Geosciences, Multidisciplinary; Meteorology &amp; Atmospheric Sciences</t>
  </si>
  <si>
    <t>Astronomy &amp; Astrophysics; Geology; Meteorology &amp; Atmospheric Sciences</t>
  </si>
  <si>
    <t>LC5KV</t>
  </si>
  <si>
    <t>WOS:000525366400001</t>
  </si>
  <si>
    <t>Decesari, S; Paglione, M; Rinaldi, M; Dall'Osto, M; Simó, R; Zanca, N; Volpi, F; Facchini, MC; Hoffmann, T; Götz, S; Kampf, CJ; O'Dowd, C; Ceburnis, D; Ovadnevaite, J; Tagliavini, E</t>
  </si>
  <si>
    <t>Decesari, Stefano; Paglione, Marco; Rinaldi, Matteo; Dall'Osto, Manuel; Simo, Rafel; Zanca, Nicola; Volpi, Francesca; Facchini, Maria Cristina; Hoffmann, Thorsten; Goetz, Sven; Kampf, Christopher Johannes; O'Dowd, Colin; Ceburnis, Darius; Ovadnevaite, Jurgita; Tagliavini, Emilio</t>
  </si>
  <si>
    <t>Shipborne measurements of Antarctic submicron organic aerosols: an NMR perspective linking multiple sources and bioregions</t>
  </si>
  <si>
    <t>BOUNDARY-LAYER AEROSOL; CHEMICAL-CHARACTERIZATION; AMINO-ACIDS; SEA-SPRAY; MARINE; WATER; METABONOMICS; ATMOSPHERE; EVOLUTION; H-1-NMR</t>
  </si>
  <si>
    <t>The concentrations of submicron aerosol particles in maritime regions around Antarctica are influenced by the extent of sea ice. This effect is two ways: on one side, sea ice regulates the production of particles by sea spray (primary aerosols); on the other side, it hosts complex communities of organisms emitting precursors for secondary particles. Past studies documenting the chemical composition of fine aerosols in Antarctica indicate various potential primary and secondary sources active in coastal areas, in offshore marine regions, and in the sea ice itself. In particular, beside the well-known sources of organic and sulfur material originating from the oxidation of dimethylsulfide (DMS) produced by microalgae, recent findings obtained during the 2015 PEGASO cruise suggest that nitrogen-containing organic compounds are also produced by the microbiota colonizing the marginal ice zone. To complement the aerosol source apportionment performed using online mass spectrometric techniques, here we discuss the outcomes of offline spectroscopic analysis performed by nuclear magnetic resonance (NMR) spectroscopy. In this study we (i) present the composition of ambient aerosols over open-ocean waters across bioregions, and compare it to the composition of (ii) seawater samples and (iii) bubble-bursting aerosols produced in a sea-spray chamber onboard the ship. Our results show that the process of aerosolization in the tank enriches primary marine particles with lipids and sugars while depleting them of free amino acids, providing an explanation for why amino acids occurred only at trace concentrations in the marine aerosol samples analyzed. The analysis of water-soluble organic carbon (WSOC) in ambient submicron aerosol samples shows distinct NMR fingerprints for three bioregions: (1) the open Southern Ocean pelagic environments, in which aerosols are enriched with primary marine particles containing lipids and sugars; (2) sympagic areas in the Weddell Sea, where secondary organic compounds, including methanesulfonic acid and semivolatile amines abound in the aerosol composition; and (3) terrestrial coastal areas, traced by sugars such as sucrose, emitted by land vegetation. Finally, a new biogenic chemical marker, creatinine, was identified in the samples from the Weddell Sea, providing another confirmation of the importance of nitrogen-containing metabolites in Antarctic polar aerosols.</t>
  </si>
  <si>
    <t>[Decesari, Stefano; Paglione, Marco; Rinaldi, Matteo; Zanca, Nicola; Volpi, Francesca; Facchini, Maria Cristina] Natl Res Council Italy CNR, Inst Atmospher &amp; Climate Sci, I-40129 Bologna, Italy; [Dall'Osto, Manuel; Simo, Rafel] CSIC, Inst Ciencies Mar, ES-08003 Barcelona, Spain; [Hoffmann, Thorsten; Goetz, Sven] Johannes Gutenberg Univ Mainz, Inst Inorgan &amp; Analyt Chem, D-55128 Mainz, Germany; [Kampf, Christopher Johannes] Johannes Gutenberg Univ Mainz, Inst Organ Chem, D-55128 Mainz, Germany; [O'Dowd, Colin; Ceburnis, Darius; Ovadnevaite, Jurgita] Natl Univ Ireland Galway, Sch Phys, Galway H91 CF50, Ireland; [O'Dowd, Colin; Ceburnis, Darius; Ovadnevaite, Jurgita] Natl Univ Ireland Galway, C CAPS, Galway H91 CF50, Ireland; [Tagliavini, Emilio] Univ Bologna, Dept Chem, I-40126 Bologna, Italy</t>
  </si>
  <si>
    <t>Consiglio Nazionale delle Ricerche (CNR); Istituto di Scienze dell'Atmosfera e del Clima (ISAC-CNR); Consejo Superior de Investigaciones Cientificas (CSIC); CSIC - Centro Mediterraneo de Investigaciones Marinas y Ambientales (CMIMA); CSIC - Instituto de Ciencias del Mar (ICM); Johannes Gutenberg University of Mainz; Johannes Gutenberg University of Mainz; University of Bologna</t>
  </si>
  <si>
    <t>Decesari, S (corresponding author), Natl Res Council Italy CNR, Inst Atmospher &amp; Climate Sci, I-40129 Bologna, Italy.</t>
  </si>
  <si>
    <t>s.decesari@isac.cnr.it</t>
  </si>
  <si>
    <t>Ceburnis, Darius/C-1293-2012; Paglione, Marco/J-9760-2012; volpi, francesca/AAP-3604-2020; O'Dowd, Colin D/K-8904-2012; Kampf, Christopher J/O-9735-2017; Facchini, Maria Cristina/AAA-1592-2019; Hoffmann, Thorsten/A-7490-2012; Ovadnevaite, Jurgita/B-6203-2018; rinaldi, matteo/K-6083-2012; dallosto, manuel/G-3584-2016</t>
  </si>
  <si>
    <t>Paglione, Marco/0000-0002-4423-2570; volpi, francesca/0000-0001-7067-1350; O'Dowd, Colin D/0000-0002-3068-2212; Facchini, Maria Cristina/0000-0003-4833-9305; Kampf, Christopher/0000-0002-8751-5140; Simo, Rafel/0000-0003-3276-7663; Ovadnevaite, Jurgita/0000-0001-7201-0118; Hoffmann, Thorsten/0000-0003-0939-271X; rinaldi, matteo/0000-0001-6543-4000; dallosto, manuel/0000-0003-4203-894X</t>
  </si>
  <si>
    <t>European Commission [BACCHUS (603445)]; CNR project AirSEaLab: Progetto Laboratori Congiunti</t>
  </si>
  <si>
    <t>European Commission(European Union (EU)European Commission Joint Research Centre); CNR project AirSEaLab: Progetto Laboratori Congiunti</t>
  </si>
  <si>
    <t>This research has been supported by the European Commission (grant no. BACCHUS (603445)) and CNR project AirSEaLab: Progetto Laboratori Congiunti.</t>
  </si>
  <si>
    <t>10.5194/acp-20-4193-2020</t>
  </si>
  <si>
    <t>LC5KS</t>
  </si>
  <si>
    <t>WOS:000525365900001</t>
  </si>
  <si>
    <t>Dalaiden, Q; Goosse, H; Klein, F; Lenaerts, JTM; Holloway, M; Sime, L; Thomas, ER</t>
  </si>
  <si>
    <t>Dalaiden, Quentin; Goosse, Hugues; Klein, Francois; Lenaerts, Jan T. M.; Holloway, Max; Sime, Louise; Thomas, Elizabeth R.</t>
  </si>
  <si>
    <t>How useful is snow accumulation in reconstructing surface air temperature in Antarctica? A study combining ice core records and climate models</t>
  </si>
  <si>
    <t>DRONNING MAUD-LAND; MASS-BALANCE; DATA ASSIMILATION; 20TH-CENTURY INCREASE; WEST ANTARCTICA; EAST ANTARCTICA; SYSTEM MODEL; FIRN CORE; SHEET; SIMULATIONS</t>
  </si>
  <si>
    <t>Improving our knowledge of the temporal and spatial variability of the Antarctic Ice Sheet (AIS) surface mass balance (SMB) is crucial to reduce the uncertainties of past, present, and future Antarctic contributions to sea level rise. An examination of the surface air temperature-SMB relationship in model simulations demonstrates a strong link between the two. Reconstructions based on ice cores display a weaker relationship, indicating a model-data discrepancy that may be due to model biases or to the non-climatic noise present in the records. We find that, on the regional scale, the modeled relationship between surface air temperature and SMB is often stronger than between temperature and delta O-18. This suggests that SMB data can be used to reconstruct past surface air temperature. Using this finding, we assimilate isotope-enabled SMB and delta O-18 model output with ice core observations to generate a new surface air temperature reconstruction. Although an independent evaluation of the skill is difficult because of the short observational time series, this new reconstruction outperforms the previous reconstructions for the continental-mean temperature that were based on delta O-18 alone. The improvement is most significant for the East Antarctic region, where the uncertainties are particularly large. Finally, using the same data assimilation method as for the surface air temperature reconstruction, we provide a spatial SMB reconstruction for the AIS over the last 2 centuries, showing large variability in SMB trends at a regional scale, with an increase (0.82 Gt yr(-2)) in West Antarctica over 1957-2000 and a decrease in East Antarctica during the same period (-0.13 Gt yr(-2)). As expected, this is consistent with the recent reconstruction used as a constraint in the data assimilation.</t>
  </si>
  <si>
    <t>[Dalaiden, Quentin; Goosse, Hugues; Klein, Francois] Catholic Univ Louvain, Georges Lemaitre Ctr Earth &amp; Climate Res TECLIM, Earth &amp; Life Inst, Louvain La Neuve, Belgium; [Lenaerts, Jan T. M.] Univ Colorado, Dept Atmospher &amp; Ocean Sci, Boulder, CO 80309 USA; [Holloway, Max; Sime, Louise; Thomas, Elizabeth R.] British Antarctic Survey, Madingley Rd, Cambridge CB3 0ET, England; [Holloway, Max] Scottish Assoc Marine Sci, Oban, Argyll, Scotland</t>
  </si>
  <si>
    <t>Universite Catholique Louvain; University of Colorado System; University of Colorado Boulder; UK Research &amp; Innovation (UKRI); Natural Environment Research Council (NERC); NERC British Antarctic Survey; UHI Millennium Institute</t>
  </si>
  <si>
    <t>Dalaiden, Q (corresponding author), Catholic Univ Louvain, Georges Lemaitre Ctr Earth &amp; Climate Res TECLIM, Earth &amp; Life Inst, Louvain La Neuve, Belgium.</t>
  </si>
  <si>
    <t>quentin.dalaiden@uclouvain.be</t>
  </si>
  <si>
    <t>Lenaerts, Jan/D-9423-2012; Sime, Louise/AAX-7730-2021; Thomas, Elizabeth Ruth/ADF-3660-2022</t>
  </si>
  <si>
    <t>Lenaerts, Jan/0000-0003-4309-4011; Sime, Louise/0000-0002-9093-7926; Thomas, Elizabeth Ruth/0000-0002-3010-6493; Holloway, Max/0000-0003-0709-3644; Dalaiden, Quentin/0000-0002-3885-3848</t>
  </si>
  <si>
    <t>Belgian Research Action through Interdisciplinary Networks (BRAINbe) from Belgian Science Policy Office [BR/165/A2/Mass2Ant]; NERC [bas0100034] Funding Source: UKRI</t>
  </si>
  <si>
    <t>Belgian Research Action through Interdisciplinary Networks (BRAINbe) from Belgian Science Policy Office; NERC(UK Research &amp; Innovation (UKRI)Natural Environment Research Council (NERC))</t>
  </si>
  <si>
    <t>We would like to thank Nathan Steiger and Jesper Sjolte for the isotopic model outputs. We would also like to thank Marie Cavitte for her feedback on our study. We acknowledge the World Climate Research Programme Working Group on Coupled Modelling, which is responsible for CMIP, and we thank the climate modeling groups for producing and making available their model outputs. We sincerely thank the two reviewers and the editor for their constructive comments, which have improved our manuscript. This work was supported by the Belgian Research Action through Interdisciplinary Networks (BRAINbe) from Belgian Science Policy Office in the framework of the project East Antarctic surface mass balance in the Anthropocene: observations and multiscale modelling (Mass2Ant) (contract no. BR/165/A2/Mass2Ant). Quentin Dalaiden is a research fellow with the Fonds pour la formation a la Recherche dans l'Industrie et dans l'Agronomie (FRIA-Belgium) and Hugues Goosse is the research director within the F.R.S.-FNRS.</t>
  </si>
  <si>
    <t>10.5194/tc-14-1187-2020</t>
  </si>
  <si>
    <t>LC5LL</t>
  </si>
  <si>
    <t>WOS:000525368200001</t>
  </si>
  <si>
    <t>Núñez-Flores, M; Gomez-Uchida, D; López-González, PJ</t>
  </si>
  <si>
    <t>Nunez-Flores, Monica; Gomez-Uchida, Daniel; Lopez-Gonzalez, Pablo J.</t>
  </si>
  <si>
    <t>Molecular and morphological data reveal three new species of Thouarella Gray, 1870 (Anthozoa: Octocorallia: Primnoidae) from the Southern Ocean</t>
  </si>
  <si>
    <t>MARINE BIODIVERSITY</t>
  </si>
  <si>
    <t>Antarctic; Cnidaria; Marine biodiversity; Octocorals; Benthos; Weddell Sea</t>
  </si>
  <si>
    <t>ALCYONACEA; REVISION; DASYSTENELLA; SYSTEMATICS; PHYLOGENY; PATTERNS; VERSLUYS</t>
  </si>
  <si>
    <t>Thouarella Gray, 1870, is one of the most speciose genera among primnoid gorgonians. It has a worldwide distribution that includes Antarctic and sub-Antarctic regions. Based on a combination of detailed morphological studies and analyses using mitochondrial and nuclear DNA markers, we describe and illustrate three new species of bottlebrush-shaped Thouarella from the Weddell Sea, Southern Ocean: T. islai sp. nov., T. weddellensis sp. nov. and T. polarsterni sp. nov. For the morphological description, we used macro-structural characters, such as branching pattern and polyp arrangement, along with axis and micro-structural characters, such as architecture and shapes of scales and their arrangement in polyps. Additionally, we amplified two mitochondrial (mtMutS and Cox1) and one nuclear loci (28S rDNA) obtaining optimal topologies under a Bayesian approach. Resulting molecular phylogenies corroborated the status of the new taxa and elucidated their relationships to closely related species. With the three new species here described, the global diversity of Thouarella has increased to 38 species, 12 of which are endemic to Antarctic and sub-Antarctic waters. The high number of species from higher latitudes of the Southern Hemisphere, the high grade of endemism in this biogeographic area and recent phylogenetic analyses support the idea that the Southern Ocean was likely a centre for Thouarella species radiation.</t>
  </si>
  <si>
    <t>[Nunez-Flores, Monica] Univ Concepcion, Fac Ciencias Nat &amp; Oceanog, Programa Doctorado Sistemat &amp; Biodiversidad, Concepcion, Chile; [Nunez-Flores, Monica; Gomez-Uchida, Daniel] Univ Concepcion, Genom Ecol Evolut &amp; Conservat Lab GEECLAB, Dept Zool, Fac Ciencias Nat &amp; Oceanog, Concepcion, Chile; [Nunez-Flores, Monica; Gomez-Uchida, Daniel] Univ Concepcion, Nucleo Milenio INVASAL, Concepcion, Chile; [Nunez-Flores, Monica; Lopez-Gonzalez, Pablo J.] Univ Seville, Fac Biol, Dept Zool, Biodiversidad &amp; Ecol Acuat, Seville, Spain</t>
  </si>
  <si>
    <t>Universidad de Concepcion; Universidad de Concepcion; Universidad de Concepcion; University of Sevilla</t>
  </si>
  <si>
    <t>Núñez-Flores, M (corresponding author), Univ Concepcion, Fac Ciencias Nat &amp; Oceanog, Programa Doctorado Sistemat &amp; Biodiversidad, Concepcion, Chile.;Núñez-Flores, M (corresponding author), Univ Concepcion, Genom Ecol Evolut &amp; Conservat Lab GEECLAB, Dept Zool, Fac Ciencias Nat &amp; Oceanog, Concepcion, Chile.;Núñez-Flores, M (corresponding author), Univ Concepcion, Nucleo Milenio INVASAL, Concepcion, Chile.;Núñez-Flores, M (corresponding author), Univ Seville, Fac Biol, Dept Zool, Biodiversidad &amp; Ecol Acuat, Seville, Spain.</t>
  </si>
  <si>
    <t>nuez.monica@gmail.com</t>
  </si>
  <si>
    <t>Gomez-Uchida, Daniel/AAB-7043-2019</t>
  </si>
  <si>
    <t>Gomez-Uchida, Daniel/0000-0002-5150-2030; Lopez Gonzalez, Pablo Jose/0000-0002-7348-6270; Nunez Flores, Monica/0000-0002-9692-1909</t>
  </si>
  <si>
    <t>Spanish Ministry of Economy, Industry and Competitiveness [CTM2017-83920-P]; Spanish CICYT [CLIMANT-POL2006-06399/CGL (ANT XXIII/8)]; Instituto Antartico Chileno (INACH) [DG_04_19]; Nucleo Milenio INVASAL through Chile's Iniciativa Cientifica Milenio at Ministerio de Economia, Fomento Turismo, Chile; [CONICYT-PCHA/Doctorado Nacional/2017-21,170,438]</t>
  </si>
  <si>
    <t>Spanish Ministry of Economy, Industry and Competitiveness; Spanish CICYT(Consejo Interinstitucional de Ciencia y Tecnologia (CICYT)); Instituto Antartico Chileno (INACH); Nucleo Milenio INVASAL through Chile's Iniciativa Cientifica Milenio at Ministerio de Economia, Fomento Turismo, Chile;</t>
  </si>
  <si>
    <t>This research is supported by the project CTM2017-83920-P (DIVERSICORAL), Spanish Ministry of Economy, Industry and Competitiveness. Different funds for the participation on these Polarstern cruises were provided by the Spanish CICYT projects-CLIMANT-POL2006-06399/CGL (ANT XXIII/8). M.N.F. acknowledges partial support from CONICYT-PCHA/Doctorado Nacional/2017-21,170,438, and Instituto Antartico Chileno (INACH) grant number DG_04_19. D.G.U. acknowledges partial support from Nucleo Milenio INVASAL funded through Chile's Iniciativa Cientifica Milenio at Ministerio de Economia, Fomento &amp; Turismo, Chile.</t>
  </si>
  <si>
    <t>1867-1616</t>
  </si>
  <si>
    <t>1867-1624</t>
  </si>
  <si>
    <t>MAR BIODIVERS</t>
  </si>
  <si>
    <t>Mar. Biodivers.</t>
  </si>
  <si>
    <t>10.1007/s12526-020-01053-z</t>
  </si>
  <si>
    <t>Biodiversity Conservation; Marine &amp; Freshwater Biology</t>
  </si>
  <si>
    <t>Biodiversity &amp; Conservation; Marine &amp; Freshwater Biology</t>
  </si>
  <si>
    <t>LB8GD</t>
  </si>
  <si>
    <t>WOS:000524866700001</t>
  </si>
  <si>
    <t>Fossum, KN; Ovadnevaite, J; Ceburnis, D; Preissler, J; Snider, JR; Huang, RJ; Zuend, A; O'Dowd, C</t>
  </si>
  <si>
    <t>Fossum, Kirsten N.; Ovadnevaite, Jurgita; Ceburnis, Darius; Preissler, Jana; Snider, Jefferson R.; Huang, Ru-Jin; Zuend, Andreas; O'Dowd, Colin</t>
  </si>
  <si>
    <t>Sea-spray regulates sulfate cloud droplet activation over oceans</t>
  </si>
  <si>
    <t>CONDENSATION NUCLEI; THERMODYNAMIC MODEL; AEROSOL; SIZE; PARAMETERIZATION; ALBEDO; SALT; PARTICLE; SULFUR; GROWTH</t>
  </si>
  <si>
    <t>Sulfate aerosols are typically the dominant source of cloud condensation nuclei (CCN) over remote oceans and their abundance is thought to be the dominating factor in determining oceanic cloud brightness. Their activation into cloud droplets depends on dynamics (i.e. vertical updrafts) and competition with other potential CCN sources for the condensing water. We present new experimental results from the remote Southern Ocean illustrating that, for a given updraft, the peak supersaturation reached in cloud, and consequently the number of droplets activated on sulfate nuclei, is strongly but inversely proportional to the concentration of sea-salt activated despite a 10-fold lower abundance. Greater sea-spray nuclei availability mostly suppresses sulfate aerosol activation leading to an overall decrease in cloud droplet concentrations; however, for high vertical updrafts and low sulfate aerosol availability, increased sea-spray can augment cloud droplet concentrations. This newly identified effect where sea-salt nuclei indirectly controls sulfate nuclei activation into cloud droplets could potentially lead to changes in the albedo of marine boundary layer clouds by as much as 30%.</t>
  </si>
  <si>
    <t>[Fossum, Kirsten N.; Ovadnevaite, Jurgita; Ceburnis, Darius; Preissler, Jana; Huang, Ru-Jin; O'Dowd, Colin] Natl Univ Ireland Galway, Sch Phys, Ryan Inst, Ctr Climate &amp; Air Pollut Studies, Univ Rd, Galway, Ireland; [Fossum, Kirsten N.; Ovadnevaite, Jurgita; Ceburnis, Darius; Preissler, Jana; Huang, Ru-Jin; O'Dowd, Colin] Natl Univ Ireland Galway, MaREI Galway, Univ Rd, Galway, Ireland; [Snider, Jefferson R.] Univ Wyoming, Dept Atmospher Sci, Laramie, WY 82071 USA; [Huang, Ru-Jin] Chinese Acad Sci, Inst Earth Environm, State Key Lab Loess &amp; Quaternary Geol, Xian 710061, Peoples R China; [Huang, Ru-Jin] Chinese Acad Sci, Inst Earth Environm, Key Lab Aerosol Chem &amp; Phys, Xian 710061, Peoples R China; [Huang, Ru-Jin] Chinese Acad Sci, Inst Earth Environm, Ctr Excellence Quaternary Sci &amp; Global Change, Xian 710061, Peoples R China; [Zuend, Andreas] McGill Univ, Dept Atmospher &amp; Ocean Sci, Montreal, PQ, Canada</t>
  </si>
  <si>
    <t>Ollscoil na Gaillimhe-University of Galway; Ollscoil na Gaillimhe-University of Galway; University of Wyoming; Chinese Academy of Sciences; Institute of Earth Environment, CAS; Chinese Academy of Sciences; Institute of Earth Environment, CAS; Chinese Academy of Sciences; Institute of Earth Environment, CAS; McGill University</t>
  </si>
  <si>
    <t>O'Dowd, C (corresponding author), Natl Univ Ireland Galway, Sch Phys, Ryan Inst, Ctr Climate &amp; Air Pollut Studies, Univ Rd, Galway, Ireland.;O'Dowd, C (corresponding author), Natl Univ Ireland Galway, MaREI Galway, Univ Rd, Galway, Ireland.</t>
  </si>
  <si>
    <t>colin.odowd@nuigalway.ie</t>
  </si>
  <si>
    <t>Zuend, Andreas/O-1552-2019; O'Dowd, Colin D/K-8904-2012; Brophy, Deirdre/JQW-0281-2023; Huang, Ru-Jin/K-5022-2018; Ceburnis, Darius/C-1293-2012; Ovadnevaite, Jurgita/B-6203-2018; Snider, Jefferson/F-9175-2016</t>
  </si>
  <si>
    <t>Zuend, Andreas/0000-0003-3101-8521; O'Dowd, Colin D/0000-0002-3068-2212; Huang, Ru-Jin/0000-0002-4907-9616; Ceburnis, Darius/0000-0003-0231-5324; Ovadnevaite, Jurgita/0000-0001-7201-0118; Snider, Jefferson/0000-0002-9318-1343; Fossum, Kirsten/0000-0002-4976-7259</t>
  </si>
  <si>
    <t>SFI under MaREI; European Union's Seventh Framework Programme (FP7/2007-2013) project BACCHUS [603445]; Spanish Ministry of Economy and Competitiveness (MINECO) as part of the PEGASO project [CTM2012-37615]; Spanish Ministry of Economy and Competitiveness (MINECO) as part of the BIONUC project [CGL2013-49020-R]</t>
  </si>
  <si>
    <t>SFI under MaREI; European Union's Seventh Framework Programme (FP7/2007-2013) project BACCHUS(European Union (EU)); Spanish Ministry of Economy and Competitiveness (MINECO) as part of the PEGASO project; Spanish Ministry of Economy and Competitiveness (MINECO) as part of the BIONUC project</t>
  </si>
  <si>
    <t>The research leading to these results has received funding from SFI under MaREI; the European Union's Seventh Framework Programme (FP7/2007-2013) project BACCHUS under grant agreement n_603445; Spanish Ministry of Economy and Competitiveness (MINECO) as part of the PEGASO (Ref.: CTM2012-37615) and BIONUC (Ref: CGL2013-49020-R) projects. The Antarctic cruise that led to this study was organised by R. Simo and M. Dall'Osto from the Institut de Ciencies del Mar (CSIC), Barcelona, Catalonia, Spain.</t>
  </si>
  <si>
    <t>10.1038/s41612-020-0116-2</t>
  </si>
  <si>
    <t>LB8KH</t>
  </si>
  <si>
    <t>WOS:000524878900001</t>
  </si>
  <si>
    <t>Ricaud, P; Del Guasta, M; Bazile, E; Azouz, N; Lupi, A; Durand, P; Attié, JL; Veron, D; Guidard, V; Grigioni, P</t>
  </si>
  <si>
    <t>Ricaud, Philippe; Del Guasta, Massimo; Bazile, Eric; Azouz, Niramson; Lupi, Angelo; Durand, Pierre; Attie, Jean-Luc; Veron, Dana; Guidard, Vincent; Grigioni, Paolo</t>
  </si>
  <si>
    <t>Supercooled liquid water cloud observed, analysed, and modelled at the top of the planetary boundary layer above Dome C, Antarctica</t>
  </si>
  <si>
    <t>MIXED-PHASE CLOUDS; RADIATIVE PROPERTIES; HAMSTRAD RADIOMETER; CONCORDIA STATION; DUMONT DURVILLE; VAPOR; ICE; MICROPHYSICS; PENINSULA; AEROSOL</t>
  </si>
  <si>
    <t>A comprehensive analysis of the water budget over the Dome C (Concordia, Antarctica) station has been performed during the austral summer 2018-2019 as part of the Year of Polar Prediction (YOPP) international campaign. Thin (similar to 100 m deep) supercooled liquid water (SLW) clouds have been detected and analysed using remotely sensed observations at the station (tropospheric depolarization lidar, the H2O Antarctica Microwave Stratospheric and Tropospheric Radiometer (HAMSTRAD), net surface radiation from the Baseline Surface Radiation Network (BSRN)), radiosondes, and satellite observations (CALIOP, Cloud-Aerosol LIdar with Orthogonal Polarization/CALIPSO, Cloud Aerosol Lidar and Infrared Pathfinder Satellite Observations) combined with a specific configuration of the numerical weather prediction model: ARPEGESH (Action de Recherche Petite Echelle Grande Echelle - Southern Hemisphere). The analysis shows that SLW clouds were present from November to March, with the greatest frequency occurring in December and January when similar to 50 % of the days in summer time exhibited SLW clouds for at least 1 h. Two case studies are used to illustrate this phenomenon. On 24 December 2018, the atmospheric planetary boundary layer (PBL) evolved following a typical diurnal variation, which is to say with a warm and dry mixing layer at local noon thicker than the cold and dry stable layer at local midnight. Our study showed that the SLW clouds were observed at Dome C within the entrainment and the capping inversion zones at the top of the PBL. ARPEGE-SH was not able to correctly estimate the ratio between liquid and solid water inside the clouds with the liquid water path (LWP) strongly underestimated by a factor of 1000 compared to observations. The lack of simulated SLW in the model impacted the net surface radiation that was 20-30 W M-2 higher in the BSRN observations than in the ARPEGE-SH calculations, mainly attributable to the BSRN longwave downward surface radiation being 50 W M-2 greater than that of ARPEGE-SH. The second case study took place on 20 December 2018, when a warm and wet episode impacted the PBL with no clear diurnal cycle of the PBL top. SLW cloud appearance within the entrainment and capping inversion zones coincided with the warm and wet event. The amount of liquid water measured by HAMSTRAD was similar to 20 times greater in this perturbed PBL than in the typical PBL. Since ARPEGE-SH was not able to accurately reproduce these SLW clouds, the discrepancy between the observed and calculated net surface radiation was even greater than in the typical PBL case, reaching +50 W M-2, mainly attributable to the downwelling longwave surface radiation from BSRN being 100 W M-2 greater than that of ARPEGE-SH. The model was then run with a new partition function favouring liquid water for temperatures below -20 down to -40 degrees C. In this test mode, ARPEGE-SH has been able to generate SLW clouds with modelled LWP and net surface radiation consistent with observations during the typical case, whereas, during the perturbed case, the modelled LWP was 10 times less than the observations and the modelled net surface radiation remained lower than the observations by similar to 50 W M-2. Accurately modelling the presence of SLW clouds appears crucial to correctly simulate the surface energy budget over the Antarctic Plateau.</t>
  </si>
  <si>
    <t>[Ricaud, Philippe; Bazile, Eric; Azouz, Niramson; Guidard, Vincent] Univ Toulouse, CNRM, Meteo France, CNRS, Toulouse, France; [Del Guasta, Massimo] CNR, INO, Sesto Fiorentino, Italy; [Lupi, Angelo] CNR, ISAC, Bologna, Italy; [Durand, Pierre; Attie, Jean-Luc] Univ Toulouse, CNRS, UPS, Lab Aerol, Toulouse, France; [Veron, Dana] Univ Delaware, Newark, DE USA; [Grigioni, Paolo] ENEA, Rome, Italy</t>
  </si>
  <si>
    <t>Meteo France; Universite de Toulouse; Centre National de la Recherche Scientifique (CNRS); Consiglio Nazionale delle Ricerche (CNR); Istituto Nazionale di Ottica (INO-CNR); Consiglio Nazionale delle Ricerche (CNR); Istituto di Scienze dell'Atmosfera e del Clima (ISAC-CNR); Universite de Toulouse; Universite Toulouse III - Paul Sabatier; Centre National de la Recherche Scientifique (CNRS); University of Delaware; Italian National Agency New Technical Energy &amp; Sustainable Economics Development</t>
  </si>
  <si>
    <t>Ricaud, P (corresponding author), Univ Toulouse, CNRM, Meteo France, CNRS, Toulouse, France.</t>
  </si>
  <si>
    <t>philippe.ricaud@meteo.fr</t>
  </si>
  <si>
    <t>GUIDARD, Vincent/X-3762-2019</t>
  </si>
  <si>
    <t>GUIDARD, Vincent/0000-0002-4136-3962; bazile, eric/0000-0001-8120-9970; lupi, angelo/0000-0002-5009-9876</t>
  </si>
  <si>
    <t>IPEV (French Polar Institute, Institut Paul-Emile Victor) [910]; PNRA (Programma Nazionale di Ricerche in Antartide) [OSS-006, AC3.05, OSS-10]</t>
  </si>
  <si>
    <t>IPEV (French Polar Institute, Institut Paul-Emile Victor); PNRA (Programma Nazionale di Ricerche in Antartide)</t>
  </si>
  <si>
    <t>This research has been supported by IPEV (French Polar Institute, Institut Paul-Emile Victor) in the framework of the project no. 910 (HAMSTRAD, microwave radiometer) and PNRA (Programma Nazionale di Ricerche in Antartide) in the framework of the projects numbered OSS-006 (BSRN Observatory), AC3.05 (PRE-REC, aerosol lidar), and OSS-10 (RMO OBS, radiosondes).</t>
  </si>
  <si>
    <t>APR 7</t>
  </si>
  <si>
    <t>10.5194/acp-20-4167-2020</t>
  </si>
  <si>
    <t>LC5HN</t>
  </si>
  <si>
    <t>WOS:000525356700001</t>
  </si>
  <si>
    <t>Strangeways, I; Colwell, S</t>
  </si>
  <si>
    <t>Strangeways, Ian; Colwell, Steve</t>
  </si>
  <si>
    <t>Measurement of snowfall: preliminary tests at the British Antarctic Survey Rothera Research Station, Antarctica</t>
  </si>
  <si>
    <t>WIND</t>
  </si>
  <si>
    <t>A heated snowgauge was installed at Rothera in 2008 and continues to be in operation at the present time. Its measurements have been used to estimate annual snowfall at Rothera, and this was found to be, on average, about 550mm of water equivalent. Such measurements are still very rare in Antarctica, but are vital to help our understanding of climate change.</t>
  </si>
  <si>
    <t>[Strangeways, Ian] TerraData, Wallingford, Oxon, England; [Colwell, Steve] British Antarctic Survey, Cambridge, England</t>
  </si>
  <si>
    <t>Strangeways, I (corresponding author), TerraData, Wallingford, Oxon, England.</t>
  </si>
  <si>
    <t>ian.strangeways@ntlworld.com</t>
  </si>
  <si>
    <t>Strangeways, Ian/0000-0003-1653-6638</t>
  </si>
  <si>
    <t>NERC [bas0100032] Funding Source: UKRI</t>
  </si>
  <si>
    <t>10.1002/wea.3686</t>
  </si>
  <si>
    <t>OC3IZ</t>
  </si>
  <si>
    <t>WOS:000524319300001</t>
  </si>
  <si>
    <t>Young, GC; Lu, J</t>
  </si>
  <si>
    <t>Young, Gavin Charles; Lu, Jing</t>
  </si>
  <si>
    <t>Asia-Gondwana connections indicated by Devonian fishes from Australia: palaeogeographic considerations</t>
  </si>
  <si>
    <t>JOURNAL OF PALAEOGEOGRAPHY-ENGLISH</t>
  </si>
  <si>
    <t>Devonian; Palaeogeography; Biogeography; Vertebrates; East Gondwana; South China; Indochina terrane</t>
  </si>
  <si>
    <t>NEW-SOUTH-WALES; ANTIARCH PLACODERM FISH; GEORGINA BASIN; EASTERN AUSTRALIA; AZTEC SILTSTONE; VICTORIA LAND; WEE JASPER; CHINA; TETRAPOD; VERTEBRATES</t>
  </si>
  <si>
    <t>Middle Palaeozoic vertebrate fossil occurrences are summarised for Australia, with reference to faunal connections between Asia and East Gondwana, as first indicated by fish distributions of Lower Devonian fossil sites. Major endemic groups discussed are pituriaspid (Australian) and galeaspid (Asian) agnathans, wuttagoonaspids (Australian) and antarctaspid (Antarctic, Australian, Asian) arthrodires, yunnanolepid and sinolepid antiarchs (South China, Indochina terrane, Australia), and early tetrapodomorphs (South China, Australia). More widespread groups that lived in shallow marine environments (lungfishes, buchanosteid arthrodires, antiarch Bothriolepis) also show species groups shared between South China and East Gondwana. Exchange of continental facies fishes (e.g. tristichopterid tetrapodomorphs) may have been interrupted by marine transgression in the Frasnian, but were restored in the late Famennian with the appearance of Grenfellaspis in eastern Australia, the only sinolepid antiarch known from outside Asia. The hypothesis of Gondwana dispersion and Asian accretion, to explain the collage of geological terranes forming modern east and southeast Asia, implies increasing dissimilarity with increasing age, but the SiluroDevonian early vertebrate evidence is inconsistent with this. Previous cladistic analysis of Asian terranes predicted galeaspid agnathans on the Indochina terrane, and their subsequent discovery at Ly Hoa, Vietnam, confirms that Indochina and South China had come together across the Song Ma suture by Middle Devonian time.</t>
  </si>
  <si>
    <t>[Young, Gavin Charles; Lu, Jing] Australian Natl Univ, Res Sch Phys, Dept Appl Math, Canberra, ACT, Australia; [Young, Gavin Charles] Australian Museum Res Inst, Sydney, NSW, Australia; [Lu, Jing] Chinese Acad Sci, Inst Vertebrate Paleontol &amp; Paleoanthropol, Key Lab Vertebrate Evolut &amp; Human Origins, Beijing 10004, Peoples R China; [Lu, Jing] CAS Ctr Excellence Life &amp; Paleoenvironm, Beijing 10004, Peoples R China</t>
  </si>
  <si>
    <t>Australian National University; Australian Museum; Chinese Academy of Sciences; Institute of Vertebrate Paleontology &amp; Paleoanthropology, CAS</t>
  </si>
  <si>
    <t>Young, GC (corresponding author), Australian Natl Univ, Res Sch Phys, Dept Appl Math, Canberra, ACT, Australia.;Young, GC (corresponding author), Australian Museum Res Inst, Sydney, NSW, Australia.</t>
  </si>
  <si>
    <t>Gavin.Young@anu.edu.au</t>
  </si>
  <si>
    <t>Strategic Priority Research Program, Chinese Academy of Sciences [XDB26000000]; National Natural Science Foundation of China [41472016]; Australian Research Council [DP1092870, DP140104161]; Director's strategic postdoctoral fellowship in the ANU Research School of Physics (2016); 2018 Marcelja fellowship of the ANU Department of Applied Mathematics; Australian Research Council [DP1092870] Funding Source: Australian Research Council</t>
  </si>
  <si>
    <t>Strategic Priority Research Program, Chinese Academy of Sciences; National Natural Science Foundation of China(National Natural Science Foundation of China (NSFC)); Australian Research Council(Australian Research Council); Director's strategic postdoctoral fellowship in the ANU Research School of Physics (2016); 2018 Marcelja fellowship of the ANU Department of Applied Mathematics; Australian Research Council(Australian Research Council)</t>
  </si>
  <si>
    <t>Research was supported by funding to JL under the Strategic Priority Research Program, Chinese Academy of Sciences (Grant No. XDB26000000), and the National Natural Science Foundation of China (41472016). Australian funding was under Australian Research Council Discovery grants DP1092870 and DP140104161. JL was also supported by a Director's strategic postdoctoral fellowship in the ANU Research School of Physics (2016) and the 2018 Marcelja fellowship of the ANU Department of Applied Mathematics.</t>
  </si>
  <si>
    <t>SPRINGER SINGAPORE PTE LTD</t>
  </si>
  <si>
    <t>SINGAPORE</t>
  </si>
  <si>
    <t>#04-01 CENCON I, 1 TANNERY RD, SINGAPORE 347719, SINGAPORE</t>
  </si>
  <si>
    <t>2095-3836</t>
  </si>
  <si>
    <t>J PALAEOGEOG-ENGLISH</t>
  </si>
  <si>
    <t>J. Palaegeogr.</t>
  </si>
  <si>
    <t>10.1186/s42501-020-00057-x</t>
  </si>
  <si>
    <t>Geosciences, Multidisciplinary; Paleontology</t>
  </si>
  <si>
    <t>RI9NS</t>
  </si>
  <si>
    <t>WOS:000637232200001</t>
  </si>
  <si>
    <t>Zentek, R; Heinemann, G</t>
  </si>
  <si>
    <t>Zentek, Rolf; Heinemann, Guenther</t>
  </si>
  <si>
    <t>Verification of the regional atmospheric model CCLM v5.0 with conventional data and lidar measurements in Antarctica</t>
  </si>
  <si>
    <t>OF-THE-ART; ICE PRODUCTION; CLIMATE MODEL; LAPTEV SEA; SYSTEM; SNOW; PRECIPITATION; SIMULATIONS; PERFORMANCE</t>
  </si>
  <si>
    <t>The nonhydrostatic regional climate model CCLM was used for a long-term hindcast run (2002-2016) for the Weddell Sea region with resolutions of 15 and 5 km and two different turbulence parametrizations. CCLM was nested in ERA-Interim data and used in forecast mode (suite of consecutive 30 h long simulations with 6 h spin-up). We prescribed the sea ice concentration from satellite data and used a thermodynamic sea ice model. The performance of the model was evaluated in terms of temperature and wind using data from Antarctic stations, automatic weather stations (AWSs), an operational forecast model and reanalyses data, and lidar wind profiles. For the reference run we found a warm bias for the near-surface temperature over the Antarctic Plateau. This bias was removed in the second run by adjusting the turbulence parametrization, which results in a more realistic representation of the surface inversion over the plateau but resulted in a negative bias for some coastal regions. A comparison with measurements over the sea ice of the Weddell Sea by three AWS buoys for 1 year showed small biases for temperature around +/- 1K and for wind speed of 1ms(-1). Comparisons of radio soundings showed a model bias around 0 and a RMSE of 1-2K for temperature and 3-4 ms(-1) for wind speed. The comparison of CCLM simulations at resolutions down to 1 km with wind data from Doppler lidar measurements during December 2015 and January 2016 yielded almost no bias in wind speed and a RMSE of ca. 2ms(-1). Overall CCLM shows a good representation of temperature and wind for the Weddell Sea region. Based on these encouraging results, CCLM at high resolution will be used for the investigation of the regional climate in the Antarctic and atmosphere-ice-ocean interactions processes in a forthcoming study.</t>
  </si>
  <si>
    <t>[Zentek, Rolf; Heinemann, Guenther] Univ Trier, Dept Environm Meteorol, Trier, Germany</t>
  </si>
  <si>
    <t>Zentek, R (corresponding author), Univ Trier, Dept Environm Meteorol, Trier, Germany.</t>
  </si>
  <si>
    <t>zentek@uni-trier.de</t>
  </si>
  <si>
    <t>Zentek, Rolf/0000-0003-3249-8635</t>
  </si>
  <si>
    <t>DFG (Deutsche Forschungsgemeinschaft) [SPP 1158, HE 2740/19]; Open Access Fund of Universitat Trier; German Research Foundation (DFG)</t>
  </si>
  <si>
    <t>DFG (Deutsche Forschungsgemeinschaft)(German Research Foundation (DFG)); Open Access Fund of Universitat Trier; German Research Foundation (DFG)(German Research Foundation (DFG))</t>
  </si>
  <si>
    <t>The research was funded by the SPP 1158 Antarctic research of the DFG (Deutsche Forschungsgemeinschaft) under grant HE 2740/19. The publication was funded by the Open Access Fund of Universitat Trier and the German Research Foundation (DFG) within the Open Access Publishing funding programme.</t>
  </si>
  <si>
    <t>APR 6</t>
  </si>
  <si>
    <t>10.5194/gmd-13-1809-2020</t>
  </si>
  <si>
    <t>LB2UF</t>
  </si>
  <si>
    <t>WOS:000524490600001</t>
  </si>
  <si>
    <t>Fustos, I; Abarca-del-Rio, R; Moreno-Yaeger, P; Somos-Valenzuela, M</t>
  </si>
  <si>
    <t>Fustos, I; Abarca-del-Rio, R.; Moreno-Yaeger, P.; Somos-Valenzuela, M.</t>
  </si>
  <si>
    <t>Rainfall-Induced Landslides forecast using local precipitation and global climate indexes</t>
  </si>
  <si>
    <t>NATURAL HAZARDS</t>
  </si>
  <si>
    <t>Rainfall-Induced Landslides; logistic regression; ENSO-AAO variability</t>
  </si>
  <si>
    <t>INJURY-SEVERITY; MODEL; FLOOD; ENSO; OSCILLATION; ASPROMONTE; CALABRIA; HAZARDS; SUMMER; CHILE</t>
  </si>
  <si>
    <t>We analyse RIL events between 1950 and 2002 to investigate the role played by climate variability, using the El Nino-Southern Oscillation (ENSO), the Antarctic Oscillation (AAO) and local precipitation as predictors, through logistic and probabilistic (Logit and Probit) modelling. From the probabilistic regression analysis, it is clear that rain plays a major role, since its weight in the regression is almost 50%. However, we show that integrating South Pacific climate variability represented by ENSO/AAO significantly increases predictability, reaching over 87%. Moreover, sensitivity and specificity analyses confirm that although local rainfall is the main triggering factor, adding the two macroclimate variables increases the ability to predict true positive and negative occurrences by almost 80%. This confirms the need to integrate macroclimatic variables to make assertive local predictions. Surprisingly, and contrary to what might have been expected considering ENSO's recognized role in regional climate variability, the integration of AAO variability significantly improves RIL prediction capacity, while on average ENSO can be considered a second-order predictor. These results, obtained through a simple logistic regression methodology (Logit and/or Probit), can contribute to better risk management in the middle-latitude zones of Chile. The methodology can be extended to other areas of the world that do not have high-density hydrometeorological information to support preventive decision-making through logistic RIL forecasting.</t>
  </si>
  <si>
    <t>[Fustos, I] Univ La Frontera, Dept Ingn Obras Civiles, Fac Ingn &amp; Ciencias, Francisco Salazar 01145, Temuco 4780000, Chile; [Abarca-del-Rio, R.] Univ Concepcion, Fac Ciencias Fis &amp; Matemat, Dept Geofis, Concepcion, Chile; [Moreno-Yaeger, P.] Univ Catolica Temuco, Dept Ingn Obras Civiles &amp; Geol, Temuco, Chile; [Moreno-Yaeger, P.] Univ Wisconsin, Dept Geosci, 1215 West Dayton St, Madison, WI 53706 USA; [Somos-Valenzuela, M.] Univ La Frontera, Fac Agr &amp; Forest Sci, Dept Forest Sci, Av Francisco Salazar 01145, Temuco 4780000, Chile; [Somos-Valenzuela, M.] Univ La Frontera, Butamallin Res Ctr Global Change, Av Francisco Salazar 01145, Temuco 4780000, Chile</t>
  </si>
  <si>
    <t>Universidad de La Frontera; Universidad de Concepcion; Universidad Catolica de Temuco; University of Wisconsin System; University of Wisconsin Madison; Universidad de La Frontera; Universidad de La Frontera</t>
  </si>
  <si>
    <t>Abarca-del-Rio, R (corresponding author), Univ Concepcion, Fac Ciencias Fis &amp; Matemat, Dept Geofis, Concepcion, Chile.</t>
  </si>
  <si>
    <t>roabarca@udec.cl</t>
  </si>
  <si>
    <t>; Moreno-Yaeger, Pablo/I-1460-2017</t>
  </si>
  <si>
    <t>Abarca-del-Rio, Rodrigo/0000-0002-2724-7754; Moreno-Yaeger, Pablo/0000-0001-5219-4546</t>
  </si>
  <si>
    <t>Fondecyt Project [11180500]; Direccion de Investigacion of Universidad de La Frontera (DiUFRO) [DI18-0060]</t>
  </si>
  <si>
    <t>Fondecyt Project(Comision Nacional de Investigacion Cientifica y Tecnologica (CONICYT)CONICYT FONDECYT); Direccion de Investigacion of Universidad de La Frontera (DiUFRO)</t>
  </si>
  <si>
    <t>We would like to thank the reviewers whose suggestions helped improve and clarify this manuscript. This work was part of the corresponding author's doctoral thesis, defended at the University of Concepcion. The first author acknowledges Fondecyt Project 11180500 Rainfall-induced landslides experiment: RILEX. This study was partially financed through Project DI18-0060 awarded by Direccion de Investigacion of Universidad de La Frontera (DiUFRO).</t>
  </si>
  <si>
    <t>0921-030X</t>
  </si>
  <si>
    <t>1573-0840</t>
  </si>
  <si>
    <t>NAT HAZARDS</t>
  </si>
  <si>
    <t>Nat. Hazards</t>
  </si>
  <si>
    <t>10.1007/s11069-020-03913-0</t>
  </si>
  <si>
    <t>Geosciences, Multidisciplinary; Meteorology &amp; Atmospheric Sciences; Water Resources</t>
  </si>
  <si>
    <t>Geology; Meteorology &amp; Atmospheric Sciences; Water Resources</t>
  </si>
  <si>
    <t>LK8GX</t>
  </si>
  <si>
    <t>WOS:000524369300001</t>
  </si>
  <si>
    <t>Audzijonyte, A; Richards, SA; Stuart-Smith, RD; Pecl, G; Edgar, GJ; Barrett, NS; Payne, N; Blanchard, JL</t>
  </si>
  <si>
    <t>Audzijonyte, Asta; Richards, Shane A.; Stuart-Smith, Rick D.; Pecl, Gretta; Edgar, Graham J.; Barrett, Neville S.; Payne, Nicholas; Blanchard, Julia L.</t>
  </si>
  <si>
    <t>Fish body sizes change with temperature but not all species shrink with warming</t>
  </si>
  <si>
    <t>MARINE; POPULATIONS; BIASES</t>
  </si>
  <si>
    <t>Ectotherms generally shrink under experimental warming, but whether this pattern extends to wild populations is uncertain. We analysed ten million visual survey records, spanning the Australian continent and multiple decades and comprising the most common coastal reef fishes (335 species). We found that temperature indeed drives spatial and temporal changes in fish body size, but not consistently in the negative fashion expected. Around 55% of species were smaller in warmer waters (especially among small-bodied species), while 45% were bigger. The direction of a species' response to temperature through space was generally consistent with its response to temperature increase through time at any given location, suggesting that spatial trends could help forecast fish responses to long-term warming. However, temporal changes were about ten times faster than spatial trends (4% versus 40% body size change per 1 degrees C change through space and time, respectively). The rapid and variable responses of fish size to warming may herald unexpected impacts on ecosystem restructuring, with potentially greater consequences than if all species were shrinking. In 355 coastal coral reef fish species, body size changed with warming, but the direction of a species' body size response to warming through time was generally consistent with its response to temperature changes through space, rather than generally negative.</t>
  </si>
  <si>
    <t>[Audzijonyte, Asta; Stuart-Smith, Rick D.; Pecl, Gretta; Edgar, Graham J.; Barrett, Neville S.; Blanchard, Julia L.] Univ Tasmania, Inst Marine &amp; Antarctic Studies, Hobart, Tas, Australia; [Audzijonyte, Asta; Pecl, Gretta; Blanchard, Julia L.] Univ Tasmania, Ctr Marine Socioecol, Hobart, Tas, Australia; [Richards, Shane A.] Univ Tasmania, Sch Nat Sci, Hobart, Tas, Australia; [Payne, Nicholas] Trinity Coll Dublin, Sch Nat Sci, Dublin, Ireland</t>
  </si>
  <si>
    <t>University of Tasmania; University of Tasmania; University of Tasmania; Trinity College Dublin</t>
  </si>
  <si>
    <t>Audzijonyte, A (corresponding author), Univ Tasmania, Inst Marine &amp; Antarctic Studies, Hobart, Tas, Australia.;Audzijonyte, A (corresponding author), Univ Tasmania, Ctr Marine Socioecol, Hobart, Tas, Australia.</t>
  </si>
  <si>
    <t>asta.audzijonyte@utas.edu.au</t>
  </si>
  <si>
    <t>Audzijonyte, Asta/O-5598-2017; Edgar, Graham/AAY-3797-2020; Blanchard, Julia L/E-4919-2010; Payne, Nicholas L/E-7811-2013; Stuart-Smith, Rick/I-5214-2019; Pecl, Gretta/D-7267-2011; Barrett, Neville/J-7593-2014</t>
  </si>
  <si>
    <t>Edgar, Graham/0000-0003-0833-9001; Stuart-Smith, Rick/0000-0002-8874-0083; Pecl, Gretta/0000-0003-0192-4339; Audzijonyte, Asta/0000-0002-9919-9376; Richards, Shane/0000-0002-9638-5827; Blanchard, Julia/0000-0003-0532-4824; Barrett, Neville/0000-0002-6167-1356; Payne, Nicholas/0000-0002-5274-471X</t>
  </si>
  <si>
    <t>ARC [DP170104240]; UTAS visiting scholars fellowship; ARC Future Fellowship; Marine Biodiversity Hub through the Australian Government's National Environmental Science Programme (NESP)</t>
  </si>
  <si>
    <t>ARC(Australian Research Council); UTAS visiting scholars fellowship; ARC Future Fellowship(Australian Research Council); Marine Biodiversity Hub through the Australian Government's National Environmental Science Programme (NESP)</t>
  </si>
  <si>
    <t>We acknowledge all divers and support personnel who contributed to the data collection and repository, especially A. Cooper, J. Berkhout, E. Oh, J. Stuart-Smith, J. Hulls and E. Clausius. We also thank M. Sumner for help with the SST data, F. Heather for help with figures, J. Berkhout for help with parallel computing, and A. Bates and C. Waldock for thermal distribution information. This research used the NCRIS-enabled Integrated Marine Observing System (IMOS) infrastructure for database support and storage. This study was supported by the ARC Discovery grant DP170104240 (to J.L.B., G.P. and R.D.S.-S.), UTAS visiting scholars fellowship (to A.A. for N.P. visit to IMAS), ARC Future Fellowship to G.P., and the Marine Biodiversity Hub, a collaborative partnership supported through the Australian Government's National Environmental Science Programme (NESP).</t>
  </si>
  <si>
    <t>10.1038/s41559-020-1171-0</t>
  </si>
  <si>
    <t>LY0IT</t>
  </si>
  <si>
    <t>WOS:000523952600004</t>
  </si>
  <si>
    <t>Evans, R; Lea, MA; Hindell, MA; Swadling, KM</t>
  </si>
  <si>
    <t>Evans, R.; Lea, M-A; Hindell, M. A.; Swadling, K. M.</t>
  </si>
  <si>
    <t>Significant shifts in coastal zooplankton populations through the 2015/16 Tasman Sea marine heatwave</t>
  </si>
  <si>
    <t>ESTUARINE COASTAL AND SHELF SCIENCE</t>
  </si>
  <si>
    <t>Plankton; Warm event; East australian current; Climate change; Continental shelf; Biodiversity hotspot</t>
  </si>
  <si>
    <t>WESTERN BOUNDARY CURRENTS; CLIMATE-CHANGE; NYCTIPHANES-AUSTRALIS; INTERANNUAL VARIABILITY; PHYTOPLANKTON BIOMASS; COMMUNITY STRUCTURE; CONTINENTAL-SHELF; REGIME SHIFTS; WATER; SIZE</t>
  </si>
  <si>
    <t>The waters east of Tasmania, Australia, are warming at a rate 3-4 times the global average, largely as a result of the increasing duration and frequency of the southward penetration of the East Australia Current (EAC). In 2015/16, the southward movement of this sub-tropical current caused a severe marine heatwave (MHW) event. The effects of this event on the abundance and structure of the zooplankton community of south-east Tasmania are examined between November 2015 and January 2018. Generalized additive models indicated temperature to be significantly correlated with total zooplankton abundance (R-2 = 0.6, p &lt; 0.001). When modelled separately, species groups that are highly associated with the EAC, including bryozoan larvae (R-2 = 0.2), echinoderm larvae (R-2 = 0.6) and gelatinous zooplankton such as thaliaceans (R-2 = 0.3), exhibited significant positive relationship with temperature (p &lt; 0.001). The most abundant groups in samples; copepods (R-2 = 0.6), appendicularians (R-2 = 0.5) and cladocerans (R-2 = 0.2), all exhibited negative relationships (p &lt; 0.001; p &lt; 0.001; p &lt; 0.01, respectively). The abundances of cold-water and warm-water species of copepods were also analysed in relation to temperature. Sub-tropical species which are indicative of the East Australia Current, such as copepods from the Family Corycaeidae, and the calanoids Temora turbinata and Acartia danae, were present when temperatures exceeded similar to 17 degrees C, with a concurrent drop in the abundance of cold-water species. The east-coast of Tasmania is a region of rapid oceanographic change, and we have linked these changes with shifts in zooplankton population structure. Long-term studies from other regions that have also experienced marine heatwaves indicate these changes may have cascading implications for higher trophic levels. Gelatinous zooplankton and other zooplankton taxa not previously observed have now been documented in local predator diets. During warm periods, these species may represent an important alternative energy pathway.</t>
  </si>
  <si>
    <t>[Evans, R.; Lea, M-A; Hindell, M. A.; Swadling, K. M.] Univ Tasmania, Inst Marine &amp; Antarctic Studies, Private Bag 129, Hobart, Tas 7001, Australia; [Swadling, K. M.] Univ Tasmania, Antarctic Climate &amp; Ecosyst CRC, Private Bag 80, Hobart, Tas 7001, Australia</t>
  </si>
  <si>
    <t>Hindell, Mark A/K-1131-2013; Lea, Mary-Anne/E-9054-2013</t>
  </si>
  <si>
    <t>Swadling, Kerrie/0000-0002-7620-841X; Evans, Rhian/0000-0003-4984-4143; Lea, Mary-Anne/0000-0001-8318-9299</t>
  </si>
  <si>
    <t>Institute for Marine and Antarctic Studies (University of Tasmania, Australia); Sea World Research and Rescue Foundation Inc., Australia [SWR/8/2015]; Holsworth Wildlife Research Endowment, Australia</t>
  </si>
  <si>
    <t>Institute for Marine and Antarctic Studies (University of Tasmania, Australia); Sea World Research and Rescue Foundation Inc., Australia; Holsworth Wildlife Research Endowment, Australia</t>
  </si>
  <si>
    <t>The authors acknowledge the Institute for Marine and Antarctic Studies (University of Tasmania, Australia) for supporting the study with in-kind support, and external funders Sea World Research and Rescue Foundation Inc., Australia (SWR/8/2015), and the Holsworth Wildlife Research Endowment, Australia. Equally, the project would not have been possible without the support of IMAS field staff, and the many volunteers who helped over the survey period. All field work was carried out following the guidelines, and with the approval of, UTAS Animal Ethics Committee (AEC - A0014985).</t>
  </si>
  <si>
    <t>0272-7714</t>
  </si>
  <si>
    <t>1096-0015</t>
  </si>
  <si>
    <t>ESTUAR COAST SHELF S</t>
  </si>
  <si>
    <t>Estuar. Coast. Shelf Sci.</t>
  </si>
  <si>
    <t>APR 5</t>
  </si>
  <si>
    <t>10.1016/j.ecss.2019.106538</t>
  </si>
  <si>
    <t>LG2CO</t>
  </si>
  <si>
    <t>WOS:000527915700040</t>
  </si>
  <si>
    <t>Ding, YF; Cheng, X; Li, XC; Shokr, M; Yuan, JW; Yang, QH; Hui, FM</t>
  </si>
  <si>
    <t>Ding, Yifan; Cheng, Xiao; Li, Xichen; Shokr, Mohammed; Yuan, Jiawei; Yang, Qinghua; Hui, Fengming</t>
  </si>
  <si>
    <t>Specific Relationship between the Surface Air Temperature and the Area of the Terra Nova Bay Polynya, Antarctica</t>
  </si>
  <si>
    <t>air temperature; wind speed; polynya area; specific relationship; Terra Nova Bay</t>
  </si>
  <si>
    <t>SEA-ICE FORMATION; COASTAL POLYNYAS; HEAT; DYNAMICS; OCEAN; VARIABILITY; MAMMALS; EDGES; LEADS</t>
  </si>
  <si>
    <t>Antarctic polynyas play an important role in regional atmosphere-ice-ocean interactions and are considered to help generate the global deep ocean conveyer belt. Polynyas therefore have a potential impact on the Earth's climate in terms of the production of sea ice and high-salinity shelf water. In this study, we investigated the relationship between the area of the Terra Nova Bay polynya and the air temperature as well as the eastward and northward wind based on the ERA5 and ERA-Interim reanalysis datasets and observations from automatic weather stations during the polar night. We examined the correlation between each factor and the polynya area under different temperature conditions. Previous studies have focused more on the effect of winds on the polynya, but the relationship between air temperature and the polynya area has not been fully investigated. Our study shows, eliminating the influence of winds, lower air temperature has a stronger positive correlation with the polynya area. The results show that the relationship between the polynya area and air temperature is more likely to be interactively influenced. As temperature drops, the relationship of the polynya area with air temperature becomes closer with increasing correlation coefficients. In the low temperature conditions, the correlation coefficients of the polynya area with air temperature are above 0.5, larger than that with the wind speed.</t>
  </si>
  <si>
    <t>[Ding, Yifan; Cheng, Xiao; Yuan, Jiawei; Hui, Fengming] Beijing Normal Univ, Coll Global Change &amp; Earth Syst Sci, Beijing 100875, Peoples R China; [Ding, Yifan; Cheng, Xiao; Yuan, Jiawei; Hui, Fengming] Beijing Normal Univ, State Key Lab Remote Sensing Sci, Beijing 100875, Peoples R China; [Li, Xichen] Chinese Acad Sci, Inst Atmospher Phys, Beijing 100029, Peoples R China; [Shokr, Mohammed] Environm &amp; Climate Change Canada, Meteorol Res Div, 4905 Dufferin St, Toronto, ON M3H 5T4, Canada; [Cheng, Xiao; Hui, Fengming] Sun Yat Sen Univ, Sch Geospatial Engn &amp; Sci, Zhuhai 519000, Peoples R China; [Yang, Qinghua] Sun Yat Sen Univ, Sch Atmospher Sci, Guangdong Prov Key Lab Climate Change &amp; Nat Disas, Zhuhai 519000, Peoples R China; [Yang, Qinghua] Southern Lab Ocean Sci &amp; Engn, Zhuhai 519000, Guangdong, Peoples R China; [Ding, Yifan; Cheng, Xiao; Yuan, Jiawei; Hui, Fengming] Univ Corp Polar Res, Beijing 100875, Peoples R China</t>
  </si>
  <si>
    <t>Beijing Normal University; Beijing Normal University; Chinese Academy of Sciences; Institute of Atmospheric Physics, CAS; Environment &amp; Climate Change Canada; Sun Yat Sen University; Sun Yat Sen University</t>
  </si>
  <si>
    <t>Cheng, X (corresponding author), Beijing Normal Univ, Coll Global Change &amp; Earth Syst Sci, Beijing 100875, Peoples R China.;Cheng, X (corresponding author), Beijing Normal Univ, State Key Lab Remote Sensing Sci, Beijing 100875, Peoples R China.;Cheng, X (corresponding author), Sun Yat Sen Univ, Sch Geospatial Engn &amp; Sci, Zhuhai 519000, Peoples R China.;Cheng, X (corresponding author), Univ Corp Polar Res, Beijing 100875, Peoples R China.</t>
  </si>
  <si>
    <t>polecx@163.com</t>
  </si>
  <si>
    <t>Li, Xichen/ISB-4663-2023</t>
  </si>
  <si>
    <t>National Natural Science Foundation of China [41830536, 41676190, 41941009]; Fundamental Research Funds for the Central Universities [12500312231103]; University of Wisconsin-Madison Automatic Weather Station Program (NSF) [ANT-1543305]</t>
  </si>
  <si>
    <t>National Natural Science Foundation of China(National Natural Science Foundation of China (NSFC)); Fundamental Research Funds for the Central Universities(Fundamental Research Funds for the Central Universities); University of Wisconsin-Madison Automatic Weather Station Program (NSF)</t>
  </si>
  <si>
    <t>This work was funded by the National Natural Science Foundation of China (Grant No. 41830536, Grant No. 41676190, and Grant No. 41941009) and the Fundamental Research Funds for the Central Universities (Grant No. 12500312231103).The authors thank the University of Bremen for providing the AMSR-E, AMSR-2 and SSMIS SIC data, as well as the University of Wisconsin-Madison Automatic Weather Station Program (NSF Grant No. ANT-1543305) and PNRA, the Italian National Program for Antarctic Research project Meteo-climatological Observations, for providing the observational data. The authors also thank David BROMWICH from The Ohio State University for his helpful comments.</t>
  </si>
  <si>
    <t>10.1007/s00376-020-9146-2</t>
  </si>
  <si>
    <t>WOS:000525167900001</t>
  </si>
  <si>
    <t>Qizhen,; Vihma, T; Jonassen, MO; Zhang, ZH</t>
  </si>
  <si>
    <t>Sun, Qizhen; Vihma, Timo; Jonassen, Marius O.; Zhang, Zhanhai</t>
  </si>
  <si>
    <t>Impact of Assimilation of Radiosonde and UAV Observations from the Southern Ocean in the Polar WRF Model</t>
  </si>
  <si>
    <t>numerical weather prediction; radiosonde soundings; unmanned aerial vehicles; data assimilation; Antarctic; Southern Ocean</t>
  </si>
  <si>
    <t>ATMOSPHERIC BOUNDARY-LAYER; TERRA-NOVA BAY; TEMPERATURE PROFILES; WEATHER RESEARCH; SEA-ICE; SYSTEM; ANTARCTICA; SIMULATIONS; PERFORMANCE; VALIDATION</t>
  </si>
  <si>
    <t>Weather forecasting in the Southern Ocean and Antarctica is a challenge above all due to the rarity of observations to be assimilated in numerical weather prediction (NWP) models. As observations are expensive and logistically challenging, it is important to evaluate the benefit that additional observations could bring to NWP. Atmospheric soundings applying unmanned aerial vehicles (UAVs) have a large potential to supplement conventional radiosonde sounding observations. Here, we applied UAV and radiosonde sounding observations from an RV Polarstern cruise in the ice-covered Weddell Sea in austral winter 2013 to evaluate the impact of their assimilation in the Polar version of the Weather Research and Forecasting (Polar WRF) model. Our experiments revealed small to moderate impacts of radiosonde and UAV data assimilation. In any case, the assimilation of sounding data from both radiosondes and UAVs improved the analyses of air temperature, wind speed, and humidity at the observation site for most of the time. Further, the impact on the results of 5-day-long Polar WRF experiments was often felt over distances of at least 300 km from the observation site. All experiments succeeded in capturing the main features of the evolution of near-surface variables, but the effects of data assimilation varied between different cases. Due to the limited vertical extent of the UAV observations, the impact of their assimilation was limited to the lowermost 1-2-km layer, and assimilation of radiosonde data was more beneficial for modeled sea level pressure and near-surface wind speed.</t>
  </si>
  <si>
    <t>[Sun, Qizhen; Zhang, Zhanhai] Ocean Univ China, Coll Ocean &amp; Atmospher Sci, Qingdao 266100, Peoples R China; [Sun, Qizhen] Natl Marine Environm Forecasting Ctr, Polar Res &amp; Forecasting Div, Beijing 100081, Peoples R China; [Vihma, Timo] Finnish Meteorol Inst, POB 503, FIN-00101 Helsinki, Finland; [Jonassen, Marius O.] Univ Bergen, Geophys Inst, POB 7803, NO-5020 Bergen, Norway; [Jonassen, Marius O.] Univ Ctr Svalbard, POB 156, NO-9171 Longyearbyen, Norway; [Zhang, Zhanhai] State Ocean Adm, Polar Res Inst China, Key Lab Polar Sci, Shanghai 200136, Peoples R China</t>
  </si>
  <si>
    <t>Ocean University of China; National Marine Environmental Forecasting Center; Finnish Meteorological Institute; University of Bergen; University Centre Svalbard (UNIS); Polar Research Institute of China</t>
  </si>
  <si>
    <t>Qizhen, (corresponding author), Ocean Univ China, Coll Ocean &amp; Atmospher Sci, Qingdao 266100, Peoples R China.;Qizhen, (corresponding author), Natl Marine Environm Forecasting Ctr, Polar Res &amp; Forecasting Div, Beijing 100081, Peoples R China.</t>
  </si>
  <si>
    <t>sunqizhen@nmefc.cn</t>
  </si>
  <si>
    <t>Vihma, Timo/ABC-9771-2020; Sun, Qizhen/JCE-6070-2023</t>
  </si>
  <si>
    <t>China National Key R&amp;D Program of China [2016YFC140 2705]; Academy of Finland [304345]; Academy of Finland (AKA) [304345] Funding Source: Academy of Finland (AKA)</t>
  </si>
  <si>
    <t>China National Key R&amp;D Program of China; Academy of Finland(Research Council of Finland); Academy of Finland (AKA)</t>
  </si>
  <si>
    <t>This study was supported by the China National Key R&amp;D Program of China (Grant No. 2016YFC140 2705) and the Academy of Finland (contract: 304345). The ECMWF is acknowledged for providing us with the operational analyses. We thank Priit TISLER from Finnish Meteorological Institute for his pivotal contribution to the SUMO observations, the Alfred Wegener Institute for providing us the RV Polarstern radiosonde sounding and AWS data from Polarstern and Neumayer III stations, and the Captain and crew of RV Polarstern for their support during the cruise. This is a contribution to the Year of Polar Prediction (YOPP), a flagship activity of the Polar Prediction Project (PPP), initiated by the World Weather Research Programme (WWRP) of the World Meteorological Organisation (WMO). We acknowledge the WMO WWRP for its role in coordinating this international research activity.</t>
  </si>
  <si>
    <t>10.1007/s00376-020-9213-8</t>
  </si>
  <si>
    <t>WOS:000523585200002</t>
  </si>
  <si>
    <t>Bozkurt, D; Bromwich, DH; Carrasco, J; Hines, KM; Maureira, JC; Rondanelli, R</t>
  </si>
  <si>
    <t>Bozkurt, Deniz; Bromwich, David H.; Carrasco, Jorge; Hines, Keith M.; Maureira, Juan Carlos; Rondanelli, Roberto</t>
  </si>
  <si>
    <t>Recent Near-surface Temperature Trends in the Antarctic Peninsula from Observed, Reanalysis and Regional Climate Model Data</t>
  </si>
  <si>
    <t>dynamical downscaling; cloud computing; added value; reanalysis; Amundsen; Bellingshausen Sea; Weddell Sea; temperature trend</t>
  </si>
  <si>
    <t>POLAR WEATHER RESEARCH; FORECASTING WRF MODEL; WEST ANTARCTICA; MASS-BALANCE; REPRESENTATION; MICROPHYSICS; VARIABILITY; PERFORMANCE; IMPACT; EVENT</t>
  </si>
  <si>
    <t>This study investigates the recent near-surface temperature trends over the Antarctic Peninsula. We make use of available surface observations, ECMWF's ERA5 and its predecessor ERA-Interim, as well as numerical simulations, allowing us to contrast different data sources. We use hindcast simulations performed with Polar-WRF over the Antarctic Peninsula on a nested domain configuration at 45 km (PWRF-45) and 15 km (PWRF-15) spatial resolutions for the period 1991-2015. In addition, we include hindcast simulations of KNMI-RACMO21P obtained from the CORDEX-Antarctica domain (similar to 50 km) for further comparisons. Results show that there is a marked windward warming trend except during summer. This windward warming trend is particularly notable in the autumn season and likely to be associated with the recent deepening of the Amundsen/Bellingshausen Sea low and warm advection towards the Antarctic Peninsula. On the other hand, an overall summer cooling is characterized by the strengthening of the Weddell Sea low as well as an anticyclonic trend over the Amundsen Sea accompanied by northward winds. The persistent cooling trend observed at the Larsen Ice Shelf station is not captured by ERA-Interim, whereas hindcast simulations indicate that there is a clear pattern of windward warming and leeward cooling. Furthermore, larger temporal correlations and lower differences exhibited by PWRF-15 illustrate the existence of the added value in the higher spatial resolution simulation.</t>
  </si>
  <si>
    <t>[Bozkurt, Deniz] Univ Valparaiso, Dept Meteorol, Valparaiso 2340000, Chile; [Bozkurt, Deniz; Rondanelli, Roberto] Ctr Climate &amp; Resilience Res CR2, Santiago 8320000, Chile; [Bromwich, David H.; Hines, Keith M.] Ohio State Univ, Byrd Polar &amp; Climate Res Ctr, Polar Meteorol Grp, Columbus, OH 43210 USA; [Carrasco, Jorge] Univ Magallanes, Ctr Invest GAIA Antartica, Punta Arenas 6200000, Chile; [Maureira, Juan Carlos] Univ Chile, CMM, Santiago 8320000, Chile; [Rondanelli, Roberto] Univ Chile, Dept Geophys, Santiago 8320000, Chile</t>
  </si>
  <si>
    <t>Universidad de Valparaiso; University System of Ohio; Ohio State University; Universidad de Magallanes; Universidad de Chile; Universidad de Chile</t>
  </si>
  <si>
    <t>Bozkurt, D (corresponding author), Univ Valparaiso, Dept Meteorol, Valparaiso 2340000, Chile.;Bozkurt, D (corresponding author), Ctr Climate &amp; Resilience Res CR2, Santiago 8320000, Chile.</t>
  </si>
  <si>
    <t>deniz.bozkurt@uv.cl</t>
  </si>
  <si>
    <t>Carrasco, Jorge/ACG-6766-2022; Carrasco, Jorge/AAC-4799-2021; Rondanelli, Roberto/A-4717-2012; Bozkurt, Deniz/C-9797-2013; Bozkurt, Deniz/AAC-4563-2021</t>
  </si>
  <si>
    <t>Carrasco, Jorge/0000-0003-2154-5483; Carrasco, Jorge/0000-0003-2154-5483; Rondanelli, Roberto/0000-0002-7440-7810; Bozkurt, Deniz/0000-0003-1021-8241</t>
  </si>
  <si>
    <t>FONDAP-CONICYT [15110009]; CONICYT-PAI [77190080]; Scientific Committee on Antarctic Research (SCAR) Expert Group on Operation Meteorology in the Antarctic (OPMet); Chilean Ministry of Environment; Basal Grant [AFB 170001]; Amazon Web Services (AWS) [PS_R_FY2019_Q1_CR2, PS_R_FY2019_Q2_CR2]</t>
  </si>
  <si>
    <t>FONDAP-CONICYT(Comision Nacional de Investigacion Cientifica y Tecnologica (CONICYT)CONICYT FONDAP); CONICYT-PAI; Scientific Committee on Antarctic Research (SCAR) Expert Group on Operation Meteorology in the Antarctic (OPMet); Chilean Ministry of Environment; Basal Grant(Comision Nacional de Investigacion Cientifica y Tecnologica (CONICYT)CONICYT PIA/BASAL); Amazon Web Services (AWS)</t>
  </si>
  <si>
    <t>This work was funded by FONDAP-CONICYT (Grant No. 15110009). D. B. acknowledges support from CONICYT-PAI (Grant No. 77190080). This paper is Contribution Number 1588 of the Byrd Polar and Climate Research Center. The authors acknowledge two anonymous reviewers for their constructive comments that helped to improve the manuscript. DB acknowledges the Scientific Committee on Antarctic Research (SCAR) Expert Group on Operation Meteorology in the Antarctic (OPMet) for a partial funding award for the 14th Workshop on Antarctic Meteorology and Climate (WAMC) as well as the Year of Polar Prediction in the Southern Hemisphere (YOPP-SH) meeting in Charleston, SC, USA, between 25 and 28 June 2019. We thank David B. REUSCH (Department of Earth and Environmental Science, New Mexico Technology), Rodrigo Delgado URZuA (Direccion General de Aeronautica Civil, Chile), Kevin MANNING (National Center for Atmospheric Research, Boulder, Colorado), Andrew ORR (British Antarctic Survey) and Pranab DEB (Indian Institute of Technology) for useful discussions on the Polar-WRF simulations. We are grateful for data from the SCAR-READER dataset and we wish to acknowledge ECMWF for ERA-Interim and ERA5 data. The Polar-WRF simulations were performed within a project entitled Simulaciones climaticas regionales para el continente Antartico y territorio insular Chileno funded by the Chilean Ministry of Environment. This research was partially supported by the Basal Grant AFB 170001 and the supercomputing infrastructure of the NLHPC (ECM-02:Powered@NLHPC). The authors appreciate the support of Amazon Web Services (AWS) for the grants PS_R_FY2019_Q1_CR2 &amp; PS_R_FY2019_Q2_CR2, which allowed us to execute the Polar-WRF simulations on the AWS cloud infrastructure. We thank Francisca MUNOZ, Nancy VALDEBENITO and Mirko DEL HOYO at CR2 for post-processing of Polar-WRF simulations.</t>
  </si>
  <si>
    <t>10.1007/s00376-020-9183-x</t>
  </si>
  <si>
    <t>WOS:000523585200001</t>
  </si>
  <si>
    <t>Marquetto, L; Kaspari, S; Simoes, JC; Babik, E</t>
  </si>
  <si>
    <t>Marquetto, Luciano; Kaspari, Susan; Simoes, Jefferson Cardia; Babik, Emil</t>
  </si>
  <si>
    <t>Refractory Black Carbon Results and a Method Comparison between Solid-state Cutting and Continuous Melting Sampling of a West Antarctic Snow and Firn Core</t>
  </si>
  <si>
    <t>black carbon; West Antarctica; ice core; single particle soot photometer</t>
  </si>
  <si>
    <t>ICE CORE; DEPOSITION; CLIMATE; VARIABILITY; AEROSOLS; RECORDS; DUST</t>
  </si>
  <si>
    <t>This work presents the refractory black carbon (rBC) results of a snow and firn core drilled in West Antarctica (79 degrees 55 ' 34.6 '' S, 94 degrees 21 ' 13.3 '' W) during the 2014-15 austral summer, collected by Brazilian researchers as part of the First Brazilian West Antarctic Ice Sheet Traverse. The core was drilled to a depth of 20 m, and we present the results of the first 8 m by comparing two subsampling methods-solid-state cutting and continuous melting-both with discrete sampling. The core was analyzed at the Department of Geological Sciences, Central Washington University (CWU), WA, USA, using a single particle soot photometer (SP2) coupled to a CETAC Marin-5 nebulizer. The continuous melting system was recently assembled at CWU and these are its first results. We also present experimental results regarding SP2 reproducibility, indicating that sample concentration has a greater influence than the analysis time on the reproducibility for low rBC concentrations, like those found in the Antarctic core. Dating was carried out using mainly the rBC variation and sulfur, sodium and strontium as secondary parameters, giving the core 17 years (1998-2014). The data show a well-defined seasonality of rBC concentrations for these first meters, with geometric mean summer/fall concentrations of 0.016 mu g L-1 and geometric mean winter/spring concentrations of 0.063 mu g L-1. The annual rBC concentration geometric mean was 0.029 mu g L-1 (the lowest of all rBC cores in Antarctica referenced in this work), while the annual rBC flux was 6.1 mu g m(-2) yr(-1) (the lowest flux in West Antarctica records so far).</t>
  </si>
  <si>
    <t>[Marquetto, Luciano; Kaspari, Susan; Babik, Emil] Cent Washington Univ, Dept Geol Sci, Ellensburg, WA 98926 USA; [Marquetto, Luciano; Simoes, Jefferson Cardia] Univ Fed Rio Grande do Sul, Polar &amp; Climat Ctr, BR-91509900 Porto Alegre, RS, Brazil</t>
  </si>
  <si>
    <t>Central Washington University; Universidade Federal do Rio Grande do Sul</t>
  </si>
  <si>
    <t>Marquetto, L (corresponding author), Cent Washington Univ, Dept Geol Sci, Ellensburg, WA 98926 USA.;Marquetto, L (corresponding author), Univ Fed Rio Grande do Sul, Polar &amp; Climat Ctr, BR-91509900 Porto Alegre, RS, Brazil.</t>
  </si>
  <si>
    <t>Brazilian National Council for Scientific and Technological Development (CNPq) Split Fellowship Program [200386/2018-2]; CNPq [465680/2014-3, 442761/2018-0]</t>
  </si>
  <si>
    <t>Brazilian National Council for Scientific and Technological Development (CNPq) Split Fellowship Program(Conselho Nacional de Desenvolvimento Cientifico e Tecnologico (CNPQ)); CNPq(Conselho Nacional de Desenvolvimento Cientifico e Tecnologico (CNPQ))</t>
  </si>
  <si>
    <t>This research is part of the Brazilian Antarctic Program (PROANTAR) and was financed with funds from the Brazilian National Council for Scientific and Technological Development (CNPq) Split Fellowship Program (Grant No. 200386/2018-2) and from the CNPq projects 465680/2014-3 and 442761/2018-0. We thank the Centro Polar e Climatico (CPC/UFRGS) and the Department of Geological Sciences (CWU) faculty and staff for their support of this work. We also thank the anonymous reviewers for their comments and suggestions, as well as the Advances in Atmospheric Sciences team.</t>
  </si>
  <si>
    <t>10.1007/s00376-019-9124-8</t>
  </si>
  <si>
    <t>WOS:000523585200003</t>
  </si>
  <si>
    <t>Lavers, JL; Sharp, PB; Stuckenbrock, S; Bond, AL</t>
  </si>
  <si>
    <t>Lavers, Jennifer L.; Sharp, Paul B.; Stuckenbrock, Silke; Bond, Alexander L.</t>
  </si>
  <si>
    <t>Entrapment in plastic debris endangers hermit crabs</t>
  </si>
  <si>
    <t>JOURNAL OF HAZARDOUS MATERIALS</t>
  </si>
  <si>
    <t>Entrapment; Indian Ocean; Marine debris; Plastic pollution; South Pacific Gyre</t>
  </si>
  <si>
    <t>MARINE DEBRIS; LARVAL DEVELOPMENT; SEA; ISLAND; ACCUMULATION; IMPACTS; LAND; BIODIVERSITY; CHALLENGES; INGESTION</t>
  </si>
  <si>
    <t>Significant quantities of plastic debris pollute nearly all the world's ecosystems, where it persists for decades and poses a considerable threat to flora and fauna. Much of the focus has been on the marine environment, with little information on the hazard posed by debris accumulating on beaches and adjacent vegetated areas. Here we investigate the potential for beach debris to disrupt terrestrial species and ecosystems on two remote islands. The significant quantities of debris on the beaches, and throughout the coastal vegetation, create a significant barrier which strawberry hermit crabs (Coenobite perlatus) encounter during their daily activities. Around 61,000 (2.447 crabs/m(2)) and 508,000 crabs (1.117 crabs/m(2)) are estimated to become entrapped in debris and die each year on Henderson Island and the Cocos (Keeling) Islands, respectively. Globally, there is an urgent need to establish a clear link between debris interactions and population persistence, as loss of biodiversity contributes to ecosystem degradation. Our findings show accumulating debris on these islands has the potential to seriously impact hermit crab populations. This is important for countless other islands worldwide where crabs and debris overlap, as crabs play a crucial role in the maintenance of tropical ecosystems.</t>
  </si>
  <si>
    <t>[Lavers, Jennifer L.] Univ Tasmania, Inst Marine &amp; Antarctic Studies, Battery Point, Tas, Australia; [Sharp, Paul B.; Stuckenbrock, Silke] Two Hands Project Inc, Narrabeen, NSW, Australia; [Bond, Alexander L.] Nat Hist Museum, Bird Grp, Dept Life Sci, Tring, Herts, England</t>
  </si>
  <si>
    <t>University of Tasmania; Natural History Museum London</t>
  </si>
  <si>
    <t>Lavers, JL (corresponding author), Univ Tasmania, Inst Marine &amp; Antarctic Studies, Battery Point, Tas, Australia.</t>
  </si>
  <si>
    <t>Jennifer.Lavers@utas.edu.au</t>
  </si>
  <si>
    <t>Lavers, Jennifer/O-4831-2017; Bond, Alexander L/A-3786-2010; Lavers, Jennifer/IWM-5417-2023</t>
  </si>
  <si>
    <t>Lavers, Jennifer/0000-0001-7596-6588; Bond, Alexander/0000-0003-2125-7238</t>
  </si>
  <si>
    <t>Detached Cultural Organization; Howell Conservation Fund; Sea Shepherd Marine Debris Australia; Valpak; Toughsheet Environmental; Pew Trusts; CEFAS; UK Foreign and Commonwealth Office (Blue Belt Programme); Architectural and Community Planning Inc; Zoological Society of London; Schwab International; Two Hands Project; UK Foreign and Commonwealth Office (Pitcairn Island Office)</t>
  </si>
  <si>
    <t>Special thanks to A. Fidler, Tangaroa Blue, the Government of Western Australia (Dept. of Environment Regulation), Keep Australia Beautiful, Sea Shepherd Marine Debris Australia (especially M. &amp; L. Dicks), and the local Cocos and Pitcairn communities (particularly T. Flores, E. Washer, C. Edwards, M. Lenane, and J. Warren) and the 2019 Henderson expedition team (especially M. Barker, J. Briggs, and R. Shackell) for generously providing logistical support. We are grateful to Mandy Barker Photography for providing one of the images (panel D) used in Fig. 3. Finally, we thank P. Clark (Natural History Museum) for assistance with species identification. Samples were collected with approval from the Australian Director of National Parks (permit no. PKNP_2016_2) and Pitcairn Government. Funding for this study was generously provided (directly or in-kind) by the Detached Cultural Organization, Howell Conservation Fund, Sea Shepherd Marine Debris Australia (M. &amp; L. Dicks), Valpak, Toughsheet Environmental, the Pew Trusts, CEFAS, the UK Foreign and Commonwealth Office (Blue Belt Programme and Pitcairn Island Office), Architectural and Community Planning Inc, the Zoological Society of London, Schwab International, and Two Hands Project. Comments from X anonymous reviewers improved earlier drafts.</t>
  </si>
  <si>
    <t>0304-3894</t>
  </si>
  <si>
    <t>1873-3336</t>
  </si>
  <si>
    <t>J HAZARD MATER</t>
  </si>
  <si>
    <t>J. Hazard. Mater.</t>
  </si>
  <si>
    <t>10.1016/j.jhazmat.2019.121703</t>
  </si>
  <si>
    <t>KN3RR</t>
  </si>
  <si>
    <t>WOS:000514758500073</t>
  </si>
  <si>
    <t>Walcott, SM; Kirkham, AL; Burns, JM</t>
  </si>
  <si>
    <t>Walcott, Skyla M.; Kirkham, Amy L.; Burns, Jennifer M.</t>
  </si>
  <si>
    <t>Thermoregulatory costs in molting Antarctic Weddell seals: impacts of physiological and environmental conditions</t>
  </si>
  <si>
    <t>Heat flux; pinniped; surface temperature; thermoregulation; weather conditions</t>
  </si>
  <si>
    <t>SOUTHERN ELEPHANT SEALS; HAUL-OUT BEHAVIOR; SOLAR HEAT GAIN; PACK-ICE SEALS; HARBOR SEALS; HABITAT SELECTION; MIROUNGA-LEONINA; THERMAL WINDOWS; PHOCA-VITULINA; CLIMATE-CHANGE</t>
  </si>
  <si>
    <t>For polar marine mammals, the energetic cost of thermoregulation depends on ambient conditions in the highly variable surrounding environment. Heat conservation strategies used by pinnipeds to reduce total heat loss include small surface area to volume ratios, the ability to limit perfusion and thick subcutaneous blubber layers. There are limits to how cool the skin surface may remain without compromising function, especially during the annual pelage molt, when hair and skin are replaced. To determine if actively molting seals incur higher thermoregulatory costs, surface temperature (ST) and heat flux (HF) were measured in 93 adult female Weddell seals (Leptonychotes weddellii) both prior to and during the active molting period using direct sensors and infrared imaging. Linear mixed-effect models revealed that ST increased significantly with increased ambient temperature and decreased wind speed (contributing 44.6 and 41.7% of the attributed variance, respectively). Seal STs were not impacted by molt status, but were maintained at 11.2 +/- 0.3 degrees C warmer than the ambient temperature. Infrared imaging results averaged 15.1 +/- 1.4 degrees C warmer than direct ST measurements. In contrast, HF was significantly higher in seals in early molting stages compared to the pre-molt season (P&lt;0.001) and molt status accounted for 66.5% of the variance in HF. Thermoregulatory costs calculated from estimated basal metabolic rate and measured HF were more than double for molting seals as compared to those in pre-molt. This suggests that perfusion is increased during molt to support follicle development, despite the increased energetic costs associated with higher HF rates. Because ST, HF and thermoregulatory costs are strongly influenced by ambient conditions, molt timing is likely under selective pressure to occur during the warmest period of the year. Shifts in environmental conditions that delay molt phenology or increase HF rates could negatively impact seal populations by further increasing thermoregulatory costs.</t>
  </si>
  <si>
    <t>[Walcott, Skyla M.; Kirkham, Amy L.; Burns, Jennifer M.] Univ Alaska Anchorage, Dept Biol Sci, 3101 Sci Circle, Anchorage, AK 99508 USA; [Kirkham, Amy L.] Univ Alaska Fairbanks, Coll Fisheries &amp; Ocean Sci, 17101 Point Lena Loop Rd, Juneau, AK 99801 USA</t>
  </si>
  <si>
    <t>University of Alaska System; University of Alaska Anchorage; University of Alaska System; University of Alaska Fairbanks</t>
  </si>
  <si>
    <t>Walcott, SM (corresponding author), Univ Alaska Anchorage, Dept Biol Sci, 3101 Sci Circle, Anchorage, AK 99508 USA.</t>
  </si>
  <si>
    <t>skyla.walcott@gmail.com</t>
  </si>
  <si>
    <t>Kirkham, Amy/GWQ-6306-2022</t>
  </si>
  <si>
    <t>National Science Foundation [ANT-1246463]; NSF</t>
  </si>
  <si>
    <t>National Science Foundation(National Science Foundation (NSF)); NSF(National Science Foundation (NSF))</t>
  </si>
  <si>
    <t>This material is based upon work supported by the National Science Foundation under Grant No. (ANT-1246463 to J.M.B.). Any opinions, findings and conclusions or recommendations expressed in this material are those of the author(s) and do not necessarily reflect the views of the National Science Foundation. We thank NSF for support on this project.</t>
  </si>
  <si>
    <t>APR 4</t>
  </si>
  <si>
    <t>coaa022</t>
  </si>
  <si>
    <t>10.1093/conphys/coaa022</t>
  </si>
  <si>
    <t>LF8YY</t>
  </si>
  <si>
    <t>WOS:000527701400001</t>
  </si>
  <si>
    <t>de Carvalho, CR; Ferreira, MC; Gonçalves, VN; Santos, ARD; Carvalho-Silva, M; Camara, PEAS; Rosa, CA; Rosa, LH</t>
  </si>
  <si>
    <t>de Carvalho, Camila Rodrigues; Ferreira, Mariana Costa; Goncalves, Vivian Nicolau; de Oliveira Santos, Ana Raquel; Carvalho-Silva, Michelline; Aguiar Saraiva Camara, Paulo Eduardo; Rosa, Carlos Augusto; Rosa, Luiz Henrique</t>
  </si>
  <si>
    <t>Cultivable fungi associated with bryosphere of bipolar mosses Polytrichastrum alpinum and Polytrichum juniperinum in King George Island, South Shetland Islands, Maritime Antarctica</t>
  </si>
  <si>
    <t>Bryophyta; Fungi; Polytrichaceae; King George Island</t>
  </si>
  <si>
    <t>ENDOPHYTIC FUNGI; DESCHAMPSIA-ANTARCTICA; FILDES REGION; DIVERSITY; BRYOPHYTE; TAXONOMY</t>
  </si>
  <si>
    <t>We characterized the diversity of cultivable fungal assemblages associated with the bryospheres of the bipolar mosses Polytrichastrum alpinum and Polytrichastrum juniperinum resident in King George Island, South Shetland Islands, Maritime Antarctica. From different parts of the mosses, 160 fungal isolates were obtained and identified using molecular biology methods as 43 taxa of 28 distinct genera. Antarctomyces psychrotrophicus, Mrakia gelida, Pseudogymnoascus sp., Melanodiplodia sp., and Vishniacozyma victoriae were the dominant taxa and displayed the highest values of frequency. Ecological diversity indices showed that the fungal assemblages were high but ranged among the mosses. Fungi of the bryospheres of both mosses showed different colonization patterns. Only A. psychrotrophicus, M. gelida, Pseudogymnoascus sp., and Leotiomycetidae sp. occurred as endophytes, epiphytes, and in the rhizoidosphere of P. alpinum. In contrast, the bryosphere of P. juniperinum did not show a single common fungus across its different portions. Our results show that the bryosphere of the bipolar Antarctic mosses seem to represent an interesting hostspot of fungal diversity dominated by cosmopolitan cold-adapted and endemic species recognized as symbionts and decomposer species. The high fungal diversity detected suggests that the Antarctic mosses may offer a protected microhabitat (bryosphere) favorable for the survival, dispersal, and colonization of symbionts and decomposer fungi in the different extreme environments of Antarctica.</t>
  </si>
  <si>
    <t>[de Carvalho, Camila Rodrigues; Ferreira, Mariana Costa; Goncalves, Vivian Nicolau; de Oliveira Santos, Ana Raquel; Rosa, Carlos Augusto; Rosa, Luiz Henrique] Univ Fed Minas Gerais, Dept Microbiol, CP 486, BR-31270901 Belo Horizonte, MG, Brazil; [Carvalho-Silva, Michelline; Aguiar Saraiva Camara, Paulo Eduardo] Univ Brasilia, Dept Bot, Brasilia, DF, Brazil</t>
  </si>
  <si>
    <t>Universidade Federal de Minas Gerais; Universidade de Brasilia</t>
  </si>
  <si>
    <t>Rosa, LH (corresponding author), Univ Fed Minas Gerais, Dept Microbiol, CP 486, BR-31270901 Belo Horizonte, MG, Brazil.</t>
  </si>
  <si>
    <t>Camara, Paulo/GPP-2054-2022</t>
  </si>
  <si>
    <t>Camara, Paulo/0000-0002-3944-996X; Santos, Ana Raquel/0000-0001-9320-7673; Silva, Micheline/0000-0002-2389-3804</t>
  </si>
  <si>
    <t>CNPq PROANTAR [442258/2018-6]; INCT Criosfera II; CAPES [88887.136384/2017-00, 88887.314457/2019-00]; CNPq; FAPEMIG; FNDCT</t>
  </si>
  <si>
    <t>CNPq PROANTAR(Conselho Nacional de Desenvolvimento Cientifico e Tecnologico (CNPQ)); INCT Criosfera II; CAPES(Coordenacao de Aperfeicoamento de Pessoal de Nivel Superior (CAPES)); CNPq(Conselho Nacional de Desenvolvimento Cientifico e Tecnologico (CNPQ)); FAPEMIG(Fundacao de Amparo a Pesquisa do Estado de Minas Gerais (FAPEMIG)); FNDCT</t>
  </si>
  <si>
    <t>We acknowledge the financial support from CNPq PROANTAR 442258/2018-6, INCT Criosfera II, CAPES (88887.136384/2017-00 and 88887.314457/2019-00), CNPq, FAPEMIG, and FNDCT.</t>
  </si>
  <si>
    <t>10.1007/s00300-020-02658-7</t>
  </si>
  <si>
    <t>WOS:000524216300001</t>
  </si>
  <si>
    <t>Desvignes, T; Postlethwait, JH; Konstantinidis, P</t>
  </si>
  <si>
    <t>Desvignes, Thomas; Postlethwait, John H.; Konstantinidis, Peter</t>
  </si>
  <si>
    <t>Biogeography of the Antarctic dragonfishes Acanthodraco dewitti and Psilodraco breviceps with re-description of Acanthodraco dewitti larvae (Notothenioidei: Bathydraconidae)</t>
  </si>
  <si>
    <t>Bathydraconinae; Cygnodraconinae; Andvord bay; Ichthyoplankton</t>
  </si>
  <si>
    <t>SOUTH-SHETLAND ISLANDS; KING-GEORGE ISLAND; ROSS-SEA; FISH</t>
  </si>
  <si>
    <t>Antarctic dragonfishes (Bathydraconidae) of the suborder Notothenioidei are found only in the Southern Ocean where they diversified in habitats from the surface to the bathypelagic zone thousands of meters deep. Among dragonfishes, the pelagic Gymnodraconinae sister species Acanthodraco dewitti and Psilodraco breviceps remain poorly known. Although A. dewitti is thought to be restricted to Antarctic waters and P. breviceps to be endemic to South Georgia Island, several P. breviceps specimens have occasionally been reported in coastal Antarctica. Here we investigated the molecular genetic identity of the two species and their geographic distribution. Three mitochondrial genetic markers (mt-cyb, mt-co1, and mt-nd2) identified two dragonfish larvae collected on the West Antarctic Peninsula as A. dewitti and showed that all six specimens with available genetic data and reported to be P. breviceps collected in Antarctic waters were also A. dewitti. These results support the allopatric distribution of the two species, with P. breviceps being endemic to South Georgia Island and A. dewitti being endemic to Antarctic waters, potentially with a circumpolar distribution. The biogeography of the sister species A. dewitti and P. breviceps is likely similar to the allopatric distribution of the congeneric sister dragonfish species Parachaenichthys charcoti and P. georgianus. These considerations suggest that the Antarctic Circumpolar Current may geographically isolate the sub-Antarctic and Antarctic species of both sister species pairs, limiting gene flow and promoting speciation. Furthermore, we provide a detailed description of the A. dewitti larvae to supply characteristic morphological features differentiating A. dewitti and P. breviceps larvae.</t>
  </si>
  <si>
    <t>[Desvignes, Thomas; Postlethwait, John H.] Univ Oregon, Inst Neurosci, Eugene, OR 97403 USA; [Konstantinidis, Peter] Oregon State Univ, Dept Fisheries &amp; Wildlife, Corvallis, OR 97331 USA</t>
  </si>
  <si>
    <t>University of Oregon; Oregon State University</t>
  </si>
  <si>
    <t>Desvignes, T (corresponding author), Univ Oregon, Inst Neurosci, Eugene, OR 97403 USA.</t>
  </si>
  <si>
    <t>tdesvign@uoregon.edu</t>
  </si>
  <si>
    <t>Thomas, Desvignes/AAX-3526-2020</t>
  </si>
  <si>
    <t>Thomas, Desvignes/0000-0001-5126-8785</t>
  </si>
  <si>
    <t>NSF [ANT-1246296, PLR-1247510, OPP-1543383, OPP-1947040]</t>
  </si>
  <si>
    <t>The authors thank Prof. Jeannette Yen from Georgia Institute of Technology for offering the A. dewitti larvae to TD in recognition of his help in fishing operations during the cruise LMG14-04 (NSF Grant ANT-1246296). Authors also thank Prof. H William Detrich III from Northeastern University Marine Science Center for providing field and laboratory support to TD during the same cruise (NSF Grant PLR-1247510). The authors also thank the captain and crew of the ARSV Laurence M. Gould, the personnel of the US Antarctic Program Support Contractors for assistance in Chile, at sea, and at Palmer Station, as well as the logistics in Denver, CO. This work was funded by NSF grants OPP-1543383 (JHP and TD) and OPP-1947040 (JHP). We thank the two reviewers for their thorough reviews of the manuscript.</t>
  </si>
  <si>
    <t>10.1007/s00300-020-02661-y</t>
  </si>
  <si>
    <t>WOS:000524216300003</t>
  </si>
  <si>
    <t>Figueroa-Muñoz, G; Retamal, M; De los Rios, PR; Esse, C; Pérez-Schultheiss, J; Vega-Aguayo, R; Boyero, L; Correa-Araneda, F</t>
  </si>
  <si>
    <t>Figueroa-Munoz, Guillermo; Retamal, Marco; De los Rios, Patricio R.; Esse, Carlos; Perez-Schultheiss, Jorge; Vega-Aguayo, Rolando; Boyero, Luz; Correa-Araneda, Francisco</t>
  </si>
  <si>
    <t>Scavenging crustacean fauna in the Chilean Patagonian Sea</t>
  </si>
  <si>
    <t>MARINE; BIODIVERSITY; ENVIRONMENT; FUTURE; FJORDS</t>
  </si>
  <si>
    <t>The marine ecosystem of the Chilean Patagonia is considered structurally and functionally unique, because it is the transition area between the Antarctic climate and the more temperate Pacific region. However, due to its remoteness, there is little information about Patagonian marine biodiversity, which is a problem in the face of the increasing anthropogenic activity in the area. The aim of this study was to analyze community patterns and environmental characteristics of scavenging crustaceans in the Chilean Patagonian Sea, as a basis for comparison with future situations where these organisms may be affected by anthropogenic activities. These organisms play a key ecological role in marine ecosystems and constitute a main food for fish and dolphins, which are recognized as one of the main tourist attractions in the study area. We sampled two sites (Puerto Cisnes bay and Magdalena sound) at four different bathymetric strata, recording a total of 14 taxa that included 7 Decapoda, 5 Amphipoda, 1 Isopoda and 1 Leptostraca. Taxon richness was low, compared to other areas, but similar to other records in the Patagonian region. The crustacean community presented an evident differentiation between the first stratum (0-50 m) and the deepest area in Magdalena sound, mostly influenced by Pseudorchomene sp. and a marked environmental stratification. This species and Isaeopsis sp. are two new records for science. The discovery of undescribed species evidences that this region needs further studies exploring its biodiversity, which is most likely being already impacted by anthropogenic pressure.</t>
  </si>
  <si>
    <t>[Figueroa-Munoz, Guillermo; Vega-Aguayo, Rolando] Univ Catolica Temuco, Fac Recursos Nat, Dept Ciencias Agr &amp; Acuicolas, Casilla 15-D, Temuco, Chile; [Figueroa-Munoz, Guillermo] Ilustre Municipalidad Cisnes, Casilla 16, Puerto Cisnes, Chile; [Retamal, Marco] Univ Concepcion, Fac Ciencias Nat &amp; Oceanog, Dept Oceanog, Casilla 160-C, Concepcion, Chile; [De los Rios, Patricio R.] Univ Catolica Temuco, Fac Recursos Nat, Dept Ciencias Biol &amp; Quim, Casilla 15-D, Temuco, Chile; [De los Rios, Patricio R.] Univ Catolica Temuco, Nucleo Estudios Ambientales, Temuco, Chile; [Esse, Carlos; Correa-Araneda, Francisco] Univ Autonoma Chile, Fac Arquitectura &amp; Construcc, Inst Estudios Habitat IEH, Unidad Cambio Climat &amp; Medio Ambiente UCCMA, Temuco, Chile; [Perez-Schultheiss, Jorge] Museo Nacl Hist Nat, Area Invertebrados, Santiago, Chile; [Vega-Aguayo, Rolando] Univ Catolica Temuco, Nucleo Prod Alimentaria, Temuco, Chile; [Boyero, Luz] Univ Basque Country UPV EHU, Fac Sci &amp; Technol, Dept Plant Biol &amp; Ecol, Leioa, Spain; [Boyero, Luz] IKERBASQUE, Bilbao, Spain</t>
  </si>
  <si>
    <t>Universidad Catolica de Temuco; Universidad de Concepcion; Universidad Catolica de Temuco; Universidad Catolica de Temuco; Universidad Autonoma de Chile; Universidad Catolica de Temuco; University of Basque Country</t>
  </si>
  <si>
    <t>De los Rios, PR (corresponding author), Univ Catolica Temuco, Fac Recursos Nat, Dept Ciencias Biol &amp; Quim, Casilla 15-D, Temuco, Chile.;De los Rios, PR (corresponding author), Univ Catolica Temuco, Nucleo Estudios Ambientales, Temuco, Chile.</t>
  </si>
  <si>
    <t>prios@uct.cl</t>
  </si>
  <si>
    <t>De los Rios Escalante, Patricio R./E-2775-2014; Boyero, Luz/N-1719-2019; Esse, Carlos/A-6693-2015</t>
  </si>
  <si>
    <t>De los Rios Escalante, Patricio R./0000-0001-5056-7003; Boyero, Luz/0000-0001-7366-9299; Perez-Schultheiss, Jorge/0000-0003-4537-5677; Correa, Francisco Javier/0000-0001-6670-6661; Esse, Carlos/0000-0002-5030-3275</t>
  </si>
  <si>
    <t>project FONDECYT; Puerto Cisnes Illustrious Municipality [MECESUP UCT 0804]; FONDECYT [11170390]</t>
  </si>
  <si>
    <t>project FONDECYT(Comision Nacional de Investigacion Cientifica y Tecnologica (CONICYT)CONICYT FONDECYT); Puerto Cisnes Illustrious Municipality; FONDECYT(Comision Nacional de Investigacion Cientifica y Tecnologica (CONICYT)CONICYT FONDECYT)</t>
  </si>
  <si>
    <t>To the project FONDECYT 1170507: Spatial and bathymetric dynamics of Lithodes santolla (Decapoda, Lithodidae) (Molina, 1782) in channels of southern Chile: Basis for fishery management, for providing the biological samples from the Magdalena sound. The present study was included in the project Description and characterization of the carcinological fauna in Puerto Cisnes Bay funded by Puerto Cisnes Illustrious Municipality, project MECESUP UCT 0804 and Initiation FONDECYT 11170390 project. PDLR express his gratitude to M.I. and S.M.A. for their valuable comments for improve the manuscript.</t>
  </si>
  <si>
    <t>10.1038/s41598-020-62570-2</t>
  </si>
  <si>
    <t>NF7SM</t>
  </si>
  <si>
    <t>WOS:000563494300004</t>
  </si>
  <si>
    <t>Plum, C; Hillebrand, H; Moorthi, S</t>
  </si>
  <si>
    <t>Plum, Christoph; Hillebrand, Helmut; Moorthi, Stefanie</t>
  </si>
  <si>
    <t>Krill vs salps: dominance shift from krill to salps is associated with higher dissolved N:P ratios</t>
  </si>
  <si>
    <t>SOUTHERN-OCEAN; ANTARCTIC PENINSULA; ELEMENTAL COMPOSITION; ZOOPLANKTON EXCRETION; PARTICULATE MATTER; THOMPSONI ECOLOGY; AMMONIA EXCRETION; FOOD-WEB; PHYTOPLANKTON; STOICHIOMETRY</t>
  </si>
  <si>
    <t>Pronounced atmospheric and oceanic warming along the West Antarctic Peninsula (WAP) has resulted in abundance shifts in populations of Antarctic krill and Salpa thompsoni determined by changes in the timing of sea-ice advance, the duration of sea-ice cover and food availability. Krill and salps represent the most important macrozooplankton grazers at the WAP, but differ profoundly in their feeding biology, population dynamics and stoichiometry of excretion products with potential consequences for the relative availability of dissolved nitrogen and phosphorus. Alternation of the dissolved nutrient pool due to shifts in krill and salp densities have been hypothesized but never explicitly tested by using observational data. We therefore used the Palmer LTER dataset in order to investigate whether the dominance of either grazer is related with the observed dissolved nitrogen:phosphorus (N:P) ratios at the WAP. Across the whole sampling grid, the dominance of salps over krill was significantly correlated to higher concentrations of both N and P as well as a higher N:P ratios. Using actual long-term data, our study shows for the first time that changes in key grazer dominance may have consequences for the dynamics of dissolved nitrogen and phosphorus at the WAP.</t>
  </si>
  <si>
    <t>[Plum, Christoph; Hillebrand, Helmut; Moorthi, Stefanie] Carl von Ossietzky Univ Oldenburg, Inst Chem &amp; Biol Marine Environm ICBM, Wilhelmshaven, Germany; [Hillebrand, Helmut] Carl von Ossietzky Univ Oldenburg, Helmholtz Inst Funct Marine Biodivers HIFMB, Oldenburg, Germany; [Hillebrand, Helmut] Helmholtz Ctr Polar &amp; Marine Res AWI, Alfred Wegener Inst, Bremerhaven, Germany</t>
  </si>
  <si>
    <t>Carl von Ossietzky Universitat Oldenburg; Carl von Ossietzky Universitat Oldenburg; Helmholtz Association; Alfred Wegener Institute, Helmholtz Centre for Polar &amp; Marine Research</t>
  </si>
  <si>
    <t>Plum, C (corresponding author), Carl von Ossietzky Univ Oldenburg, Inst Chem &amp; Biol Marine Environm ICBM, Wilhelmshaven, Germany.</t>
  </si>
  <si>
    <t>c.plum@uni-oldenburg.de</t>
  </si>
  <si>
    <t>Gross, Thilo/B-4444-2010</t>
  </si>
  <si>
    <t>Lower Saxony ministry of science and culture (MWK); Office of Polar Programs, NSF [OPP-9011927, OPP-9632763, OPP0217282]</t>
  </si>
  <si>
    <t>Lower Saxony ministry of science and culture (MWK); Office of Polar Programs, NSF</t>
  </si>
  <si>
    <t>This study was funded by the Lower Saxony ministry of science and culture (MWK). We thank all members and contributers of the Palmer LTER database for their contribution to the dataset especially Deborah Steinberg (Zooplankton data) and Douglas Martinson (Physical Oceanography). Data from the Palmer LTER data repository were supported by Office of Polar Programs, NSF Grants OPP-9011927, OPP-9632763 and OPP0217282. We further thank Douglas Martinson for the permission to use the Palmer grid figure from the Palmer LTER database. We additionally thank all reviewers for their helpful comments on an earlier version of the manuscript.</t>
  </si>
  <si>
    <t>10.1038/s41598-020-62829-8</t>
  </si>
  <si>
    <t>NF7RT</t>
  </si>
  <si>
    <t>WOS:000563492400005</t>
  </si>
  <si>
    <t>Williams, A; Althaus, F; Green, M; Maguire, K; Untiedt, C; Mortimer, N; Jackett, CJ; Clark, M; Bax, N; Pitchers, R; Schlacher, T</t>
  </si>
  <si>
    <t>Williams, Alan; Althaus, Franziska; Green, Mark; Maguire, Kylie; Untiedt, Candice; Mortimer, Nick; Jackett, Chris J.; Clark, Malcolm; Bax, Nicholas; Pitchers, Roland; Schlacher, Thomas</t>
  </si>
  <si>
    <t>True Size Matters for Conservation: A Robust Method to Determine the Size of Deep-Sea Coral Reefs Shows They Are Typically Small on Seamounts in the Southwest Pacific Ocean</t>
  </si>
  <si>
    <t>vulnerable marine ecosystem; VME; Solenosmilia; seamount; towed-camera; deep sea; coral; fisheries management</t>
  </si>
  <si>
    <t>VULNERABLE MARINE ECOSYSTEMS; HABITAT SUITABILITY MODELS; BIODIVERSITY; VALIDATION; PROTECTION; MOUNDS; BANK</t>
  </si>
  <si>
    <t>Protection of vulnerable marine ecosystems (VME) is a critical goal for marine conservation. Yet, in many deep-sea settings, where quantitative data are typically sparse, it is challenging to correctly identify the location and size of VMEs. Here we assess the sensitivity of a method to identify coral reef VMEs based on bottom cover and abundance of the stony coral Solenosmilia variabilis on deep seamounts, using image data from a survey off Tasmania, Australia, in 2018. Whilst there was some detectable influence from varying coral cover and the abundance of live coral heads, the distribution of coral reef VMEs was not substantially shifted by changing these criteria or altering the attributes of a moving window used to spatially aggregate coral patches. Whilst applying stricter criteria for classifying VMEs predictably produced smaller areas of coral reef VME, these differences were not sizeable and were often negligible. Coral reef VMEs formed large contiguous blankets, mainly on the peaks and flanks of seamounts, but were absent from the continental slope where S. variabilis occurred at low abundance (cover) and/or had no living colonies. The true size of the Tasmanian coral reef VMEs ranged from 0.02 to 1.16 km(2); this was relatively large compared to reefs of S. variabilis mapped on New Zealand seamounts, but is small compared to the scales used for regional model predictions of suitable habitat (typically 1 km(2) grid cell), and much smaller than the smallest units of management interest (100s-1000s km(2)). A model prediction of the area of suitable habitat for coral reef in the Tasmanian area was much greater than the area of coral reef estimated in this study. That the method to estimate VME size is not overly sensitive to the choice of criteria is highly encouraging in the context of designing spatial conservation measures that are robust, although its broader application, including to other VME indicator taxa, needs to be substantiated by scenario testing in different environments. Importantly, these results should give confidence for stakeholder uptake and form the basis for better predictive VME models at larger spatial scales and beyond single taxa.</t>
  </si>
  <si>
    <t>[Williams, Alan; Althaus, Franziska; Green, Mark; Maguire, Kylie; Untiedt, Candice; Jackett, Chris J.; Bax, Nicholas] CSIRO Oceans &amp; Atmosphere, Hobart, Tas, Australia; [Mortimer, Nick] CSIRO Oceans &amp; Atmosphere, Perth, WA, Australia; [Clark, Malcolm] Natl Inst Water &amp; Atmospher Res, Wellington, New Zealand; [Bax, Nicholas] Univ Tasmania, Inst Marine &amp; Antarctic Sci, Hobart, Tas, Australia; [Pitchers, Roland] CSIRO Oceans &amp; Atmosphere, Brisbane, Qld, Australia; [Schlacher, Thomas] Univ Sunshine Coast, Sch Sci &amp; Engn, Maroochydore, Qld, Australia</t>
  </si>
  <si>
    <t>Commonwealth Scientific &amp; Industrial Research Organisation (CSIRO); Commonwealth Scientific &amp; Industrial Research Organisation (CSIRO); National Institute of Water &amp; Atmospheric Research (NIWA) - New Zealand; University of Tasmania; Commonwealth Scientific &amp; Industrial Research Organisation (CSIRO); University of the Sunshine Coast</t>
  </si>
  <si>
    <t>Williams, A (corresponding author), CSIRO Oceans &amp; Atmosphere, Hobart, Tas, Australia.</t>
  </si>
  <si>
    <t>Alan.Williams@csiro.au</t>
  </si>
  <si>
    <t>Althaus, Franziska/E-4660-2017; Schlacher, Thomas/J-4614-2016</t>
  </si>
  <si>
    <t>Schlacher, Thomas/0000-0003-2184-9217; maguire, kylie/0000-0001-5373-0531</t>
  </si>
  <si>
    <t>CSIRO Oceans and Atmosphere; Australian Government National Environmental Science Program (NESP), Marine Biodiversity Hub; Australian Government; Parks Australia</t>
  </si>
  <si>
    <t>CSIRO Oceans and Atmosphere; Australian Government National Environmental Science Program (NESP), Marine Biodiversity Hub(Australian Government); Australian Government(Australian Government); Parks Australia</t>
  </si>
  <si>
    <t>This work originates from a project that is funded, collectively, by the CSIRO Oceans and Atmosphere, Parks Australia and the Australian Government National Environmental Science Program (NESP), Marine Biodiversity Hub. Project data were collected during a voyage on Australia's Marine National Facility Vessel, RV Investigator, funded through the Australian Government.</t>
  </si>
  <si>
    <t>10.3389/fmars.2020.00187</t>
  </si>
  <si>
    <t>KZ9EG</t>
  </si>
  <si>
    <t>WOS:000523560700001</t>
  </si>
  <si>
    <t>Lombal, AJ; Salis, AT; Mitchell, KJ; Tennyson, AJD; Shepherd, LD; Worthy, TH; Woehler, EJ; Austin, JJ; Burridge, CP</t>
  </si>
  <si>
    <t>Lombal, Anicee J.; Salis, Alexander T.; Mitchell, Kieren J.; Tennyson, Alan J. D.; Shepherd, Lara D.; Worthy, Trevor H.; Woehler, Eric J.; Austin, Jeremy J.; Burridge, Christopher P.</t>
  </si>
  <si>
    <t>Using ancient DNA to quantify losses of genetic and species diversity in seabirds: a case study of Pterodroma petrels from a Pacific island</t>
  </si>
  <si>
    <t>BIODIVERSITY AND CONSERVATION</t>
  </si>
  <si>
    <t>Ancient DNA; High-throughput DNA sequencing; Seabird; Petrels; Population genetics; Phylogenetics; Phylogeography; Pterodroma; Tasman sea</t>
  </si>
  <si>
    <t>NEW-ZEALAND; PREHISTORIC EXTINCTIONS; SOUTH-ISLAND; BIODIVERSITY; REVEALS; BIRDS; CONSERVATION; EVOLUTIONARY; QUATERNARY; POLYNESIA</t>
  </si>
  <si>
    <t>The largest anthropogenic extinction events during the Holocene occurred on Pacific islands, where thousands of bird populations were lost. Although ancient DNA approaches have become widely used to monitor the genetic variability of species through time, few studies have been conducted to identify the potential cryptic loss of genetic and species diversity within Pacific seabird species. Here we used heterochronous sampling of mitochondrial DNA (Cytochrome b) in the genus Pterodroma from Norfolk Island to quantify potential loss of genetic and species diversity. We particularly focused on the providence petrel P. solandri whose main breeding colony (1,000,000 breeding pairs) became extirpated from Norfolk Island following European settlement circa 1800. We sampled subfossil bones consistent with Pterodroma spp. from Norfolk Island, and performed genetic comparisons with other populations of P. solandri and congeneric species. The majority of subfossil Norfolk Island individuals exhibited the most common mitochondrial haplotype from Lord Howe Island P. solandri, suggesting no appreciable loss of genetic variation as a consequence of the Norfolk Island extirpation. Our findings provide an example where a large seabird population was rapidly extirpated by humans without loss of species-level genetic diversity, probably as a consequence of high connectivity with other populations. However, past connectivity was insufficient to prevent the extirpation itself, which has conservation implications for predicting the resilience of threatened seabirds. In contrast, ancient DNA analyses of smaller Pterodroma bones from Norfolk Island indicate the loss of a second species, potentially P. pycrofti, P. brevipes or another closely related, possibly undescribed taxon, from the Tasman Sea.</t>
  </si>
  <si>
    <t>[Lombal, Anicee J.; Burridge, Christopher P.] Univ Tasmania, Sch Nat Sci, Discipline Biol Sci, Hobart, Tas 7001, Australia; [Salis, Alexander T.; Mitchell, Kieren J.; Austin, Jeremy J.] Univ Adelaide, Australian Ctr Ancient DNA, Sch Biol Sci, Adelaide, SA 5005, Australia; [Tennyson, Alan J. D.; Shepherd, Lara D.] Museum New Zealand Te Papa Tongarewa, POB 467, Wellington 6011, New Zealand; [Worthy, Trevor H.; Burridge, Christopher P.] Flinders Univ S Australia, Coll Sci &amp; Engn, Adelaide, SA 5001, Australia; [Woehler, Eric J.] Univ Tasmania, Inst Marine &amp; Antarctic Studies, Hobart, Tas 7053, Australia</t>
  </si>
  <si>
    <t>University of Tasmania; University of Adelaide; Flinders University South Australia; University of Tasmania</t>
  </si>
  <si>
    <t>Lombal, AJ (corresponding author), Univ Tasmania, Sch Nat Sci, Discipline Biol Sci, Hobart, Tas 7001, Australia.</t>
  </si>
  <si>
    <t>Anicee.Lombal@utas.edu.au</t>
  </si>
  <si>
    <t>Burridge, Chris/L-4392-2019; Worthy, Trevor Henry/B-3781-2012; Shepherd, Lara D/E-6663-2011; Austin, Jeremy/F-8729-2010; Burridge, Christopher/J-2653-2012; Lombal, Anicee/J-5847-2015</t>
  </si>
  <si>
    <t>Worthy, Trevor Henry/0000-0001-7047-4680; Shepherd, Lara/0000-0002-7136-0017; Austin, Jeremy/0000-0003-4244-2942; Salis, Alexander/0000-0002-3205-3006; Burridge, Christopher/0000-0002-8185-6091; Lombal, Anicee/0000-0002-7545-4184; Woehler, Eric/0000-0002-1125-0748</t>
  </si>
  <si>
    <t>SeaWorld Research and Rescue Foundation Inc [SWR/4/2011]</t>
  </si>
  <si>
    <t>SeaWorld Research and Rescue Foundation Inc</t>
  </si>
  <si>
    <t>The SeaWorld Research and Rescue Foundation Inc (Grant SWR/4/2011) supported this work. Field collection of providence petrel blood samples was conducted with Animal Ethics permission from University of Tasmania Ethics Committee (Permit #A00011680).</t>
  </si>
  <si>
    <t>0960-3115</t>
  </si>
  <si>
    <t>1572-9710</t>
  </si>
  <si>
    <t>BIODIVERS CONSERV</t>
  </si>
  <si>
    <t>Biodivers. Conserv.</t>
  </si>
  <si>
    <t>10.1007/s10531-020-01978-8</t>
  </si>
  <si>
    <t>LI8BD</t>
  </si>
  <si>
    <t>WOS:000523057800001</t>
  </si>
  <si>
    <t>Zoet, LK; Iverson, NR</t>
  </si>
  <si>
    <t>Zoet, Lucas K.; Iverson, Neal R.</t>
  </si>
  <si>
    <t>A slip law for glaciers on deformable beds</t>
  </si>
  <si>
    <t>ANTARCTIC ICE-SHEET; SEA-LEVEL RISE; SOFT BED; MECHANISM; VELOCITY</t>
  </si>
  <si>
    <t>Slip of marine-terminating ice streams over beds of deformable till is responsible for most of the contribution of the West Antarctic Ice Sheet to sea level rise. Flow models of the ice sheet and till-bedded glaciers elsewhere require a law that relates slip resistance, slip velocity, and water pressure at the bed. We present results of experiments in which pressurized ice at its melting temperature is slid over a water-saturated till bed. Steady-state slip resistance increases with slip velocity owing to sliding of ice across the bed, but above a threshold velocity, till shears at its rate-independent Coulomb strength. These results motivate a generalized slip law for glacier-flow models that combines processes of hard-bedded sliding and bed deformation.</t>
  </si>
  <si>
    <t>[Zoet, Lucas K.] Univ Wisconsin, Dept Geosci, Madison, WI 53706 USA; [Zoet, Lucas K.; Iverson, Neal R.] Iowa State Univ, Dept Geol &amp; Atmospher Sci, Ames, IA 50011 USA</t>
  </si>
  <si>
    <t>University of Wisconsin System; University of Wisconsin Madison; Iowa State University</t>
  </si>
  <si>
    <t>Zoet, LK (corresponding author), Univ Wisconsin, Dept Geosci, Madison, WI 53706 USA.;Zoet, LK (corresponding author), Iowa State Univ, Dept Geol &amp; Atmospher Sci, Ames, IA 50011 USA.</t>
  </si>
  <si>
    <t>lzoet@wisc.edu</t>
  </si>
  <si>
    <t>Zoet, Lucas/0000-0002-9635-4051</t>
  </si>
  <si>
    <t>U.S. National Science Foundation [OPP-0618747, EAR-1023586]</t>
  </si>
  <si>
    <t>Construction and use of the device for the ice-till experiments were made possible by the U.S. National Science Foundation (grants OPP-0618747 and EAR-1023586 to N.R.I.). Author contributions: L.K.Z. ran the experiments and analyzed the data, L.K.Z. and N.R.I. wrote the paper, and N.R.I. built the apparatus.</t>
  </si>
  <si>
    <t>10.1126/science.aaz1183</t>
  </si>
  <si>
    <t>KZ4UP</t>
  </si>
  <si>
    <t>WOS:000523259700061</t>
  </si>
  <si>
    <t>Kuyper, D; Thibault, D; Gibbons, MJ</t>
  </si>
  <si>
    <t>Kuyper, D.; Thibault, D.; Gibbons, M. J.</t>
  </si>
  <si>
    <t>Latitudinal changes in siphonophore assemblages across the Atlantic sector of the Southern Ocean</t>
  </si>
  <si>
    <t>AFRICAN JOURNAL OF MARINE SCIENCE</t>
  </si>
  <si>
    <t>archived plankton samples; biogeography; Dimophyes arctica; diversity; mesozooplankton biomass; Muggiaea bargmannae; oceanography; Sub-Antarctic Front</t>
  </si>
  <si>
    <t>VERTICAL-DISTRIBUTION; SPATIAL-DISTRIBUTION; PELAGIC CNIDARIANS; WEDDELL SEA; PART 1; ZOOPLANKTON; COMMUNITY; ABUNDANCE; TRANSECT; BIOMASS</t>
  </si>
  <si>
    <t>Siphonophores are commonly considered to be useful indicators of water masses and water-mass movement, but their employment as such across the wider Southern Ocean has not so far been attempted. We redress this here using archived samples, collected during January-February 1993 along a transect from Cape Town to the South African National Antarctic Expedition (SANAE) base in Antarctica, and compare the patterns generated with those determined from a prior analysis of whole assemblages at lower taxonomic resolution. Twenty-one species were identified from 18 of the original 53 samples collected, and two distinct assemblages were confirmed as separated by the Sub-Antarctic Front. That to the south was characterised by low diversity and high abundance and was dominated by cold-water specialists, whereas that to the north comprised a larger number of subtropical and temperate species at low abundance. Assemblage structure was strongly influenced by the mixed layer depth, sea surface salinity and chlorophyllaconcentration, as well as mesozooplankton biomass. Congruence with the whole-assemblage study was high, indicating that this taxon can be suitably employed as a proxy in studies such as this. The study emphasises the value of archived plankton samples and makes a plea for better curation.</t>
  </si>
  <si>
    <t>[Kuyper, D.; Gibbons, M. J.] Univ Western Cape, Dept Biodivers &amp; Conservat Biol, Cape Town, South Africa; [Thibault, D.] Univ Toulon &amp; Var, Aix Marseille Univ, CNRS, IRD,MIO,UM 110, Marseille, France; [Thibault, D.] Int Ctr Educ Marine &amp; Atmospher Sci Africa LMI IC, MARBEC, Inst Rech Dev IRD, Paris, France; [Thibault, D.] Dept Environm Forestry &amp; Fisheries DEFF Oceans &amp;, Cape Town, South Africa</t>
  </si>
  <si>
    <t>University of the Western Cape; Centre National de la Recherche Scientifique (CNRS); Institut de Recherche pour le Developpement (IRD); Universite de Toulon; Aix-Marseille Universite; Institut de Recherche pour le Developpement (IRD); Ifremer</t>
  </si>
  <si>
    <t>Kuyper, D (corresponding author), Univ Western Cape, Dept Biodivers &amp; Conservat Biol, Cape Town, South Africa.</t>
  </si>
  <si>
    <t>kuyperd@gmail.com</t>
  </si>
  <si>
    <t>Kuyper, Drikus/0000-0001-5784-4157; Thibault, Delphine/0000-0002-0528-1062</t>
  </si>
  <si>
    <t>South African National Research Foundation; University of the Western Cape (South Africa); Aix-Marseille Universite (France); IRD</t>
  </si>
  <si>
    <t>South African National Research Foundation(National Research Foundation - South Africa); University of the Western Cape (South Africa); Aix-Marseille Universite (France); IRD</t>
  </si>
  <si>
    <t>We would like to thank PW Froneman (Department of Zoology and Entomology, Rhodes University, South Africa) for giving us access to the samples used here, as well as allowing us to use some of the supporting data. We are also grateful for his comments, and those of G Mapstone (Natural History Museum, London), on an earlier draft of the text. The comments of two reviewers greatly improved this manuscript. We would like to thank the South African National Research Foundation for providing DK with a study bursary, and MJG with financial assistance. We are grateful to the University of the Western Cape (South Africa) for its support of MJG, and the IRD and Aix-Marseille Universite (France) for their support of DT.</t>
  </si>
  <si>
    <t>NATL INQUIRY SERVICES CENTRE PTY LTD</t>
  </si>
  <si>
    <t>GRAHAMSTOWN</t>
  </si>
  <si>
    <t>19 WORCESTER STREET, PO BOX 377, GRAHAMSTOWN 6140, SOUTH AFRICA</t>
  </si>
  <si>
    <t>1814-232X</t>
  </si>
  <si>
    <t>1814-2338</t>
  </si>
  <si>
    <t>AFR J MAR SCI</t>
  </si>
  <si>
    <t>Afr. J. Mar. Sci.</t>
  </si>
  <si>
    <t>10.2989/1814232X.2020.1774805</t>
  </si>
  <si>
    <t>MY5IJ</t>
  </si>
  <si>
    <t>WOS:000558450600008</t>
  </si>
  <si>
    <t>Molina-Montenegro, MA; Acuña-Rodríguez, IS; Torres-Díaz, C; Gundel, PE; Dreyer, I</t>
  </si>
  <si>
    <t>Molina-Montenegro, Marco A.; Acuna-Rodriguez, Ian S.; Torres-Diaz, Cristian; Gundel, Pedro E.; Dreyer, Ingo</t>
  </si>
  <si>
    <t>Antarctic root endophytes improve physiological performance and yield in crops under salt stress by enhanced energy production and Na+ sequestration</t>
  </si>
  <si>
    <t>ARBUSCULAR MYCORRHIZAL FUNGI; SALINITY TOLERANCE; GROWTH; TOMATO; SOIL; HOMEOSTASIS; SODIUM; PLANTS; CONSEQUENCES; ELIMINATION</t>
  </si>
  <si>
    <t>Climatic change is pointed as one of the major challenges for global food security. Based on current models of climate change, reduction in precipitations and in turn, increase in the soil salinity will be a sharp constraint for crops productivity worldwide. In this context, root fungi appear as a new strategy to improve plant ecophysiological performance and crop yield under abiotic stress. In this study, we evaluated the impact of the two fungal endophytes Penicillium brevicompactum and P. chrysogenum isolated from Antarctic plants on nutrients and Na+ contents, net photosynthesis, water use efficiency, yield and survival in tomato and lettuce, facing salinity stress conditions. Inoculation of plant roots with fungal endophytes resulted in greater fresh and dry biomass production, and an enhanced survival rate under salt conditions. Inoculation of plants with the fungal endophytes was related with a higher up/down-regulation of ion homeostasis by enhanced expression of the NHX1 gene. The two endophytes diminished the effects of salt stress in tomato and lettuce, provoked a higher efficiency in photosynthetic energy production and an improved sequestration of Na+ in vacuoles is suggested by the upregulating of the expression of vacuolar NHX1 Na+/H+ antiporters. Promoting plant-beneficial interactions with root symbionts appears to be an environmentally friendly strategy to mitigate the impact of climate change variables on crop production.</t>
  </si>
  <si>
    <t>[Molina-Montenegro, Marco A.; Acuna-Rodriguez, Ian S.] Univ Talca, Inst Ciencias Biol, Campus Talca, Talca, Chile; [Molina-Montenegro, Marco A.] Univ Catolica Norte, Ctr Estudios Avanzados Zonas Aridas CEAZA, Coquimbo, Chile; [Molina-Montenegro, Marco A.] Univ Catolica Maule, Ctr Invest &amp; Estudios Avanzados Maule CIEAM, Talca, Chile; [Torres-Diaz, Cristian] Univ Bio Bio, Dept Ciencias Basicas, Grp Biodiversidad &amp; Cambio Global BCG, Chillan, Chile; [Gundel, Pedro E.] Univ Buenos Aires, Fac Agron, CONICET, IFEVA, Buenos Aires, DF, Argentina; [Dreyer, Ingo] Univ Talca, Fac Ingn, Ctr Bioinformat &amp; Simulac Mol CBSM, Campus Talca, Talca, Chile</t>
  </si>
  <si>
    <t>Universidad de Talca; Universidad Catolica del Norte; Universidad Catolica del Maule; Universidad del Bio-Bio; University of Buenos Aires; Consejo Nacional de Investigaciones Cientificas y Tecnicas (CONICET); Universidad de Talca</t>
  </si>
  <si>
    <t>Molina-Montenegro, MA (corresponding author), Univ Talca, Inst Ciencias Biol, Campus Talca, Talca, Chile.;Molina-Montenegro, MA (corresponding author), Univ Catolica Norte, Ctr Estudios Avanzados Zonas Aridas CEAZA, Coquimbo, Chile.;Molina-Montenegro, MA (corresponding author), Univ Catolica Maule, Ctr Invest &amp; Estudios Avanzados Maule CIEAM, Talca, Chile.</t>
  </si>
  <si>
    <t>marco.molina@utalca.cl</t>
  </si>
  <si>
    <t>Dreyer, Ingo/N-4747-2014; Sanchez, Enrique/L-5086-2014</t>
  </si>
  <si>
    <t>Dreyer, Ingo/0000-0002-2781-0359; Torres Diaz, Cristian/0000-0002-5741-5288; Molina, Maria Ofelia/0000-0003-0838-6959; Sanchez, Enrique/0000-0002-7720-4437</t>
  </si>
  <si>
    <t>FONDECYT [1181034]; REDES [180069]</t>
  </si>
  <si>
    <t>FONDECYT(Comision Nacional de Investigacion Cientifica y Tecnologica (CONICYT)CONICYT FONDECYT); REDES</t>
  </si>
  <si>
    <t>We acknowledge the logistic support of the Chilean Antarctic Institute (INACH). This study was supported by project FONDECYT 1181034 and REDES 180069.</t>
  </si>
  <si>
    <t>10.1038/s41598-020-62544-4</t>
  </si>
  <si>
    <t>LY4KK</t>
  </si>
  <si>
    <t>WOS:000540497600026</t>
  </si>
  <si>
    <t>Harasewych, MG; Sei, M; Uribe, JE</t>
  </si>
  <si>
    <t>Harasewych, Myroslaw G.; Sei, Makiri; Uribe, Juan E.</t>
  </si>
  <si>
    <t>The complete mitochondrial genome of Harpovoluta charcoti (Gastropoda: Neogastropoda: Volutidae)</t>
  </si>
  <si>
    <t>Mitochondrial genome; Neogastropoda; Volutidae; Antarctica</t>
  </si>
  <si>
    <t>SELECTION</t>
  </si>
  <si>
    <t>We report the complete mitochondrial genome sequence of Harpovoluta charcoti, a circum-Antarctic species of volutid gastropod inhabiting bathyal soft bottom substrates. The mitogenome is 15,487 bp in length, has a base composition of A (28.3%), T (37.3%), C (16.0%) and G (18.4%), and contains 13 protein-coding genes, two ribosomal RNA genes, and 22 transfer RNA genes. Gene order and strand orientation are the same as in other non-toxoglossan neogastropods. Phylogenetic analyses support the monophyly of Volutidae, but not of the subfamilies Amoriinae or Cymbiinae as currently circumscribed.</t>
  </si>
  <si>
    <t>[Harasewych, Myroslaw G.; Sei, Makiri; Uribe, Juan E.] Smithsonian Inst, Dept Invertebrate Zool, Natl Museum Nat Hist, Washington, DC 20560 USA; [Uribe, Juan E.] CSIC, MNCN, Dept Biodivers &amp; Evolutionary Biol, Madrid, Spain</t>
  </si>
  <si>
    <t>Smithsonian Institution; Smithsonian National Museum of Natural History; Consejo Superior de Investigaciones Cientificas (CSIC)</t>
  </si>
  <si>
    <t>Harasewych, MG (corresponding author), Smithsonian Inst, Dept Invertebrate Zool, Natl Museum Nat Hist, Washington, DC 20560 USA.</t>
  </si>
  <si>
    <t>Harasewych@si.edu</t>
  </si>
  <si>
    <t>Uribe, Juan E./0000-0002-9215-9689; Harasewych, Myroslaw/0000-0002-3354-8545; Sei, Makiri/0000-0002-0746-0945</t>
  </si>
  <si>
    <t>10.1080/23802359.2020.1756963</t>
  </si>
  <si>
    <t>LO5EB</t>
  </si>
  <si>
    <t>WOS:000533649800001</t>
  </si>
  <si>
    <t>Collignon, F</t>
  </si>
  <si>
    <t>Collignon, Fabienne</t>
  </si>
  <si>
    <t>Atomic-Antarctic terminal zone</t>
  </si>
  <si>
    <t>TEXTUAL PRACTICE</t>
  </si>
  <si>
    <t>Antarctica; Cold War; gyrocompass; cyborg; superpower</t>
  </si>
  <si>
    <t>This article is concerned with the emergence of proto-cybernetic gadgets and specimen in Antarctica. The essay's starting point is that the Cold War was literalised at the South Pole, which also operates as a shadowy double of the overtly militarised Arctic. What happens in Antarctica is a secret assimilation of space into the American Cold War perimeter by way of weapons technology, most notably through the gyrocompass (which develops into the black box navigation systems for ballistic missiles) and the man-machine amalgamation. This assimilation and emergence are traced at hand of exploration narratives (Harold Ponting; Douglas Mawson; Richard Byrd) as well as science fiction stories (H. P. Lovecraft; John W. Campbell, Jr.) that precede the Cold War, but whose forging of a superman-specimen anticipate the conceptualisation of Antarctica as a Cold War space. The South Pole operates as zone of rehearsal for superpower merging: the explorers become prototype cyborgs whose expeditions point towards the containment culture, epitomised in the gyrocompass/black box technology, of the Cold War.</t>
  </si>
  <si>
    <t>[Collignon, Fabienne] Univ Sheffield, Sch English, Sheffield, S Yorkshire, England</t>
  </si>
  <si>
    <t>University of Sheffield</t>
  </si>
  <si>
    <t>Collignon, F (corresponding author), Univ Sheffield, Sch English, Sheffield, S Yorkshire, England.</t>
  </si>
  <si>
    <t>f.collignon@sheffield.ac.uk</t>
  </si>
  <si>
    <t>0950-236X</t>
  </si>
  <si>
    <t>1470-1308</t>
  </si>
  <si>
    <t>TEXTUAL PRACT</t>
  </si>
  <si>
    <t>Textual Pract.</t>
  </si>
  <si>
    <t>10.1080/0950236X.2014.996246</t>
  </si>
  <si>
    <t>LN3DO</t>
  </si>
  <si>
    <t>WOS:000532822700001</t>
  </si>
  <si>
    <t>Kameyania, S; Otomaru, M; McMinn, A; Suzuki, K</t>
  </si>
  <si>
    <t>Kameyania, Sohiko; Otomaru, Maki; McMinn, Andrew; Suzuki, Koji</t>
  </si>
  <si>
    <t>Ice Melting Can Change DMSP Production and Photosynthetic Activity of the Haptophyte Phaeocystis antarctica1</t>
  </si>
  <si>
    <t>dimethylsulfoniopropionate; Phaeocystis antarctica; photosynthetic capacity; sea ice melting; Southern Ocean</t>
  </si>
  <si>
    <t>PHYTOPLANKTON ASSEMBLAGE COMPOSITION; SEA-ICE; ROSS SEA; PRYMNESIOPHYTE PHAEOCYSTIS; OCEANIC PHYTOPLANKTON; COMMUNITY STRUCTURE; WEDDELL SEA; DIMETHYLSULFONIOPROPIONATE; DIMETHYLSULFIDE; ALGAE</t>
  </si>
  <si>
    <t>Phaeocystis antarctica is an important primary producer in the Southern Ocean and plays roles in sulfur cycles through intracellular production of dimethylsulfoniopropionate (DMSP), a principal precursor of dimethyl sulfide (DMS). Haptophytes, including P. antarctica, are known to produce more DMSP than other phytoplankton groups such as diatoms and green algae, suggesting their important contribution to DMS concentrations in the Southern Ocean. We assessed how sea ice formation and melting affect photosynthesis and DMSP accumulation in P. antarctica both in seawater and in sea ice. Incubations were undertaken in an ice tank, which simulated sea ice formation and melting dynamics. The maximum quantum yield of photochemistry (F-v/F-m) in photosystem II, as estimated from pulse-amplitude-modulated (PAM) fluorometry, was generally higher under low-light conditions than high-light conditions. Values of F-v/F-m, the relative maximum electron rate (rETR(max)), and photosynthetic efficiency (alpha) were lower in sea ice than in seawater, implying reduced photosynthetic function inside the sea ice. The reduction in photosynthetic function was probably due to the hypersaline environment in the brine channels. Total DMSP (DMSPt) concentration normalized by chlorophyll-a concentration was significantly higher in the sea ice than in the other environments, suggesting high accumulation of DMSP, probably due to its osmotic properties. F-v/F-m, specific growth rate, and DMSPt concentrations decreased with decreasing salinity with the lowest values found at a salinity of 22, that is, the lowest salinity tested. These results suggest that sea ice melting is responsible for a reduction in growth rate and DMSP production of P. antarctica.</t>
  </si>
  <si>
    <t>[Kameyania, Sohiko; Otomaru, Maki; Suzuki, Koji] Hokkaido Univ, Fac Environm Earth Sci, Grad Sch Environm Sci, Kita Ku, North 10 West 5, Sapporo, Hokkaido 0600810, Japan; [McMinn, Andrew] Univ Tasmania, Inst Antarctic &amp; Southern Ocean Studies, Box 252-77, Hobart, Tas 7001, Australia</t>
  </si>
  <si>
    <t>Hokkaido University; University of Tasmania</t>
  </si>
  <si>
    <t>Kameyania, S (corresponding author), Hokkaido Univ, Fac Environm Earth Sci, Grad Sch Environm Sci, Kita Ku, North 10 West 5, Sapporo, Hokkaido 0600810, Japan.</t>
  </si>
  <si>
    <t>skameyama@ees.hoku-dai.ac.jp</t>
  </si>
  <si>
    <t>Suzuki, Koji/GVS-9807-2022; Suzuki, Koji/A-4349-2013; Suzuki, Koji/AAD-2630-2022; McMinn, Andrew/A-9910-2008</t>
  </si>
  <si>
    <t>Suzuki, Koji/0000-0001-5354-1044; Suzuki, Koji/0000-0001-5354-1044; McMinn, Andrew/0000-0002-2133-3854; Kameyama, Sohiko/0000-0002-7104-1841</t>
  </si>
  <si>
    <t>Australian Antarctic Science Grant [4008]; JSPS [JP17H00775, JP18H03352]; Tsuneichi Fujii Scholarship (IMAS)</t>
  </si>
  <si>
    <t>Australian Antarctic Science Grant; JSPS(Ministry of Education, Culture, Sports, Science and Technology, Japan (MEXT)Japan Society for the Promotion of Science); Tsuneichi Fujii Scholarship (IMAS)</t>
  </si>
  <si>
    <t>This study was partly supported by the Australian Antarctic Science Grant 4008 to AM, Tsuneichi Fujii Scholarship (IMAS) to MO, and the JSPS Grants-in-Aid for Scientific Research (A) (JP17H00775) and (B) (JP18H03352) to KS.</t>
  </si>
  <si>
    <t>10.1111/jpy.12985</t>
  </si>
  <si>
    <t>WOS:000523197600001</t>
  </si>
  <si>
    <t>Veylit, L; Sæther, BE; Gaillard, JM; Baubet, E; Gamelon, M</t>
  </si>
  <si>
    <t>Veylit, Lara; Saether, Bernt-Erik; Gaillard, Jean-Michel; Baubet, Eric; Gamelon, Marlene</t>
  </si>
  <si>
    <t>Grow fast at no cost: no evidence for a mortality cost for fast early-life growth in a hunted wild boar population</t>
  </si>
  <si>
    <t>Capture-mark-recapture analysis; Covariation in life-history traits; Early-life growth; Exploited population</t>
  </si>
  <si>
    <t>ANTARCTIC FUR SEALS; HORN GROWTH; TRADE-OFFS; PREDATION RISK; SUS-SCROFA; SELECTION; SURVIVAL; HISTORY; SEX; LONGEVITY</t>
  </si>
  <si>
    <t>From current theories on life-history evolution, fast early-life growth to reach early reproduction in heavily hunted populations should be favored despite the possible occurrence of mortality costs later on. However, fast growth may also be associated with better individual quality and thereby lower mortality, obscuring a clear trade-off between early-life growth and survival. Moreover, fast early-life growth can be associated with sex-specific mortality costs related to resource acquisition and allocation throughout an individual's lifetime. In this study, we explore how individual growth early in life affects age-specific mortality of both sexes in a heavily hunted population. Using longitudinal data from an intensively hunted population of wild boar (Sus scrofa), and capture-mark-recapture-recovery models, we first estimated age-specific overall mortality and expressed it as a function of early-life growth rate. Overall mortality models showed that faster-growing males experienced lower mortality at all ages. Female overall mortality was not strongly related to early-life growth rate. We then split overall mortality into its two components (i.e., non-hunting mortality vs. hunting mortality) to explore the relationship between growth early in life and mortality from each cause. Faster-growing males experienced lower non-hunting mortality as subadults and lower hunting mortality marginal on age. Females of all age classes did not display a strong association between their early-life growth rate and either mortality type. Our study does not provide evidence for a clear trade-off between early-life growth and mortality.</t>
  </si>
  <si>
    <t>[Veylit, Lara; Saether, Bernt-Erik; Gamelon, Marlene] Norwegian Univ Sci &amp; Technol, Dept Biol, Ctr Biodivers Dynam, N-7491 Trondheim, Norway; [Gaillard, Jean-Michel] Univ Claude Bernard Lyon 1, Lab Biometrie &amp; Biol Evolut, UMR 5558, 43 Blvd 11 Novembre 1918, F-69622 Villeurbanne, France; [Baubet, Eric] Montfort, Unite Ongules Sauvages, Off Francais Biodivers, F-01330 Birieux, France</t>
  </si>
  <si>
    <t>Norwegian University of Science &amp; Technology (NTNU); VetAgro Sup; Universite Claude Bernard Lyon 1; Centre National de la Recherche Scientifique (CNRS); CNRS - Institute of Ecology &amp; Environment (INEE); Office Francais de la Biodiversite OFB</t>
  </si>
  <si>
    <t>Veylit, L (corresponding author), Norwegian Univ Sci &amp; Technol, Dept Biol, Ctr Biodivers Dynam, N-7491 Trondheim, Norway.</t>
  </si>
  <si>
    <t>lara.veylit@ntnu.no</t>
  </si>
  <si>
    <t>Gamelon, Marlène/J-5747-2019</t>
  </si>
  <si>
    <t>Gamelon, Marlène/0000-0002-9433-2369; Gaillard, Jean-Michel/0000-0003-0174-8451; Veylit, Lara/0000-0002-6727-0916</t>
  </si>
  <si>
    <t>NTNU Norwegian University of Science and Technology (St. Olavs Hospital -Trondheim University Hospital); Research Council of Norway through its Centers for Excellence funding scheme [223257]</t>
  </si>
  <si>
    <t>NTNU Norwegian University of Science and Technology (St. Olavs Hospital -Trondheim University Hospital); Research Council of Norway through its Centers for Excellence funding scheme</t>
  </si>
  <si>
    <t>Open Access funding provided by NTNU Norwegian University of Science and Technology (incl St. Olavs Hospital -Trondheim University Hospital). Data collection was performed and granted by the French National Agency for Wildlife (OFB). We are grateful to all those who helped capturing wild boars (especially Serge Brandt and Cyril Rousset), collecting harvested wild boar (particularly P. Van den Bulck), and to the Office National des Forets and to F. Jehle who allowed us to work on the study area. We offer special thanks to members of the Centre of Biodiversity Dynamics and in particular Jonatan Fredricson Marquez, Thomas Haaland, and Stefan Vriend for their comments on early versions of the manuscript. We also warmly thank Marco Festa-Bianchet and one anonymous referee for helpful comments on a previous draft of this paper. This work was funded by the Research Council of Norway through its Centers for Excellence funding scheme, Project Number 223257.</t>
  </si>
  <si>
    <t>10.1007/s00442-020-04633-9</t>
  </si>
  <si>
    <t>LE1AI</t>
  </si>
  <si>
    <t>WOS:000523047900001</t>
  </si>
  <si>
    <t>Ovstedal, DO; Fryday, AM; Smith, RIL</t>
  </si>
  <si>
    <t>ovstedal, Dag O.; Fryday, Alan M.; Smith, Ronald I. Lewis</t>
  </si>
  <si>
    <t>Lecanora muscigena (Lichenized Ascomycota, Lecanorales), a new lichen species in the Lecanora fuscescens group from South Georgia</t>
  </si>
  <si>
    <t>NEW ZEALAND JOURNAL OF BOTANY</t>
  </si>
  <si>
    <t>Biatora-type ascus; fumarprotocetraric acid; globose ascospores; subantarctic; taxonomy; identification key</t>
  </si>
  <si>
    <t>ANTARCTICA; COMBINATIONS; ADDITIONS; FUNGI</t>
  </si>
  <si>
    <t>Compared to continental Antarctica, the lichen biota of the various subantarctic islands and island groups is poorly documented. Here we describe the new species Lecanora muscigena ovstedal &amp; Fryday from the subantarctic island of South Georgia from a collection made in 1980 that was previously included as Trapeliopsis sp. A. by ovstedal &amp; Lewis Smith in their comprehensive account of the Lichens of Antarctica and South Georgia. It is similar to Lecidea globulispora Nyl., which occurs on the nearby Falkland Islands, in having globose ascospores but is clearly distinguished from that species by having a well-developed, creamy-white thallus composed of +/- dispersed areoles with effigurate margins containing fumarprotocetraric acid, larger ascospores (c. 7-8 mu m diam.) and by its habitat of overgrowing terricolous bryophytes. The new species belongs in the Lecanora fuscescens group, the species of which were usually described in the genus Lecidea due to their poorly developed thalline margin. This group is not congeneric with the type species of Lecanora (L. subfusca (L.) Ach.) but we refrain from erecting a new genus for the group pending a full molecular investigation of its delimitation and systematic position.</t>
  </si>
  <si>
    <t>[ovstedal, Dag O.] Univ Museum Bergen, Dept Nat Hist, Bergen, Norway; [Fryday, Alan M.] Michigan State Univ, Dept Plant Biol, E Lansing, MI 48824 USA; [Smith, Ronald I. Lewis] Ctr Antarctic Plant Ecol &amp; Divers, Moffat, Scotland</t>
  </si>
  <si>
    <t>University of Bergen; Michigan State University</t>
  </si>
  <si>
    <t>Fryday, AM (corresponding author), Michigan State Univ, Dept Plant Biol, E Lansing, MI 48824 USA.</t>
  </si>
  <si>
    <t>fryday@msu.edu</t>
  </si>
  <si>
    <t>Fryday, Alan/0000-0002-5310-9232</t>
  </si>
  <si>
    <t>0028-825X</t>
  </si>
  <si>
    <t>1175-8643</t>
  </si>
  <si>
    <t>NEW ZEAL J BOT</t>
  </si>
  <si>
    <t>N. Z. J. Bot.</t>
  </si>
  <si>
    <t>10.1080/0028825X.2019.1682625</t>
  </si>
  <si>
    <t>KY6EP</t>
  </si>
  <si>
    <t>WOS:000522665600006</t>
  </si>
  <si>
    <t>Britton, D; Schmid, M; Noisette, F; Havenhand, JN; Paine, ER; McGraw, CM; Revill, AT; Virtue, P; Nichols, PD; Mundy, CN; Hurd, CL</t>
  </si>
  <si>
    <t>Britton, Damon; Schmid, Matthias; Noisette, Fanny; Havenhand, Jonathan N.; Paine, Ellie R.; McGraw, Christina M.; Revill, Andrew T.; Virtue, Patti; Nichols, Peter D.; Mundy, Craig N.; Hurd, Catriona L.</t>
  </si>
  <si>
    <t>Adjustments in fatty acid composition is a mechanism that can explain resilience to marine heatwaves and future ocean conditions in the habitat-forming seaweed Phyllospora comosa (Labillardiere) C.Agardh</t>
  </si>
  <si>
    <t>fatty acids; global ocean change; habitat-forming; macroalgae; marine heatwaves; ocean acidification; ocean warming; physiology; seaweed</t>
  </si>
  <si>
    <t>INORGANIC CARBON; CLIMATE; TEMPERATURE; CO2; SEAWATER; GROWTH; PHOTOSYNTHESIS; BIODIVERSITY; COMMUNITIES; MACROALGAE</t>
  </si>
  <si>
    <t>Marine heatwaves are extreme events that can have profound and lasting impacts on marine species. Field observations have shown seaweeds to be highly susceptible to marine heatwaves, but the physiological drivers of this susceptibility are poorly understood. Furthermore, the effects of marine heatwaves in conjunction with ocean warming and acidification are yet to be investigated. To address this knowledge gap, we conducted a laboratory culture experiment in which we tested the growth and physiological responses of Phyllospora comosa juveniles from the southern extent of its range (43-31 degrees S) to marine heatwaves, ocean warming and acidification. We used a 'collapsed factorial design' in which marine heatwaves were superimposed on current (today's pH and temperature) and future (pH and temperature projected by 2100) ocean conditions. Responses were tested both during the heatwaves, and after a 7-day recovery period. Heatwaves reduced net photosynthetic rates in both current and future conditions, while respiration rates were elevated under heatwaves in the current conditions only. Following the recovery period, there was little evidence of heatwaves having lasting negative effects on growth, photosynthesis or respiration. Exposure to heatwaves, future ocean conditions or both caused an increase in the degree of saturation of fatty acids. This adjustment may have counteracted negative effects of elevated temperatures by decreasing membrane fluidity, which increases at higher temperatures. Furthermore, P. comosa appeared to down-regulate the energetically expensive carbon dioxide concentrating mechanism in the future conditions with a reduction in delta C-13 values detected in these treatments. Any saved energy arising from this down-regulation was not invested in growth and was likely invested in the adjustment of fatty acid composition. This adjustment is a mechanism by which P. comosa and other seaweeds may tolerate the negative effects of ocean warming and marine heatwaves through benefits arising from ocean acidification.</t>
  </si>
  <si>
    <t>[Britton, Damon; Schmid, Matthias; Paine, Ellie R.; Virtue, Patti; Nichols, Peter D.; Mundy, Craig N.; Hurd, Catriona L.] Univ Tasmania, Inst Marine &amp; Antarctic Studies, 20 Castray Esplanade, Hobart, Tas 7004, Australia; [Noisette, Fanny] Univ Quebec Rimouski, Inst Sci Mer, Rimouski, PQ, Canada; [Havenhand, Jonathan N.] Univ Gothenburg, Dept Marine Sci, Tjarno Marine Lab, Stromstad, Sweden; [McGraw, Christina M.] Univ Otago, NIWA, Dept Chem, Res Ctr Oceanog, Dunedin, New Zealand; [Revill, Andrew T.; Virtue, Patti; Nichols, Peter D.] CSIRO Oceans &amp; Atmosphere, Hobart, Tas, Australia; [Virtue, Patti] Cooperat Res Ctr, Antarctic Climate &amp; Ecosyst, Hobart, Tas, Australia</t>
  </si>
  <si>
    <t>University of Tasmania; University of Quebec; Universite du Quebec a Rimouski; University of Gothenburg; University of Otago; Commonwealth Scientific &amp; Industrial Research Organisation (CSIRO); Antarctic Climate &amp; Ecosystems Cooperative Research Centre (ACE CRC)</t>
  </si>
  <si>
    <t>Britton, D (corresponding author), Univ Tasmania, Inst Marine &amp; Antarctic Studies, 20 Castray Esplanade, Hobart, Tas 7004, Australia.</t>
  </si>
  <si>
    <t>damon.britton@utas.edu.au</t>
  </si>
  <si>
    <t>Havenhand, Jon N/F-5435-2013; Mundy, Craig/G-3390-2014; Nichols, Peter D/C-5128-2011; Revill, Andrew/B-8733-2011; Hurd, Catriona/J-2411-2013</t>
  </si>
  <si>
    <t>Mundy, Craig/0000-0002-1945-3750; Revill, Andrew/0000-0003-2486-5976; Hurd, Catriona/0000-0001-9965-4917; McGraw, Christina/0000-0001-5841-0748; Britton, Damon/0000-0002-9029-7527; Paine, Ellie/0000-0003-2816-9521</t>
  </si>
  <si>
    <t>H2020 Marie Sklodowska-Curie Actions [701366]; University of Tasmania, Australian Postgraduate Award; Marie Curie Actions (MSCA) [701366] Funding Source: Marie Curie Actions (MSCA)</t>
  </si>
  <si>
    <t>H2020 Marie Sklodowska-Curie Actions(Marie Curie ActionsHorizon 2020); University of Tasmania, Australian Postgraduate Award; Marie Curie Actions (MSCA)(Marie Curie Actions)</t>
  </si>
  <si>
    <t>H2020 Marie Sklodowska-Curie Actions, Grant/Award Number: 701366; University of Tasmania, Australian Postgraduate Award</t>
  </si>
  <si>
    <t>10.1111/gcb.15052</t>
  </si>
  <si>
    <t>LQ9HK</t>
  </si>
  <si>
    <t>WOS:000523203900001</t>
  </si>
  <si>
    <t>Zhang, WP; Cao, SN; Ding, W; Wang, M; Fan, S; Yang, B; Mcminn, A; Wang, M; Xie, BB; Qin, QL; Chen, XL; He, JF; Zhang, YZ</t>
  </si>
  <si>
    <t>Zhang, Weipeng; Cao, Shunan; Ding, Wei; Wang, Meng; Fan, Shen; Yang, Bo; Mcminn, Andrew; Wang, Min; Xie, Bin-bin; Qin, Qi-Long; Chen, Xiu-Lan; He, Jianfeng; Zhang, Yu-Zhong</t>
  </si>
  <si>
    <t>Structure and function of the Arctic and Antarctic marine microbiota as revealed by metagenomics</t>
  </si>
  <si>
    <t>Global ocean microbiome; Arctic and Antarctic zones; Environmental adaptation</t>
  </si>
  <si>
    <t>GREENHOUSE-GAS; CLIMATE-CHANGE; DNA-DAMAGE; ALIGNMENT; DATABASE; ECOLOGY; GENOMES; COLD</t>
  </si>
  <si>
    <t>Background The Arctic and Antarctic are the two most geographically distant bioregions on earth. Recent sampling efforts and following metagenomics have shed light on the global ocean microbial diversity and function, yet the microbiota of polar regions has not been included in such global analyses. Results Here a metagenomic study of seawater samples (n = 60) collected from different depths at 28 locations in the Arctic and Antarctic zones was performed, together with metagenomes from the Tara Oceans. More than 7500 (19%) polar seawater-derived operational taxonomic units could not be identified in the Tara Oceans datasets, and more than 3,900,000 protein-coding gene orthologs had no hits in the Ocean Microbial Reference Gene Catalog. Analysis of 214 metagenome assembled genomes (MAGs) recovered from the polar seawater microbiomes, revealed strains that are prevalent in the polar regions while nearly undetectable in temperate seawater. Metabolic pathway reconstruction for these microbes suggested versatility for saccharide and lipids biosynthesis, nitrate and sulfate reduction, and CO2 fixation. Comparison between the Arctic and Antarctic microbiomes revealed that antibiotic resistance genes were enriched in the Arctic while functions like DNA recombination were enriched in the Antarctic. Conclusions Our data highlight the occurrence of dominant and locally enriched microbes in the Arctic and Antarctic seawater with unique functional traits for environmental adaption, and provide a foundation for analyzing the global ocean microbiome in a more complete perspective.</t>
  </si>
  <si>
    <t>[Zhang, Weipeng; Ding, Wei; Wang, Meng; Fan, Shen; Yang, Bo; Mcminn, Andrew; Wang, Min; Zhang, Yu-Zhong] Ocean Univ China, Coll Marine Life Sci, Frontiers Sci Ctr Deep Ocean Multispheres &amp; Earth, Qingdao 266003, Peoples R China; [Zhang, Weipeng; Zhang, Yu-Zhong] Pilot Natl Lab Marine Sci &amp; Technol Qingdao, Lab Marine Biol &amp; Biotechnol, Qingdao 266373, Peoples R China; [Cao, Shunan; He, Jianfeng] Polar Res Inst China, Key Lab Polar Sci SOA, Shanghai 200136, Peoples R China; [Xie, Bin-bin; Qin, Qi-Long; Chen, Xiu-Lan; Zhang, Yu-Zhong] Shandong Univ, Marine Biotechnol Res Ctr, State Key Lab Microbial Technol, Qingdao 266237, Peoples R China</t>
  </si>
  <si>
    <t>Ocean University of China; Laoshan Laboratory; Polar Research Institute of China; Shandong University</t>
  </si>
  <si>
    <t>Zhang, YZ (corresponding author), Ocean Univ China, Coll Marine Life Sci, Frontiers Sci Ctr Deep Ocean Multispheres &amp; Earth, Qingdao 266003, Peoples R China.;He, JF (corresponding author), Polar Res Inst China, Key Lab Polar Sci SOA, Shanghai 200136, Peoples R China.</t>
  </si>
  <si>
    <t>hejianfeng@pric.gov.cn; zhangyuzhong6830@ouc.edu.cn</t>
  </si>
  <si>
    <t>Wang, zijun/JNS-5435-2023; Wang, Min/AFR-9645-2022; DING, Wei/CVK-8505-2022</t>
  </si>
  <si>
    <t>Wang, Min/0000-0002-2357-589X; DING, Wei/0000-0002-1847-244X; Zhang, Yu-Zhong/0000-0002-2017-1005</t>
  </si>
  <si>
    <t>National Key R&amp;D Program of China [2018YFC1406700]; Scientific Research Staring Foundations of Ocean University of China [841912034, 841912035]; National Science Foundation of China [U1706207, 31630012, 91851205, 31670063]; Major Scientific and Technological Innovation Project (MSTIP) of Shandong Province [2019JZZY010817]; AoShan Talents Cultivation Program - Qingdao National Laboratory for Marine Science and Technology [2017ASTCP-OS14]; Chinese Polar Environment Comprehensive Investigation &amp; Assessment Programs [CHNIARE-2011-2015]; Program of Shandong for Taishan Scholars [tspd20181203]</t>
  </si>
  <si>
    <t>National Key R&amp;D Program of China; Scientific Research Staring Foundations of Ocean University of China; National Science Foundation of China(National Natural Science Foundation of China (NSFC)); Major Scientific and Technological Innovation Project (MSTIP) of Shandong Province; AoShan Talents Cultivation Program - Qingdao National Laboratory for Marine Science and Technology; Chinese Polar Environment Comprehensive Investigation &amp; Assessment Programs; Program of Shandong for Taishan Scholars</t>
  </si>
  <si>
    <t>This work was funded by the National Key R&amp;D Program of China (2018YFC1406700), the Scientific Research Staring Foundations of Ocean University of China to Yu-Zhong Zhang (841912034), and Weipeng Zhang (841912035), the National Science Foundation of China (U1706207, 31630012, 91851205, 31670063), the Major Scientific and Technological Innovation Project (MSTIP) of Shandong Province (2019JZZY010817), the Program of Shandong for Taishan Scholars (tspd20181203), and AoShan Talents Cultivation Program Supported by Qingdao National Laboratory for Marine Science and Technology (2017ASTCP-OS14), the Chinese Polar Environment Comprehensive Investigation &amp; Assessment Programs (CHNIARE-2011-2015).</t>
  </si>
  <si>
    <t>10.1186/s40168-020-00826-9</t>
  </si>
  <si>
    <t>KZ8HZ</t>
  </si>
  <si>
    <t>WOS:000523500600002</t>
  </si>
  <si>
    <t>Martin, A; Boyd, P; Buesseler, K; Cetinic, I; Claustre, H; Giering, S; Henson, S; Irigoien, X; Kriest, I; Memery, L; Robinson, C; Saba, G; Sanders, R; Siegel, D; Villa-Alfageme, M; Guidi, L</t>
  </si>
  <si>
    <t>Martin, Adrian; Boyd, Philip; Buesseler, Ken; Cetinic, Ivona; Claustre, Herve; Giering, Sari; Henson, Stephanie; Irigoien, Xabier; Kriest, Iris; Memery, Laurent; Robinson, Carol; Saba, Grace; Sanders, Richard; Siegel, David; Villa-Alfageme, Maria; Guidi, Lionel</t>
  </si>
  <si>
    <t>Study the twilight zone before it is too late</t>
  </si>
  <si>
    <t>CARBON EXPORT; SEQUESTRATION</t>
  </si>
  <si>
    <t>[Martin, Adrian; Giering, Sari; Henson, Stephanie] Natl Oceanog Ctr, Southampton, Hants, England; [Boyd, Philip] Univ Tasmania, Inst Marine &amp; Antarctic Studies, Hobart, Tas, Australia; [Buesseler, Ken] Woods Hole Oceanog Inst, Woods Hole, MA 02543 USA; [Cetinic, Ivona] NASA, Ocean Ecol Lab, Goddard Space Flight Ctr, Greenbelt, MD USA; [Claustre, Herve] Sorbonne Univ, CNRS, Villefanche Lab Oceanog, Biogeochem Oceanog, Villefranche Sur Mer, France; [Irigoien, Xabier] AZTI Basque Res &amp; Technol Alliance, Marine Ecol, Pasaia Gipuzkoa, Spain; [Kriest, Iris] GEOMAR, Kiel, Germany; [Memery, Laurent] European Maritime Univ Inst, LEMAR Lab, Res Environm Marine Sci, Brest, France; [Robinson, Carol] Univ East Anglia, Sch Environm Sci, Ctr Ocean &amp; Atmospher Sci, Norwich, Norfolk, England; [Saba, Grace] Rutgers State Univ, Dept Marine &amp; Coastal Sci, New Brunswick, NJ USA; [Sanders, Richard] Norwegian Res Ctr, NORCE, ICOS Ocean Themat Ctr, Bergen, Norway; [Sanders, Richard] Bjerknes Ctr, Bergen, Norway; [Siegel, David] Univ Calif Santa Barbara, Earth Res Inst, Santa Barbara, CA 93106 USA; [Villa-Alfageme, Maria] Univ Seville, Dept Appl Phys, Seville, Spain; [Guidi, Lionel] Sorbonne Univ, CNRS, Villefanche Lab Oceanog, Villefranche Sur Mer, France</t>
  </si>
  <si>
    <t>NERC National Oceanography Centre; University of Tasmania; Woods Hole Oceanographic Institution; National Aeronautics &amp; Space Administration (NASA); NASA Goddard Space Flight Center; Sorbonne Universite; Centre National de la Recherche Scientifique (CNRS); Helmholtz Association; GEOMAR Helmholtz Center for Ocean Research Kiel; Centre National de la Recherche Scientifique (CNRS); Ifremer; Institut de Recherche pour le Developpement (IRD); University of East Anglia; Rutgers University System; Rutgers University New Brunswick; Norwegian Research Centre (NORCE); Bjerknes Centre for Climate Research; University of California System; University of California Santa Barbara; University of Sevilla; Centre National de la Recherche Scientifique (CNRS); Sorbonne Universite</t>
  </si>
  <si>
    <t>Martin, A (corresponding author), Natl Oceanog Ctr, Southampton, Hants, England.</t>
  </si>
  <si>
    <t>adrian.martin@noc.ac.uk; lguidi@obs-vlfr.fr</t>
  </si>
  <si>
    <t>CLAUSTRE, Herve/E-6877-2011; Guidi, Lionel/B-3977-2012; Cetinic, Ivona/GSI-5613-2022; Robinson, Carol/AAW-1857-2021; Robinson, Carol/F-7649-2011; Villa-Alfageme, Maria/K-6700-2013; Kriest, Iris/B-2741-2014</t>
  </si>
  <si>
    <t>CLAUSTRE, Herve/0000-0001-6243-0258; Guidi, Lionel/0000-0002-6669-5744; Robinson, Carol/0000-0003-3033-4565; Robinson, Carol/0000-0003-3033-4565; Villa-Alfageme, Maria/0000-0001-7157-8588; Kriest, Iris/0000-0001-7982-6232</t>
  </si>
  <si>
    <t>NERC [noc010009, NE/S00842X/2, noc010010, NE/R000956/1] Funding Source: UKRI</t>
  </si>
  <si>
    <t>10.1038/d41586-020-00915-7</t>
  </si>
  <si>
    <t>MD2FL</t>
  </si>
  <si>
    <t>WOS:000543788900001</t>
  </si>
  <si>
    <t>Klages, JP; Salzmann, U; Bickert, T; Hillenbrand, CD; Gohl, K; Kuhn, G; Bohaty, SM; Titschack, J; Müller, J; Frederichs, T; Bauersachs, T; Ehrmann, W; van de Flierdt, T; Pereira, PS; Larter, RD; Lohmann, G; Niezgodzki, I; Uenzelmann-Neben, G; Zundel, M; Spiegel, C; Mark, C; Chew, D; Francis, JE; Nehrke, G; Schwarz, F; Smith, JA; Freudenthal, T; Esper, O; Pälike, H; Ronge, TA; Dziadek, R</t>
  </si>
  <si>
    <t>Klages, Johann P.; Salzmann, Ulrich; Bickert, Torsten; Hillenbrand, Claus-Dieter; Gohl, Karsten; Kuhn, Gerhard; Bohaty, Steven M.; Titschack, Juergen; Mueller, Juliane; Frederichs, Thomas; Bauersachs, Thorsten; Ehrmann, Werner; van de Flierdt, Tina; Pereira, Patric Simoes; Larter, Robert D.; Lohmann, Gerrit; Niezgodzki, Igor; Uenzelmann-Neben, Gabriele; Zundel, Maximilian; Spiegel, Cornelia; Mark, Chris; Chew, David; Francis, Jane E.; Nehrke, Gernot; Schwarz, Florian; Smith, James A.; Freudenthal, Tim; Esper, Oliver; Paelike, Heiko; Ronge, Thomas A.; Dziadek, Ricarda</t>
  </si>
  <si>
    <t>Sci Team Expedition PS1O4</t>
  </si>
  <si>
    <t>Temperate rainforests near the South Pole during peak Cretaceous warmth</t>
  </si>
  <si>
    <t>AMUNDSEN SEA EMBAYMENT; ANTARCTIC ICE-SHEET; JAMES-ROSS-ISLAND; MARIE BYRD LAND; HETEROCYST GLYCOLIPIDS; WEST ANTARCTICA; COEXISTENCE APPROACH; BOUNDARY-CONDITIONS; PROXY DATA; CLIMATE</t>
  </si>
  <si>
    <t>The mid-Cretaceous period was one of the warmest intervals of the past 140 million years(1-5), driven by atmospheric carbon dioxide levels of around 1,000 parts per million by volume(6). In the near absence of proximal geological records from south of the Antarctic Circle, it is disputed whether polar ice could exist under such environmental conditions. Here we use a sedimentary sequence recovered from the West Antarctic shelf-the southernmost Cretaceous record reported so far-and show that a temperate lowland rainforest environment existed at a palaeolatitude of about 82 degrees S during the Turonian-Santonian age (92 to 83 million years ago). This record contains an intact 3-metre-long network of in situ fossil roots embedded in a mudstone matrix containing diverse pollen and spores. A climate model simulation shows that the reconstructed temperate climate at this high latitude requires a combination of both atmospheric carbon dioxide concentrations of 1,120-1,680 parts per million by volume and a vegetated land surface without major Antarctic glaciation, highlighting the important cooling effect exerted by ice albedo under high levels of atmospheric carbon dioxide.</t>
  </si>
  <si>
    <t>[Klages, Johann P.; Gohl, Karsten; Kuhn, Gerhard; Mueller, Juliane; Lohmann, Gerrit; Niezgodzki, Igor; Uenzelmann-Neben, Gabriele; Nehrke, Gernot; Esper, Oliver; Ronge, Thomas A.; Dziadek, Ricarda] Helmholtz Zentrum Polar &amp; Meeresforsch, Alfred Wegener Inst, Bremerhaven, Germany; [Salzmann, Ulrich; Schwarz, Florian] Northumbria Univ, Dept Geog &amp; Environm Sci, Newcastle Upon Tyne, Tyne &amp; Wear, England; [Bickert, Torsten; Titschack, Juergen; Mueller, Juliane; Frederichs, Thomas; Lohmann, Gerrit; Freudenthal, Tim; Paelike, Heiko] Univ Bremen, MARUM Ctr Marine Environm Sci, Bremen, Germany; [Hillenbrand, Claus-Dieter; Larter, Robert D.; Francis, Jane E.; Smith, James A.] British Antarctic Survey, Cambridge, England; [Bohaty, Steven M.] Univ Southampton, Sch Ocean &amp; Earth Sci, Southampton, Hants, England; [Titschack, Juergen] Marine Res Dept, Wilhelmshaven, Germany; [Mueller, Juliane; Frederichs, Thomas; Zundel, Maximilian; Spiegel, Cornelia; Paelike, Heiko] Univ Bremen, Fac Geosci, Bremen, Germany; [Bauersachs, Thorsten] Univ Kiel, Inst Geosci, Kiel, Germany; [Ehrmann, Werner] Univ Leipzig, Inst Geol &amp; Geophys, Leipzig, Germany; [van de Flierdt, Tina; Pereira, Patric Simoes] Imperial Coll London, Dept Earth Sci &amp; Engn, London, England; [Lohmann, Gerrit] Univ Bremen, Environm Phys, Bremen, Germany; [Niezgodzki, Igor] Polish Acad Sci, Biogeosyst Modelling Lab, ING PAN Inst Geol Sci, Krakow, Poland; [Mark, Chris; Chew, David; Freudenthal, Tim] Trinity Coll Dublin, Dept Geol, Dublin, Ireland; [Pereira, Patric Simoes] Univ Gothenburg, Dept Marine Sci, Gothenburg, Sweden; [Mark, Chris] Univ Coll Dublin, Sch Earth Sci, Dublin, Ireland</t>
  </si>
  <si>
    <t>Helmholtz Association; Alfred Wegener Institute, Helmholtz Centre for Polar &amp; Marine Research; Northumbria University; University of Bremen; UK Research &amp; Innovation (UKRI); Natural Environment Research Council (NERC); NERC British Antarctic Survey; University of Southampton; NERC National Oceanography Centre; University of Bremen; University of Kiel; Leipzig University; Imperial College London; University of Bremen; Polish Academy of Sciences; Institute of Geological Sciences of the Polish Academy of Sciences; Trinity College Dublin; University of Gothenburg; University College Dublin</t>
  </si>
  <si>
    <t>Klages, JP (corresponding author), Helmholtz Zentrum Polar &amp; Meeresforsch, Alfred Wegener Inst, Bremerhaven, Germany.</t>
  </si>
  <si>
    <t>Johann.Klages@awi.de</t>
  </si>
  <si>
    <t>Bauersachs, Thorsten/AFY-5641-2022; Pälike, Heiko/A-6560-2008; Chew, David M/B-7828-2008; Mark, Chris/AAB-1176-2021; Salzmann, Ulrich/H-9929-2017; Afanasyeva, Victoria/AAG-9210-2021; Titschack, Jurgen/L-2095-2015; Najman, Yani/B-3027-2014</t>
  </si>
  <si>
    <t>Pälike, Heiko/0000-0003-3386-0923; Chew, David M/0000-0002-6940-1035; Mark, Chris/0000-0001-8978-4283; Salzmann, Ulrich/0000-0001-5598-5327; Afanasyeva, Victoria/0000-0001-6023-1570; Titschack, Jurgen/0000-0001-9373-9688; Nehrke, Gernot/0000-0002-2851-3049; Arndt, Jan Erik/0000-0002-9413-1612; Klages, Johann Philipp/0000-0003-0968-1183; Riefstahl, Florian/0000-0002-1198-1698; Najman, Yani/0000-0003-1286-6509; Dziadek, Ricarda/0000-0001-8689-9181; Spiegel, Cornelia/0000-0002-1432-3447; Hochmuth, Katharina/0000-0003-2789-2179; Gohl, Karsten/0000-0002-9558-2116; Kuhn, Gerhard/0000-0001-6069-7485; Bauersachs, Thorsten/0000-0003-4858-9443; Uenzelmann-Neben, Gabriele/0000-0002-0115-5923; Freudenthal, Tim/0000-0002-9700-4010; Scheinert, Mirko/0000-0002-0892-8941; Ronge, Thomas/0000-0003-2625-719X</t>
  </si>
  <si>
    <t>Alfred Wegener Institute (AWI) through its Research Program PACES II Topic 3; MARUM Center for Marine Environmental Sciences; Alfred Wegener Institute (AWI) [AWI_ PS104_001]; British Antarctic Survey through its Polar Science for Planet Earth programme; Natural Environmental Research Council; AWI PACES II programme; Helmholtz Association [PD-201, VH-NG-1101]; UK IODP; Cluster of Excellence The Ocean Floor -Earth's Uncharted Interface at the University of Bremen; Lancaster University, UK; NERC [bas0100030, NE/I006257/1, bas010011, NE/P019080/1] Funding Source: UKRI</t>
  </si>
  <si>
    <t>Alfred Wegener Institute (AWI) through its Research Program PACES II Topic 3; MARUM Center for Marine Environmental Sciences; Alfred Wegener Institute (AWI); British Antarctic Survey through its Polar Science for Planet Earth programme; Natural Environmental Research Council(UK Research &amp; Innovation (UKRI)Natural Environment Research Council (NERC)); AWI PACES II programme; Helmholtz Association(Helmholtz Association); UK IODP; Cluster of Excellence The Ocean Floor -Earth's Uncharted Interface at the University of Bremen; Lancaster University, UK; NERC(UK Research &amp; Innovation (UKRI)Natural Environment Research Council (NERC))</t>
  </si>
  <si>
    <t>We thank the captain and crew of RV Polarstern Expedition PS104, as well as the MARUM-MeBo70 team for their support; S. Wiebe, R. Frohlking-Teichert, V. Schumacher, N. Lensch, M. Arevalo, M. Seebeck and H. Grobe for their help on board and in the lab, respectively; the Klinikum Bremen-Mitte (A.-J. Lemke and C. Tiemann, Gesundheit Nord Bremen) for providing facilities for computed core tomographies and M. Kohler (MKfactory, Stahnsdorf, Germany) for preparing the thin sections; and J. McKay (University of Leeds, UK) for creating and painting the Late Cretaceous West Antarctic palaeoenvironment based on reconstructions presented here. The operation of MARUM-MeBo70 was funded by the Alfred Wegener Institute (AWI) through its Research Program PACES II Topic 3 and grant no. AWI_ PS104_001, the MARUM Center for Marine Environmental Sciences, the British Antarctic Survey through its Polar Science for Planet Earth programme and the Natural Environmental Research Council-funded UK IODP programme. J.P.K, G.K., K.G., J.M. G.U.-N., O.E., C.G., T.R. and R.D. were funded by the AWI PACES II programme. J.P.K. and J.M. were also funded through the Helmholtz Association (PD-201 and VH-NG-1101). UK IODP funded the participation of T.v.d.F., P.S.P. and S.M.B. in expedition PS104. J.T. was funded through the Cluster of Excellence The Ocean Floor -Earth's Uncharted Interface at the University of Bremen. Y.N. was funded by Lancaster University, UK.</t>
  </si>
  <si>
    <t>10.1038/s41586-020-2148-5</t>
  </si>
  <si>
    <t>MD2FP</t>
  </si>
  <si>
    <t>WOS:000543789300004</t>
  </si>
  <si>
    <t>Bustamante, DE; Hughey, JR; Calderon, MS; Mansilla, A; Rodriguez, JP; Mendez, F</t>
  </si>
  <si>
    <t>Bustamante, Danilo E.; Hughey, Jeffery R.; Calderon, Martha S.; Mansilla, Andres; Rodriguez, Juan P.; Mendez, Fabio</t>
  </si>
  <si>
    <t>Analysis of the complete organellar genomes of Palmaria decipiens (Palmariaceae, Rhodophyta) from Antarctica confirms its taxonomic placement in the genus Palmaria</t>
  </si>
  <si>
    <t>Antarctica; macroalgae; mitogenome; palmariales; plastid genome</t>
  </si>
  <si>
    <t>SEQUENCE</t>
  </si>
  <si>
    <t>Palmaria decipiens (Reinsch) R.W.Ricker is a ecologically important red seaweed restricted to high latitudes of the southern hemisphere. Here, we contribute to the bioinformatics and evolutionary systematics of the Palmariales by performing high throughput sequencing analysis on a specimen of P. decipiens from the western Antarctic Peninsula. The P. decipiens mitogenome is 26,645 base pairs (bp) in length and contains 49 genes (GenBank accession MN967053) and the plastid genome is 193,007bp and contains 245 genes (GenBank accession MN967052). The mitogenome and plastid genome of P. decipiens are similar to P. palmata from Japan in pairwise genetic distances (93.71% and 98.14%, respectively), and P. palmata from the Maine, USA (87.45% and 94.57%, respectively). The genomes of P. decipiens showed high gene synteny with P. palmata, however several tRNA differences are documented. Organellar genome content and phylogenetic analyses of P. decipiens supports its placement in the genus Palmaria.</t>
  </si>
  <si>
    <t>[Bustamante, Danilo E.; Calderon, Martha S.] Univ Nacl Toribio Rodriguez de Mendoza, Inst Invest Desarrollo Sustentable Cej de Selva I, Calle Higos Urco 342-350-356, Chachapoyas 01001, Amazonas, Peru; [Hughey, Jeffery R.] Hartnell Coll, Div Math Sci &amp; Engn, Salinas, CA USA; [Calderon, Martha S.; Mansilla, Andres; Rodriguez, Juan P.; Mendez, Fabio] Univ Magallanes, LEMAS, Punta Arenas, Chile</t>
  </si>
  <si>
    <t>Universidad Nacional Toribio Rodriguez De Mendoza De Amazonas; Universidad de Magallanes</t>
  </si>
  <si>
    <t>Bustamante, DE (corresponding author), Univ Nacl Toribio Rodriguez de Mendoza, Inst Invest Desarrollo Sustentable Cej de Selva I, Calle Higos Urco 342-350-356, Chachapoyas 01001, Amazonas, Peru.</t>
  </si>
  <si>
    <t>danilo.bustamante@untrm.edu.pe</t>
  </si>
  <si>
    <t>Bustamante, Danilo E./A-8619-2012</t>
  </si>
  <si>
    <t>Bustamante, Danilo E./0000-0002-5979-6993; Mendez, Fabio/0000-0002-1054-0743; Provoste, Jp/0000-0003-4910-3847; Hughey, Jeffery/0000-0003-4053-9150; Calderon, Martha S./0000-0003-3611-140X; Mansilla, Andres/0000-0003-3505-7018</t>
  </si>
  <si>
    <t>FONDECYT [1180433, 3180539]; Proyecto Conicyt PIA Apoyo CCTE [AFB170008]; Instituto de Ecologia y Biodiversidad (IEB)</t>
  </si>
  <si>
    <t>FONDECYT(Comision Nacional de Investigacion Cientifica y Tecnologica (CONICYT)CONICYT FONDECYT); Proyecto Conicyt PIA Apoyo CCTE; Instituto de Ecologia y Biodiversidad (IEB)</t>
  </si>
  <si>
    <t>This study was supported by FONDECYT [3180539] to M.S.C. and by FONDECYT [1180433] and Proyecto Conicyt PIA Apoyo CCTE [AFB170008] Instituto de Ecolog~ia y Biodiversidad (IEB) to A.M.</t>
  </si>
  <si>
    <t>10.1080/23802359.2020.1734494</t>
  </si>
  <si>
    <t>KT4BM</t>
  </si>
  <si>
    <t>WOS:000518960200001</t>
  </si>
  <si>
    <t>Li, D; He, YY; Zhang, LP; Wang, FY; Qu, CF; Miao, JL</t>
  </si>
  <si>
    <t>Li, Dan; He, Yingying; Zhang, Liping; Wang, Fanye; Qu, Changfeng; Miao, Jinlai</t>
  </si>
  <si>
    <t>The complete chloroplast genome of Phaeodactylum tricornutum ICE-H isolated from the Antarctic sea ice</t>
  </si>
  <si>
    <t>Phaeodactylum tricornutum ICE-H; chloroplast genome; phylogenetic analysis</t>
  </si>
  <si>
    <t>Phaeodactylum tricornutum ICE-H is a single-cell eukaryotic alga that can grow in the extreme Antarctic environment. The complete chloroplast genome of Phaeodactylum tricornutum ICE-H was assembled with the Illumina sequencing. The chloroplast genome was 117,363 bp in size, containing a large single-copy region (LSC, 63,668 bp), a small single-copy region (SSC, 39,871 bp), and a pair of inverted repeat regions (IRs, 13,824 bp each). The overall GC content was 32.15%. A total of 168 genes were predicted including 132 protein-coding genes, 30 tRNAs, and 6 rRNAs. Phylogenetic analysis indicated that Phaeodactylum tricornutum ICE-H was closely related to Didymosphenia geminata.</t>
  </si>
  <si>
    <t>[Li, Dan; Zhang, Liping; Wang, Fanye; Miao, Jinlai] Qingdao Univ Sci &amp; Technol, Coll Chem &amp; Mol Engn, Qingdao, Shandong, Peoples R China; [Li, Dan; He, Yingying; Zhang, Liping; Qu, Changfeng; Miao, Jinlai] Minist Nat Resource, Inst Oceanog 1, Qingdao 266061, Shandong, Peoples R China; [Qu, Changfeng; Miao, Jinlai] Qingdao Natl Lab Marine Sci &amp; Technol, Lab Marine Drugs &amp; Bioprod, Qingdao, Shandong, Peoples R China</t>
  </si>
  <si>
    <t>Qingdao University of Science &amp; Technology; Laoshan Laboratory</t>
  </si>
  <si>
    <t>Qu, CF; Miao, JL (corresponding author), Minist Nat Resource, Inst Oceanog 1, Qingdao 266061, Shandong, Peoples R China.</t>
  </si>
  <si>
    <t>cfqu@fio.org.cn; miaojinlai@fio.org.cn</t>
  </si>
  <si>
    <t>He, Ying Ying/HZL-0137-2023</t>
  </si>
  <si>
    <t>He, Ying Ying/0000-0002-8759-3157</t>
  </si>
  <si>
    <t>National Key Research and Development Program of China [2018YFD0900705]; China Ocean Mineral Resources RD Association [DY135-B2-14]; Key Reaearch and Development Program of Shandong Province [2018GHY115034]</t>
  </si>
  <si>
    <t>National Key Research and Development Program of China; China Ocean Mineral Resources RD Association; Key Reaearch and Development Program of Shandong Province</t>
  </si>
  <si>
    <t>This study was supported by National Key Research and Development Program of China [2018YFD0900705], China Ocean Mineral Resources R&amp;D Association [DY135-B2-14] and Key Reaearch and Development Program of Shandong Province [2018GHY115034].</t>
  </si>
  <si>
    <t>10.1080/23802359.2020.1731340</t>
  </si>
  <si>
    <t>KR2VS</t>
  </si>
  <si>
    <t>WOS:000517478400001</t>
  </si>
  <si>
    <t>Gore, DB; Berg, S</t>
  </si>
  <si>
    <t>Gore, Damian B.; Berg, Sonja</t>
  </si>
  <si>
    <t>Bunger Hills: the hidden Antarctic oasis</t>
  </si>
  <si>
    <t>Berg, Sonja/AAW-3817-2021</t>
  </si>
  <si>
    <t>10.1017/S0954102020000115</t>
  </si>
  <si>
    <t>KQ0TE</t>
  </si>
  <si>
    <t>WOS:000516643200001</t>
  </si>
  <si>
    <t>Constable, AJ; Swadling, KM</t>
  </si>
  <si>
    <t>Constable, Andrew J.; Swadling, Kerrie M.</t>
  </si>
  <si>
    <t>Ecosystem drivers of food webs on the Kerguelen Axis of the Southern Ocean</t>
  </si>
  <si>
    <t>CLIMATE-CHANGE; PLATEAU; EXTENT; BROKE</t>
  </si>
  <si>
    <t>[Constable, Andrew J.] Australian Antarctic Div, Australian Commonwealth Dept Agr Water &amp; Environm, Channel Highway, Kingston, Tas 7050, Australia; [Constable, Andrew J.; Swadling, Kerrie M.] Antarctic Climate &amp; Ecosyst Cooperat Res Ctr, Private Bag 80, Hobart, Tas 7001, Australia; [Swadling, Kerrie M.] Univ Tasmania, Inst Marine &amp; Antarctic Studies, Private Bag 129, Hobart, Tas 7001, Australia</t>
  </si>
  <si>
    <t>Australian Antarctic Division; Antarctic Climate &amp; Ecosystems Cooperative Research Centre (ACE CRC); University of Tasmania</t>
  </si>
  <si>
    <t>Constable, AJ (corresponding author), Australian Antarctic Div, Australian Commonwealth Dept Agr Water &amp; Environm, Channel Highway, Kingston, Tas 7050, Australia.</t>
  </si>
  <si>
    <t>andrew.constable@aad.gov.au</t>
  </si>
  <si>
    <t>Australian Antarctic Division's (AAD) Science Planning and Co-ordination; Japanese National Institute of Polar Research; Australian Antarctic Data Centre [4344]; Australian Government under Cooperative Research Centre Program through the Australian Cooperative Research Centre Program's Antarctic Climate and Ecosystems CRC (ACE CRC); Australian Government under Australian Antarctic Science Program [4344, 4343]; Australian Government under Australian Research Council's Special Research Initiative for Antarctic Gateway Partnership [SR140300001]</t>
  </si>
  <si>
    <t>Australian Antarctic Division's (AAD) Science Planning and Co-ordination; Japanese National Institute of Polar Research; Australian Antarctic Data Centre; Australian Government under Cooperative Research Centre Program through the Australian Cooperative Research Centre Program's Antarctic Climate and Ecosystems CRC (ACE CRC)(Australian GovernmentDepartment of Industry, Innovation and ScienceCooperative Research Centres (CRC) Programme); Australian Government under Australian Antarctic Science Program(Australian Government); Australian Government under Australian Research Council's Special Research Initiative for Antarctic Gateway Partnership</t>
  </si>
  <si>
    <t>We thank the myriad people involved in delivering this program. At sea, we thank the captain, Benoit Hebert, and his 26 crew of the RSV Aurora Australis, voyage leader, Lloyd Simmons, and 10 Antarctic expeditioners for their unerring commitment to achieving the field goals of this research program over 29 days. We thank and congratulate the 27 scientists, mostly early career researchers, for their dedication, support and persistence in this long campaign. In particular, we thank the eight science technical support staff from the Australian Antarctic Division (AAD), under the leadership of Phil Boxall, for faultless planning and execution of the research equipment, as well as the support of Australian Antarctic Division's (AAD) Science Planning and Co-ordination and logistic staff, including executive support from the ACE CRC, for enabling the planning for and return of the voyage within one year. For equipment, we thank CSIRO Ocean and Atmosphere for the MIDOC apparatus and the University of Otago for the trace metal rosette and container. We thank the Japanese National Institute of Polar Research for providing support of its vessel JS Shirase and her wonderful crew who provided most welcome assistance and hospitality on one of the legs for repatriating the science team after the grounding of the RV Aurora Australis. We also thank the Mawson station teams of 2015 and 2016 for their exceptional hospitality and patience over the course of managing the grounding, and to the teams of Casey and Wilkins stations during the repatriation. Thank you to Mike Sumner for his data management in this project, provision of up-to-date satellite images of environmental features to help adaptive planning during the voyage, and for assisting with the figures in this paper.; We thank the immense patience of our editor, Ken Drinkwater. Data, as available, are obtainable from the Australian Antarctic Data Centre -refer to either the Kerguelen Axis or AAS Project #4344.; This work was supported by the Australian Government under the (i) Cooperative Research Centre Program through the Australian Cooperative Research Centre Program's Antarctic Climate and Ecosystems CRC (ACE CRC), (ii) Australian Antarctic Science Program (Projects AAS#4343, AAS#4344), and (iii) Australian Research Council's Special Research Initiative for Antarctic Gateway Partnership (Project ID SR140300001).</t>
  </si>
  <si>
    <t>10.1016/j.dsr2.2020.104790</t>
  </si>
  <si>
    <t>LW4JQ</t>
  </si>
  <si>
    <t>WOS:000539111000014</t>
  </si>
  <si>
    <t>Staak, L; Schmidt, R; Ottomann, C</t>
  </si>
  <si>
    <t>Staak, Ludwig; Schmidt, Ralf; Ottomann, Christian</t>
  </si>
  <si>
    <t>Broadening the Horizon between the Arctic, Tropics and Antarctic Ship Doctor on the Research Ship Maria S. Merian</t>
  </si>
  <si>
    <t>FLUGMEDIZIN TROPENMEDIZIN REISEMEDIZIN</t>
  </si>
  <si>
    <t>German</t>
  </si>
  <si>
    <t>Forschungsschiffe operieren haufig in sehr abgelegenen Gegenden. Da bei Erkrankungen Hilfe gar nicht oder nur schwer erreichbar ist, ergibt sich hier ein Betatigungsfeld fur Arzte, die sich auf diese spezielle Situation einlassen mogen. Im Folgenden werden das Forschungsschif F/S Maria S. Merian mit seinen Aufgaben, deren Bordhospital und Bordarzt vorgestellt.</t>
  </si>
  <si>
    <t>[Ottomann, Christian] Schiffsarztborse GmbH, Berlin, Germany</t>
  </si>
  <si>
    <t>Ottomann, C (corresponding author), Schiffsarztborse GmbH, Berlin, Germany.</t>
  </si>
  <si>
    <t>dr.staak@web.de; ottomann@schiffsarztboerse.de</t>
  </si>
  <si>
    <t>GEORG THIEME VERLAG KG</t>
  </si>
  <si>
    <t>STUTTGART</t>
  </si>
  <si>
    <t>RUDIGERSTR 14, D-70469 STUTTGART, GERMANY</t>
  </si>
  <si>
    <t>1864-4538</t>
  </si>
  <si>
    <t>1864-175X</t>
  </si>
  <si>
    <t>FLUGMEDIZIN TROPENME</t>
  </si>
  <si>
    <t>Flugmedizin Tropenmedizin Reisemedizin</t>
  </si>
  <si>
    <t>10.1055/a-1111-8212</t>
  </si>
  <si>
    <t>LO1VD</t>
  </si>
  <si>
    <t>WOS:000533414700010</t>
  </si>
  <si>
    <t>Jennings, AE; Seidenkrantz, MS; Knudsen, KL</t>
  </si>
  <si>
    <t>Jennings, Anne E.; Seidenkrantz, Marit-Solveig; Knudsen, Karen Luise</t>
  </si>
  <si>
    <t>GLOMULINA OCULUS, NEW CALCAREOUS FORAMINIFERAL SPECIES FROM THE HIGH ARCTIC: A POTENTIAL INDICATOR OF A NEARBY MARINE-TERMINATING GLACIER</t>
  </si>
  <si>
    <t>JOURNAL OF FORAMINIFERAL RESEARCH</t>
  </si>
  <si>
    <t>MODERN BENTHIC FORAMINIFERA; GREENLAND CURRENT NORTH; NARES STRAIT; ICE-SHELF; PETERMANN GLETSCHER; SEA-ICE; OCEAN; ATLANTIC; CIRCULATION; POLYNYA</t>
  </si>
  <si>
    <t>A new calcareous Arctic foraminiferal species, Glomulina oculus n. sp., belonging to the suborder Miliolina has been observed in surface samples from northern Nares Strait and Petermann Fjord, NW Greenland, and off Zachariae Isbrae, NE Greenland, as well as in early Holocene sediments from the northern Baffin Bay region and on the NE Greenland shelf. In some samples, this new porcelaneous species makes up a significant fraction of the foraminiferal assemblage, particularly in samples with a relatively large sand content, and we suggest that this species is indicative of an Arctic environment with marine-terminating glaciers. Yet, further studies are needed to ascertain its full habitat range.</t>
  </si>
  <si>
    <t>[Jennings, Anne E.] Univ Colorado, INSTAAR, Boulder, CO 80309 USA; [Seidenkrantz, Marit-Solveig; Knudsen, Karen Luise] Aarhus Univ, Arctic Res Ctr, Dept Geosci, Paleoceanog &amp; Paleoclimate Grp, Hoegh Guldbergs Gade 2, DK-8000 Aarhus C, Denmark; [Seidenkrantz, Marit-Solveig; Knudsen, Karen Luise] Aarhus Univ, Climate Interdisciplinary Ctr Climate Change, Hoegh Guldbergs Gade 2, DK-8000 Aarhus C, Denmark</t>
  </si>
  <si>
    <t>University of Colorado System; University of Colorado Boulder; Aarhus University; Aarhus University</t>
  </si>
  <si>
    <t>Jennings, AE (corresponding author), Univ Colorado, INSTAAR, Boulder, CO 80309 USA.</t>
  </si>
  <si>
    <t>anne.jennings@colorado.edu</t>
  </si>
  <si>
    <t>Knudsen, Karen Luise/A-4849-2012; Seidenkrantz, Marit-Solveig/A-3451-2012</t>
  </si>
  <si>
    <t>Seidenkrantz, Marit-Solveig/0000-0002-1973-5969</t>
  </si>
  <si>
    <t>National Science Foundation [PLR-ANS 1417784, OPP 1804504]; Independent Research Fund Denmark/Natural Science (G-Ice project) [7014-00113B/FNU]; Danish Centre forMarine Research</t>
  </si>
  <si>
    <t>National Science Foundation(National Science Foundation (NSF)); Independent Research Fund Denmark/Natural Science (G-Ice project); Danish Centre forMarine Research</t>
  </si>
  <si>
    <t>We are furthermore grateful to Electron Microscope (EM) Engineer Ramon Liebrechts from the Interdisciplinary Nanoscience Center (iNANO) at Aarhus University, who provided invaluable help during scanning electron microscope (SEM) photomicrographing. We would also like to thank Professor Kjell Nordberg, University of Gothenburg, Sweden, and Dr. Helena Bergsten for placing their specimens of Cyclogyrinae from Bergsten (1994) at our disposal for comparison and to Dr. Teodora PadosDibattista and Joanna M. Davies Aarhus University, for the foraminiferal analyses of the NE Greenland cores. Many thanks to Dr. Kelly Hogan, British Antarctic Survey, for making the map in Figure 1B. We thank Mark Florence of the Smithsonian Natural History Museum for providing the museum numbers for the Holotype and paratypes. We also thank the journal editors and two anonymous reviewers for their comments. Funding for Anne Jennings' research was provided by National Science Foundation PLR-ANS 1417784, Collaborative Research: Petermann Gletscher, Greenland - Paleoceanography and Paleoclimatology and OPP 1804504 Timing and Paleoceanographic Impacts of the Onset of Arctic-Baffin Bay Throughflow. Marit-Solveig Seidenkrantz was funded by the Independent Research Fund Denmark/Natural Science (G-Ice project grant no 7014-00113B/FNU), and through the NorthGreen2017 expedition grant from the Danish Centre forMarine Research.</t>
  </si>
  <si>
    <t>CUSHMAN FOUNDATION FORAMINIFERAL RESEARCH</t>
  </si>
  <si>
    <t>LAWRENCE</t>
  </si>
  <si>
    <t>PO BOX 7065, LAWRENCE, KS 66044-7065 USA</t>
  </si>
  <si>
    <t>0096-1191</t>
  </si>
  <si>
    <t>J FORAMIN RES</t>
  </si>
  <si>
    <t>J. Foraminifer. Res.</t>
  </si>
  <si>
    <t>10.2113/gsjfr.52.2.219</t>
  </si>
  <si>
    <t>NX0OP</t>
  </si>
  <si>
    <t>WOS:000575419100009</t>
  </si>
  <si>
    <t>Ragen, S; Pradal, MA; Gnanadesikan, A</t>
  </si>
  <si>
    <t>Ragen, Sarah; Pradal, Marie-Aude; Gnanadesikan, Anand</t>
  </si>
  <si>
    <t>The Impact of Parameterized Lateral Mixing on the Antarctic Circumpolar Current in a Coupled Climate Model</t>
  </si>
  <si>
    <t>Eddies; Isopycnal mixing; Mesoscale processes; Climate models; Parameterization; Subgrid-scale processes</t>
  </si>
  <si>
    <t>SOUTHERN-HEMISPHERE WINDS; EARTH SYSTEM MODEL; ANTHROPOGENIC CARBON; OCEAN CIRCULATION; MOMENTUM BALANCE; TRANSIENT EDDIES; ICE-SHEET; TRANSPORT; DRIVEN; HEAT</t>
  </si>
  <si>
    <t>This study examines the impact of changing the lateral diffusion coefficient A(Redi) on the transport of the Antarctic Circumpolar Current (ACC). The lateral diffusion coefficient A(Redi) is poorly constrained, with values ranging across an order of magnitude in climate models. The ACC is difficult to accurately simulate, and there is a large spread in eastward transport in the Southern Ocean (SO) in these models. This paper examines how much of that spread can be attributed to different eddy parameterization coefficients. A coarse-resolution, fully coupled model suite was run with A(Redi) = 400, 800, 1200, and 2400 m(2) s(-1). Additionally, two simulations were run with two-dimensional representations of the mixing coefficient based on satellite altimetry. Relative to the 400 m(2) s(-1) case, the 2400 m(2) s(-1) case exhibits 1) an 11% decrease in average wind stress from 50 degrees to 65 degrees S, 2) a 20% decrease in zonally averaged eastward transport in the SO, and 3) a 14% weaker transport through the Drake Passage. The decrease in transport is well explained by changes in the thermal current shear, largely due to increases in ocean density occurring on the northern side of the ACC. In intermediate waters these increases are associated with changes in the formation of intermediate waters in the North Pacific. We hypothesize that the deep increases are associated with changes in the wind stress curl allowing Antarctic Bottom Water to escape and flow northward.</t>
  </si>
  <si>
    <t>[Ragen, Sarah] Univ Washington, Sch Oceanog, Seattle, WA 98195 USA; [Pradal, Marie-Aude; Gnanadesikan, Anand] Johns Hopkins Univ, Dept Earth &amp; Planetary Sci, Baltimore, MD 21218 USA</t>
  </si>
  <si>
    <t>University of Washington; University of Washington Seattle; Johns Hopkins University</t>
  </si>
  <si>
    <t>Ragen, S (corresponding author), Univ Washington, Sch Oceanog, Seattle, WA 98195 USA.</t>
  </si>
  <si>
    <t>sragen@uw.edu</t>
  </si>
  <si>
    <t>Gnanadesikan, Anand/A-2397-2008</t>
  </si>
  <si>
    <t>RAGEN, ZHO/0000-0003-0987-6060</t>
  </si>
  <si>
    <t>National Science Foundation [FESD-1338814, OCE-1766568]; Department of Energy [DE-SC0019344]; U.S. Department of Energy (DOE) [DE-SC0019344] Funding Source: U.S. Department of Energy (DOE)</t>
  </si>
  <si>
    <t>National Science Foundation(National Science Foundation (NSF)); Department of Energy(United States Department of Energy (DOE)); U.S. Department of Energy (DOE)(United States Department of Energy (DOE))</t>
  </si>
  <si>
    <t>This work was supported by the National Science Foundation under proposals FESD-1338814 and OCE-1766568 and by the Department of Energy under proposal DE-SC0019344. We thank Will Seviour, Jordan Thomas, Kyle Armour, Spencer Jones, and Peter Gent for comments on earlier versions of this manuscript and gratefully acknowledge computing resources provided by the Institute for Data Intensive Engineering and Science (IDIES) at Johns Hopkins University. Model climatologies are provided in NetCDF format at https://doi.org/10.7281/T1/IJO1FU.</t>
  </si>
  <si>
    <t>10.1175/JPO-D-19-0249.1</t>
  </si>
  <si>
    <t>NY1XQ</t>
  </si>
  <si>
    <t>WOS:000576191500008</t>
  </si>
  <si>
    <t>Ricciardelli, A; Casillo, A; Corsaro, MM; Tutino, ML; Parrilli, E; van der Mei, HC</t>
  </si>
  <si>
    <t>Ricciardelli, Annarita; Casillo, Angela; Corsaro, Maria Michela; Tutino, Maria Luisa; Parrilli, Ermenegilda; van der Mei, Henny C.</t>
  </si>
  <si>
    <t>Pentadecanal and pentadecanoic acid coatings reduce biofilm formation of Staphylococcus epidermidis on PDMS</t>
  </si>
  <si>
    <t>PATHOGENS AND DISEASE</t>
  </si>
  <si>
    <t>anti-biofilm coatings; Staphylococcus epidermidis; medical devices; biofilm-related infections; Pseudoalteromonas haloplanktis TAC125; pentadecanal; pentadecanoic acid; PDMS; flow cell</t>
  </si>
  <si>
    <t>RESISTANCE</t>
  </si>
  <si>
    <t>Staphylococcus epidermidis is well known to be one of the major causes of infections related to medical devices, mostly due to its strong capacity to form device-associated biofilms. Nowadays, these infections represent a severe burden to the public health system and the necessity of novel antibacterial strategies for the treatment of these difficult-to-eradicate infections is urgent. The Antarctic marine bacterium Pseudoalteromonas haloplanktis TAC125 was found to be able to produce an anti-biofilm molecule, the pentadecanal, active against S. epidermidis. In this work, we modified one of the most widely used silicone-based polymers, polydimethylsiloxane (PDMS), by adsorption of pentadecanal and its most promising derivative, pentadecanoic acid, on the PDMS surface. The biofilm formation of S. epidermidis RP62A on both untreated and modified PDMS was performed in a parallel plate flow chamber system, demonstrating the capability of the proposed anti-biofilm coatings to strongly reduce the biofilm formation. Furthermore, drug-release capacity and long-term efficacy (21 days) were also proven for the pentadecanoic acid coating.</t>
  </si>
  <si>
    <t>[Ricciardelli, Annarita; Casillo, Angela; Corsaro, Maria Michela; Tutino, Maria Luisa; Parrilli, Ermenegilda] Univ Naples Federico II, Complesso Univ Monte St Angelo, Dept Chem Sci, Via Cintia 4, I-80126 Naples, Italy; [Ricciardelli, Annarita] Stn Zool Anton Dohrn, I-80121 Naples, Italy; [van der Mei, Henny C.] Univ Groningen, Dept Biomed Engn, Antonius Deusinglaan 1, NL-9713 AV Groningen, Netherlands; [van der Mei, Henny C.] Univ Med Ctr Groningen, Antonius Deusinglaan 1, NL-9713 AV Groningen, Netherlands</t>
  </si>
  <si>
    <t>University of Naples Federico II; Stazione Zoologica Anton Dohrn di Napoli; University of Groningen; University of Groningen</t>
  </si>
  <si>
    <t>Parrilli, E (corresponding author), Univ Naples Federico II, Complesso Univ Monte St Angelo, Dept Chem Sci, Via Cintia 4, I-80126 Naples, Italy.;van der Mei, HC (corresponding author), Univ Groningen, Antonius Deusinglaan 1, NL-9713 AV Groningen, Netherlands.;van der Mei, HC (corresponding author), Univ Med Ctr Groningen, Dept Biomed Engn, Antonius Deusinglaan 1, NL-9713 AV Groningen, Netherlands.</t>
  </si>
  <si>
    <t>erparril@unina.it; h.c.van.der.mei@med.umcg.nl</t>
  </si>
  <si>
    <t>Corsaro, Maria Michela/T-6190-2019; parrilli, ermenegilda/JAZ-0586-2023; parrilli, ermenegilda/K-4616-2016; TUTINO, MARIA LUISA/L-1834-2013; Ricciardelli, Annarita/AAF-3219-2021</t>
  </si>
  <si>
    <t>Corsaro, Maria Michela/0000-0002-6834-8682; parrilli, ermenegilda/0000-0002-9002-5409; Ricciardelli, Annarita/0000-0003-2084-0579</t>
  </si>
  <si>
    <t>2049-632X</t>
  </si>
  <si>
    <t>PATHOG DIS</t>
  </si>
  <si>
    <t>Pathog. Dis.</t>
  </si>
  <si>
    <t>ftaa012</t>
  </si>
  <si>
    <t>10.1093/femspd/ftaa012</t>
  </si>
  <si>
    <t>Immunology; Infectious Diseases; Microbiology</t>
  </si>
  <si>
    <t>NJ3DW</t>
  </si>
  <si>
    <t>WOS:000565929200001</t>
  </si>
  <si>
    <t>Schroeder, DM; Bingham, RG; Blankenship, DD; Christianson, K; Eisen, O; Flowers, GE; Karlsson, NB; Koutnik, MR; Paden, JD; Siegert, MJ</t>
  </si>
  <si>
    <t>Schroeder, Dustin M.; Bingham, Robert G.; Blankenship, Donald D.; Christianson, Knut; Eisen, Olaf; Flowers, Gwenn E.; Karlsson, Nanna B.; Koutnik, Michelle R.; Paden, John D.; Siegert, Martin J.</t>
  </si>
  <si>
    <t>Five decades of radioglaciology</t>
  </si>
  <si>
    <t>ANNALS OF GLACIOLOGY</t>
  </si>
  <si>
    <t>glaciological instruments and methods; ground-penetrating radar; radio-echo sounding; remote sensing</t>
  </si>
  <si>
    <t>ANTARCTIC ICE-SHEET; POLAR LAYERED DEPOSITS; GROUND-PENETRATING RADAR; BENEATH THWAITES GLACIER; PHASE-SENSITIVE RADAR; PINE ISLAND GLACIER; WEDDELL SEA SECTOR; BASAL MELT RATES; GREENLAND ICE; WEST ANTARCTICA</t>
  </si>
  <si>
    <t>Radar sounding is a powerful geophysical approach for characterizing the subsurface conditions of terrestrial and planetary ice masses at local to global scales. As a result, a wide array of orbital, airborne, ground-based, and in situ instruments, platforms and data analysis approaches for radioglaciology have been developed, applied or proposed. Terrestrially, airborne radar sounding has been used in glaciology to observe ice thickness, basal topography and englacial layers for five decades. More recently, radar sounding data have also been exploited to estimate the extent and configuration of subglacial water, the geometry of subglacial bedforms and the subglacial and englacial thermal states of ice sheets. Planetary radar sounders have observed, or are planned to observe, the subsurfaces and near-surfaces of Mars, Earth's Moon, comets and the icy moons of Jupiter. In this review paper, and the thematic issue of theAnnals of Glaciologyon 'Five decades of radioglaciology' to which it belongs, we present recent advances in the fields of radar systems, missions, signal processing, data analysis, modeling and scientific interpretation. Our review presents progress in these fields since the last radio-glaciologicalAnnals of Glaciologyissue of 2014, the context of their history and future prospects.</t>
  </si>
  <si>
    <t>[Schroeder, Dustin M.] Stanford Univ, Dept Geophys, Stanford, CA 94305 USA; [Schroeder, Dustin M.] Stanford Univ, Dept Elect Engn, Stanford, CA 94305 USA; [Bingham, Robert G.] Univ Edinburgh, Sch GeoSci, Edinburgh, Midlothian, Scotland; [Blankenship, Donald D.] Univ Texas Austin, Inst Geophys, Austin, TX USA; [Christianson, Knut; Koutnik, Michelle R.] Univ Washington, Dept Earth &amp; Space Sci, Seattle, WA 98195 USA; [Eisen, Olaf] Helmholtz Zentrum Polar &amp; Meeresforsch, Alfred Wegener Inst, Bremerhaven, Germany; [Eisen, Olaf] Univ Bremen, Bremen, Germany; [Flowers, Gwenn E.] Simon Fraser Univ, Dept Earth Sci, Vancouver, BC, Canada; [Karlsson, Nanna B.] Geol Survey Denmark &amp; Greenland, Copenhagen, Denmark; [Paden, John D.] Univ Kansas, Ctr Remote Sensing Ice Sheets, Lawrence, KS 66045 USA; [Siegert, Martin J.] Imperial Coll London, Grantham Inst, London, England; [Schroeder, Dustin M.; Siegert, Martin J.] Imperial Coll London, Dept Earth Sci &amp; Engn, London, England</t>
  </si>
  <si>
    <t>Stanford University; Stanford University; University of Edinburgh; University of Texas System; University of Texas Austin; University of Washington; University of Washington Seattle; Helmholtz Association; Alfred Wegener Institute, Helmholtz Centre for Polar &amp; Marine Research; University of Bremen; Simon Fraser University; Geological Survey Of Denmark &amp; Greenland; University of Kansas; Imperial College London; Imperial College London</t>
  </si>
  <si>
    <t>Schroeder, DM (corresponding author), Stanford Univ, Dept Geophys, Stanford, CA 94305 USA.;Schroeder, DM (corresponding author), Stanford Univ, Dept Elect Engn, Stanford, CA 94305 USA.</t>
  </si>
  <si>
    <t>dustin.m.schroeder@stanford.edu</t>
  </si>
  <si>
    <t>Karlsson, Nanna Bjørnholt/G-4621-2018; Siegert, Martin/M-9939-2019; Blankenship, Donald D./G-5935-2010; Bingham, Robert G/G-3576-2017; Eisen, Olaf/K-3846-2012; Karlsson, Nanna B./M-4519-2014</t>
  </si>
  <si>
    <t>Siegert, Martin/0000-0002-0090-4806; Eisen, Olaf/0000-0002-6380-962X; Flowers, Gwenn/0000-0002-3574-9324; Schroeder, Dustin/0000-0003-1916-3929; Karlsson, Nanna B./0000-0003-0423-8705</t>
  </si>
  <si>
    <t>NERC [NE/K004956/2, NE/G00465X/3] Funding Source: UKRI</t>
  </si>
  <si>
    <t>0260-3055</t>
  </si>
  <si>
    <t>1727-5644</t>
  </si>
  <si>
    <t>ANN GLACIOL</t>
  </si>
  <si>
    <t>Ann. Glaciol.</t>
  </si>
  <si>
    <t>PII S0260305520000117</t>
  </si>
  <si>
    <t>10.1017/aog.2020.11</t>
  </si>
  <si>
    <t>NI4VG</t>
  </si>
  <si>
    <t>WOS:000565350800001</t>
  </si>
  <si>
    <t>Popov, S</t>
  </si>
  <si>
    <t>Popov, Sergey</t>
  </si>
  <si>
    <t>Fifty-five years of Russian radio-echo sounding investigations in Antarctica</t>
  </si>
  <si>
    <t>Airborne electromagnetic soundings; crevasses; ground-penetrating radar; ice thickness measurements; Antarctic glaciology</t>
  </si>
  <si>
    <t>SUBGLACIAL LAKE VOSTOK; EAST ANTARCTICA; GEOPHYSICAL INVESTIGATIONS; ICE THICKNESS; RADAR; STATION; FRAMEWORK; BENEATH; GNSS</t>
  </si>
  <si>
    <t>Russian (former Soviet) systematic studies of Antarctica by radio-echo sounding (RES) and ground-penetrating radar technique (GPR) were commenced in 1964. Since that time airborne RES surveys have covered about 5.5 x 10(6)km(2)of the icy continent discovering remarkable geographic objects such as Subglacial Gamburtsev Mountains, and allowed studies of Filchner-Ronne Ice Shelf, Amery Ice Shelf and Lambert Glacier. Ground-based investigations during the 1990s and 2000s revealed the structure of the Lake Vostok area and surveyed along the Mirny to Vostok and Progress to Vostok traverse routes. GPR studies during the 2010s were to select the site for a new snow-runway at Mirny Station, with the resumption of the aviation after a 25 year hiatus.</t>
  </si>
  <si>
    <t>[Popov, Sergey] Polar Marine Geosurvey Expedit PMGE, 24 Pobedy Str, St Petersburg 198412, Russia; [Popov, Sergey] St Petersburg State Univ, 7-9 Univ Skaya Emb, St Petersburg 199034, Russia</t>
  </si>
  <si>
    <t>Saint Petersburg State University</t>
  </si>
  <si>
    <t>Popov, S (corresponding author), Polar Marine Geosurvey Expedit PMGE, 24 Pobedy Str, St Petersburg 198412, Russia.;Popov, S (corresponding author), St Petersburg State Univ, 7-9 Univ Skaya Emb, St Petersburg 199034, Russia.</t>
  </si>
  <si>
    <t>spopov67@yandex.ru</t>
  </si>
  <si>
    <t>Popov, Sergey V./I-2319-2013; Popov, Sergey/IYJ-2371-2023</t>
  </si>
  <si>
    <t>Popov, Sergey V./0000-0002-1830-8658; Popov, Sergey/0000-0002-1830-8658</t>
  </si>
  <si>
    <t>Russian Foundation for Basic Research (RFBR) [17-55-12003 NNIO]</t>
  </si>
  <si>
    <t>Russian Foundation for Basic Research (RFBR)(Russian Foundation for Basic Research (RFBR))</t>
  </si>
  <si>
    <t>The author thanks his colleagues from PMGE team (Yu.B. Chernoglazov, V.M. Kirillov, A.V. Kiselev, V.N. Masolov, A.M. Popkov, A.I. Savelov, A.N. Sheremet'ev and O.B. Soboleva), AARI and Russian Antarctic Expedition (V.V. Kharitonov, V.V. Lukin, V.L. Mart'yanov, A.L. Novikov, S.P. Polyakov and S.S. Pryakhin) and St. Petersburg State University (S.D. Grigoreva, A.A. Sukhanova) with whom he worked in the field and processed RES and GPR data; also tractor drivers who provided the scientific investigations in the logistic and scientific traverses 'Mirny-Vostok' and 'Progress-Vostok', also the wintering and summaring team of Vostok, Progress and Mirny stations. The author also thanks Achille Zirizzotti and Stefano Urbini from INGV for RES and GPR equipment and also Dr. L. Eberlein, L. Schroder and A. Richter, his colleagues from TUD for help in the field. The author thanks Martin Siegert and three anonymous reviewers for numerous corrections and suggestions for improving English that allowed him to significantly improve the manuscript. This study was funded by Russian Foundation for Basic Research (RFBR) according to the research project No 17-55-12003 NNIO.</t>
  </si>
  <si>
    <t>PII S026030552000004X</t>
  </si>
  <si>
    <t>10.1017/aog.2020.4</t>
  </si>
  <si>
    <t>WOS:000565350800002</t>
  </si>
  <si>
    <t>Pritchard, HD; King, EC; Goodger, DJ; McCarthy, M; Mayer, C; Kayastha, R</t>
  </si>
  <si>
    <t>Pritchard, H. D.; King, E. C.; Goodger, D. J.; McCarthy, M.; Mayer, C.; Kayastha, R.</t>
  </si>
  <si>
    <t>Towards Bedmap Himalayas: development of an airborne ice-sounding radar for glacier thickness surveys in High-Mountain Asia</t>
  </si>
  <si>
    <t>Airborne electromagnetic soundings; ground-penetrating radar; ice thickness measurements</t>
  </si>
  <si>
    <t>GROUND-PENETRATING RADAR; SUPRAGLACIAL DEBRIS THICKNESS; ALPINE GLACIERS; VARIABILITY; SYSTEMS; LIRUNG</t>
  </si>
  <si>
    <t>The thickness of glaciers in High-Mountain Asia (HMA) is critical in determining when the ice reserve will be lost as these glaciers thin but is remarkably poorly known because very few measurements have been made. Through a series of ground-based and airborne field tests, we have adapted a low-frequency ice-penetrating radar developed originally for Antarctic over-snow surveys, for deployment as a helicopter-borne system to increase the number of measurements. The manoeuvrability provided by helicopters and the ability of our system to detect glacier beds through thick, dirty, temperate ice makes it well suited to increase greatly the sample of measurements available for calibrating ice thickness models on the regional and global scale. The Bedmap Himalayas radar-survey system can reduce the uncertainty in present-day ice volumes and therefore in projections of when HMA's river catchments will lose this hydrological buffer against drought.</t>
  </si>
  <si>
    <t>[Pritchard, H. D.; King, E. C.; Goodger, D. J.; McCarthy, M.] British Antarctic Survey, Cambridge, England; [McCarthy, M.] WSL, Swiss Fed Inst Snow Forest &amp; Landscape Res, Birmensdorf, Switzerland; [Mayer, C.] Bavarian Acad Sci &amp; Humanities, Geodesy &amp; Glaciol, Munich, Germany; [Kayastha, R.] Kathmandu Univ, Dept Environm Sci &amp; Engn, Kathmandu, Nepal</t>
  </si>
  <si>
    <t>UK Research &amp; Innovation (UKRI); Natural Environment Research Council (NERC); NERC British Antarctic Survey; Swiss Federal Institutes of Technology Domain; Swiss Federal Institute for Forest, Snow &amp; Landscape Research; Kathmandu University</t>
  </si>
  <si>
    <t>Pritchard, HD (corresponding author), British Antarctic Survey, Cambridge, England.</t>
  </si>
  <si>
    <t>hprit@bas.ac.uk</t>
  </si>
  <si>
    <t>Kayastha, Rijan/K-9370-2014; Pritchard, Hamish Daniel/AAU-4696-2021</t>
  </si>
  <si>
    <t>Kayastha, Rijan/0000-0002-5896-1731;</t>
  </si>
  <si>
    <t>Natural Environment Research Council [NE/L013258/1, NE/R000107/1]; NERC [NE/L013258/1, bas010011, bas0100034] Funding Source: UKRI</t>
  </si>
  <si>
    <t>This project was supported by Natural Environment Research Council grants NE/L013258/1 and NE/R000107/1. Survey data are available from the Polar Data Centre of the British Antarctic Survey, reference NE/L013258/1.</t>
  </si>
  <si>
    <t>PII S0260305520000294</t>
  </si>
  <si>
    <t>10.1017/aog.2020.29</t>
  </si>
  <si>
    <t>WOS:000565350800004</t>
  </si>
  <si>
    <t>Arnold, E; Leuschen, C; Rodriguez-Morales, F; Li, JL; Paden, J; Hale, R; Keshmiri, S</t>
  </si>
  <si>
    <t>Arnold, Emily; Leuschen, Carl; Rodriguez-Morales, Fernando; Li, Jilu; Paden, John; Hale, Richard; Keshmiri, Shawn</t>
  </si>
  <si>
    <t>CReSIS airborne radars and platforms for ice and snow sounding</t>
  </si>
  <si>
    <t>Airborne electromagnetic soundings; Antarctic glaciology; Arctic glaciology; ice thickness measurements; radio-echo sounding</t>
  </si>
  <si>
    <t>SATELLITE RADAR; WIDE-BAND; THICKNESS; FIRN; ATTENUATION; SURFACE</t>
  </si>
  <si>
    <t>This paper provides an update and overview of the Center for Remote Sensing of Ice Sheets (CReSIS) radars and platforms, including representative results from these systems. CReSIS radar systems operate over a frequency range of 14-38 GHz. Each radar system's specific frequency band is driven by the required depth of signal penetration, measurement resolution, allocated frequency spectra, and antenna operating frequencies (often influenced by aircraft integration). We also highlight recent system advancements and future work, including (1) increasing system bandwidth; (2) miniaturizing radar hardware; and (3) increasing sensitivity. For platform development, we are developing smaller, easier to operate and less expensive unmanned aerial systems. Next-generation platforms will further expand accessibility to scientists with vertical takeoff and landing capabilities.</t>
  </si>
  <si>
    <t>[Arnold, Emily; Hale, Richard; Keshmiri, Shawn] Univ Kansas, Dept Aerosp Engn, Lawrence, KS 66045 USA; [Arnold, Emily; Leuschen, Carl; Rodriguez-Morales, Fernando; Li, Jilu; Paden, John; Hale, Richard; Keshmiri, Shawn] Univ Kansas, Ctr Remote Sensing Ice Sheets, Lawrence, KS 66045 USA; [Leuschen, Carl] Univ Kansas, Elect Engn &amp; Comp Sci Dept, Lawrence, KS 66045 USA</t>
  </si>
  <si>
    <t>University of Kansas; University of Kansas; University of Kansas</t>
  </si>
  <si>
    <t>Arnold, E (corresponding author), Univ Kansas, Dept Aerosp Engn, Lawrence, KS 66045 USA.;Arnold, E (corresponding author), Univ Kansas, Ctr Remote Sensing Ice Sheets, Lawrence, KS 66045 USA.</t>
  </si>
  <si>
    <t>earnold@ku.edu</t>
  </si>
  <si>
    <t>Arnold, Emily/AFF-8696-2022; Arnold, Emily/AAF-1062-2022</t>
  </si>
  <si>
    <t>National Science Foundation (NSF) [ANT-1229716]; NSF [ANT-0424589, ANT-1739003]; KU Endowment Association; National Aeronautics and Space Administration (NASA) [NNX10AT68G, NNX16AH54G]; Kansas EPSCoR program; NASA [NNX15AK36A]; NASA [806246, NNX15AK36A] Funding Source: Federal RePORTER</t>
  </si>
  <si>
    <t>National Science Foundation (NSF)(National Science Foundation (NSF)); NSF(National Science Foundation (NSF)); KU Endowment Association; National Aeronautics and Space Administration (NASA)(National Aeronautics &amp; Space Administration (NASA)); Kansas EPSCoR program; NASA(National Aeronautics &amp; Space Administration (NASA)); NASA(National Aeronautics &amp; Space Administration (NASA))</t>
  </si>
  <si>
    <t>The National Science Foundation (NSF) Grant ANT-1229716 supported the development and deployment of the UWB RDS and UWB Snow Radar. The Paul G Allen Family Foundation and NSF ANT-0424589 supported the development and deployment of the HF Sounder Mini, while the high-power version of the HF Sounder was supported by the KU Endowment Association. Radar development and processing in support of OIB was supported by the National Aeronautics and Space Administration (NASA) NNX10AT68G and NNX16AH54G. The Accumulation-C development and deployment were supported by NSF ANT-1739003. Finally, the UWB Snow Mini radar development was supported by the Kansas EPSCoR program and NASA grant NNX15AK36A. In addition, we also thank our technical support staff and students for their assistance in designing, fabricating, preparing and operating the instruments. This includes Paulette Place, Aaron Paden, Jim Rood, Matt Tener, Hara Talasila, Betty Shang, Teja Karidi and Shravan Kaundinya. Finally, we thank Rachel James for editing this paper and preparing it for final submission.</t>
  </si>
  <si>
    <t>PII S0260305519000375</t>
  </si>
  <si>
    <t>10.1017/aog.2019.37</t>
  </si>
  <si>
    <t>WOS:000565350800006</t>
  </si>
  <si>
    <t>Jordan, TM; Schroeder, DM; Elsworth, CW; Siegfried, MR</t>
  </si>
  <si>
    <t>Jordan, Thomas M.; Schroeder, Dustin M.; Elsworth, Cooper W.; Siegfried, Matthew R.</t>
  </si>
  <si>
    <t>Estimation of ice fabric within Whillans Ice Stream using polarimetric phase-sensitive radar sounding</t>
  </si>
  <si>
    <t>Anisotropic ice; radio-echo sounding; ice crystal studies; ice streams</t>
  </si>
  <si>
    <t>ANISOTROPIC ICE; WEST ANTARCTICA; CORE; POLARIZATION; SHEETS; FLOW</t>
  </si>
  <si>
    <t>Here we use polarimetric measurements from an Autonomous phase-sensitive Radio-Echo Sounder (ApRES) to investigate ice fabric within Whillans Ice Stream, West Antarctica. The survey traverse is bounded at one end by the suture zone with the Mercer Ice Stream and at the other end by a basal 'sticky spot'. Our data analysis employs a phase-based polarimetric coherence method to estimate horizontal ice fabric properties: the fabric orientation and the magnitude of the horizontal fabric asymmetry. We infer an azimuthal rotation in the prevailing horizontalc-axis between the near-surface (z approximate to 10-50 m) and deeper ice (z approximate to 170-360 m), with the near-surface orientated closer to perpendicular to flow and deeper ice closer to parallel. In the near-surface, the fabric asymmetry increases toward the center of Whillans Ice Stream which is consistent with the surface compression direction. By contrast, the fabric orientation in deeper ice is not aligned with the surface compression direction but is consistent with englacial ice reacting to longitudinal compression associated with basal resistance from the nearby sticky spot.</t>
  </si>
  <si>
    <t>[Jordan, Thomas M.; Schroeder, Dustin M.; Elsworth, Cooper W.; Siegfried, Matthew R.] Stanford Univ, Dept Geophys, Stanford, CA 94305 USA; [Jordan, Thomas M.] Univ Bristol, Sch Geog Sci, Bristol, Avon, England; [Schroeder, Dustin M.] Stanford Univ, Dept Elect Engn, Stanford, CA 94305 USA; [Siegfried, Matthew R.] Colorado Sch Mines, Dept Geophys, Golden, CO 80401 USA</t>
  </si>
  <si>
    <t>Stanford University; University of Bristol; Stanford University; Colorado School of Mines</t>
  </si>
  <si>
    <t>Jordan, TM (corresponding author), Stanford Univ, Dept Geophys, Stanford, CA 94305 USA.;Jordan, TM (corresponding author), Univ Bristol, Sch Geog Sci, Bristol, Avon, England.</t>
  </si>
  <si>
    <t>tom.jordan@bris.ac.uk</t>
  </si>
  <si>
    <t>Jordan, Thomas/0000-0002-2096-8858; Schroeder, Dustin/0000-0003-1916-3929</t>
  </si>
  <si>
    <t>EU Horizons 2020 grant [747336-BRISRES-H2020-MSCA-IF-2016]; NSF CAREER award; NSF as part of the SALSA project [ANT-1543441]</t>
  </si>
  <si>
    <t>EU Horizons 2020 grant; NSF CAREER award(National Science Foundation (NSF)NSF - Office of the Director (OD)); NSF as part of the SALSA project</t>
  </si>
  <si>
    <t>TMJ would like to acknowledge support from EU Horizons 2020 grant 747336-BRISRES-H2020-MSCA-IF-2016. DMS would like to acknowledge partial support from an NSF CAREER award. Field data collection was supported by NSF grant ANT-1543441 as part of the SALSA project. We thank Julian Hanna, Sarah Neuhaus, Marino Protti and Aurora Roth for data collection assistant and UNAVCO, Antarctic Support Contract, Kenn Borek Air and the New York Air National Guard for logistic support. We would like to thank JOrgen Dall, Technical University of Denmark, and Carlos Martin and Alex Brisbourne, British Antarctic Survey, for their helpful comments.</t>
  </si>
  <si>
    <t>PII S0260305520000063</t>
  </si>
  <si>
    <t>10.1017/aog.2020.6</t>
  </si>
  <si>
    <t>WOS:000565350800008</t>
  </si>
  <si>
    <t>Vanková, I; Nicholls, KW; Xie, SR; Parizek, BR; Voytenko, D; Holland, DM</t>
  </si>
  <si>
    <t>Vankova, Irena; Nicholls, Keith W.; Xie, Surui; Parizek, Byron R.; Voytenko, Denis; Holland, David M.</t>
  </si>
  <si>
    <t>Depth-dependent artifacts resulting from ApRES signal clipping</t>
  </si>
  <si>
    <t>Glaciological instruments and methods; ground-penetrating radar; ice thickness measurements</t>
  </si>
  <si>
    <t>PHASE-SENSITIVE RADAR; BASAL MELT RATES; ICE</t>
  </si>
  <si>
    <t>Several autonomous phase-sensitive radio-echo sounders (ApRES) were deployed at Greenland glaciers to investigate ice deformation. Different attenuation settings were tested and it was observed that, in the presence of clipping of the deramped ApRES signal, each setting produced a different result. Specifically, higher levels of clipping associated with lower attenuation produced an apparent linear increase of diurnal vertical cumulative displacement with depth, and obscured the visibility of the basal reflector in the return amplitude. An example with a synthetic deramped signal confirmed that these types of artifacts result from the introduction of harmonics from square-wave-like features introduced by clipping. Apparent linear increase of vertical displacement with depth occurs when the vertical position of a near-surface internal reflector changes in time. Artifacts in the return amplitude may obscure returns from internal reflectors and the basal reflector, making it difficult to detect thickness evolution of the ice and to correctly estimate vertical velocities. Variations in surface melt during ApRES deployments can substantially modulate the received signal strength on short timescales, and we therefore recommend using higher attenuator settings for deployments in such locations.</t>
  </si>
  <si>
    <t>[Vankova, Irena; Nicholls, Keith W.] British Antarctic Survey, Nat Environm Res Council, Cambridge, England; [Xie, Surui] Univ S Florida, Sch Geosci, Tampa, FL 33620 USA; [Parizek, Byron R.] Penn State Univ, Math &amp; Geosci, Du Bois, PA USA; [Parizek, Byron R.] Penn State Univ, Dept Geosci, University Pk, PA 16802 USA; [Voytenko, Denis; Holland, David M.] NYU, Courant Inst Math Sci, New York, NY USA; [Voytenko, Denis; Holland, David M.] NYU, Ctr Global Sea Level Change, Abu Dhabi, U Arab Emirates</t>
  </si>
  <si>
    <t>UK Research &amp; Innovation (UKRI); Natural Environment Research Council (NERC); NERC British Antarctic Survey; State University System of Florida; University of South Florida; Pennsylvania Commonwealth System of Higher Education (PCSHE); Pennsylvania State University; Pennsylvania Commonwealth System of Higher Education (PCSHE); Pennsylvania State University; Pennsylvania State University - University Park; New York University</t>
  </si>
  <si>
    <t>Vanková, I (corresponding author), British Antarctic Survey, Nat Environm Res Council, Cambridge, England.</t>
  </si>
  <si>
    <t>irkova@bas.ac.uk</t>
  </si>
  <si>
    <t>New York University Abu Dhabi [G1204]; NASA Jet Propulsion Laboratory Oceans Melting Greenland (OMG) program; NSF [ARC-1304137, ANT-0424589, AGS-1338832, PLR-1443190, NSF-NERC-PLR-1738934]; Heising-Simons Foundation [2018-0769]; European Union's Horizon 2020 research and innovation programme under the Marie Sklodowska-Curie grant [790062]; NERC [bas0100033] Funding Source: UKRI; Marie Curie Actions (MSCA) [790062] Funding Source: Marie Curie Actions (MSCA)</t>
  </si>
  <si>
    <t>New York University Abu Dhabi; NASA Jet Propulsion Laboratory Oceans Melting Greenland (OMG) program; NSF(National Science Foundation (NSF)); Heising-Simons Foundation; European Union's Horizon 2020 research and innovation programme under the Marie Sklodowska-Curie grant(Marie Curie Actions); NERC(UK Research &amp; Innovation (UKRI)Natural Environment Research Council (NERC)); Marie Curie Actions (MSCA)(Marie Curie Actions)</t>
  </si>
  <si>
    <t>We are grateful to the support provided from New York University Abu Dhabi through grant G1204, the NASA Jet Propulsion Laboratory Oceans Melting Greenland (OMG) program, NSF grants ARC-1304137, ANT-0424589, AGS-1338832 and PLR-1443190, grant NSF-NERC-PLR-1738934, and Heising-Simons Foundation under grant 2018-0769. This project has received funding from the European Union's Horizon 2020 research and innovation programme under the Marie Sklodowska-Curie grant agreement no. 790062. The ApRES data are too large to be freely stored at a public repository. Therefore, these data are archived at an institutional repository at the New York University's Environmental Fluid Dynamics Laboratory server, and they are freely available upon request to efdl@nyu.edu.We thank two anonymous reviewers for their constructive feedback.</t>
  </si>
  <si>
    <t>PII S0260305520000567</t>
  </si>
  <si>
    <t>10.1017/aog.2020.56</t>
  </si>
  <si>
    <t>WOS:000565350800012</t>
  </si>
  <si>
    <t>King, EC</t>
  </si>
  <si>
    <t>King, Edward C.</t>
  </si>
  <si>
    <t>The precision of radar-derived subglacial bed topography: a case study from Pine Island Glacier, Antarctica</t>
  </si>
  <si>
    <t>Glacier geophysics; glaciological instruments and methods; radio-echo sounding; subglacial exploration geophysics</t>
  </si>
  <si>
    <t>RUTFORD ICE STREAM; WEST ANTARCTICA; THICKNESS; BENEATH; ERRORS; LINEATIONS; LANDFORMS; ALASKA; ZONE</t>
  </si>
  <si>
    <t>Recent advances in the measurement of bedforms beneath active ice streams have been made using ground-based grid profiling using impulse radar systems operating with centre frequencies in the 3-5 MHz range. Surveys of Rutford Ice Stream and Pine Island Glacier have shown that features such as mega-scale glacial lineations with topographic relief of as little as 3 m can be traced for many kilometres downstream under more than 2 km of fast-moving ice. In the discussion of these data, it is often asked 'How is it possible to map such fine-scale topography with such a low-frequency radar'. In answering that question, the key point is the distinction between the precision of a radar range measurement to a single, isolated reflective interface and the ability to resolve the presence of two closely-spaced interfaces of similar reflectivity (commonly referred to as the vertical resolution). This paper will discuss and illustrate this distinction and use the case study of data acquired over Pine Island Glacier to examine the limits of precision of the radar range measurement.</t>
  </si>
  <si>
    <t>[King, Edward C.] British Antarctic Survey, Madingley Rd, Cambridge CB3 0ET, England</t>
  </si>
  <si>
    <t>King, EC (corresponding author), British Antarctic Survey, Madingley Rd, Cambridge CB3 0ET, England.</t>
  </si>
  <si>
    <t>ecki@bas.ac.uk</t>
  </si>
  <si>
    <t>British Antarctic Survey; Natural Environmental Research Council project TIGRIS [NE/B502287/1]; NERC [bas0100034] Funding Source: UKRI</t>
  </si>
  <si>
    <t>British Antarctic Survey; Natural Environmental Research Council project TIGRIS; NERC(UK Research &amp; Innovation (UKRI)Natural Environment Research Council (NERC))</t>
  </si>
  <si>
    <t>This study is part of the British Antarctic Survey program Polar Science for Planet Earth. All data were collected with the support of the British Antarctic Survey. The fieldwork was funded by Natural Environmental Research Council project TIGRIS, grant number NE/B502287/1. I thank all those field assistants, pilots and operations staff who made the fieldwork on Pine Island Glacier possible. I also thank those scientific colleagues who have taken the time to debate these issues in front of posters at various meetings. The data were processed using the ReflexW software from Sandmeier Geophysics and the bed topography was picked, interpolated and displayed in 3D using the PETREL software suite kindly provided by Schlumberger Plc. I thank the two reviewers for their helpful comments.</t>
  </si>
  <si>
    <t>PII S0260305520000336</t>
  </si>
  <si>
    <t>10.1017/aog.2020.33</t>
  </si>
  <si>
    <t>WOS:000565350800017</t>
  </si>
  <si>
    <t>Eisen, O; Winter, A; Steinhage, D; Kleiner, T; Humbert, A</t>
  </si>
  <si>
    <t>Eisen, Olaf; Winter, Anna; Steinhage, Daniel; Kleiner, Thomas; Humbert, Angelika</t>
  </si>
  <si>
    <t>Basal roughness of the East Antarctic Ice Sheet in relation to flow speed and basal thermal state</t>
  </si>
  <si>
    <t>Aerogeophysical measurements; basal ice; ice temperature; ice thickness measurements; radio-echo sounding</t>
  </si>
  <si>
    <t>SUBGLACIAL ROUGHNESS; WATER NETWORKS; BED ROUGHNESS; OLD ICE; BENEATH; MODEL; DOME; TOPOGRAPHY; BOUNDARY; DYNAMICS</t>
  </si>
  <si>
    <t>Basal motion of ice sheets depends in part on the roughness and material properties of the subglacial bed and the occurrence of water. To date, basal motion represents one of the largest uncertainties in ice-flow models. It is that component of the total flow velocity that can change most rapidly and can, therefore, facilitate rapid variations in dynamic behaviour. In this study, we investigate the subglacial properties of the East Antarctic Ice Sheet by statistically analysing the roughness of the bed topography, inferred from radio-echo sounding measurements. We analyse two sets of roughness parameters, one derived in the spatial and the other in the spectral domain, with two roughness parameters each. This enables us to compare the suitability of the four roughness parameters to classify the subglacial landscapes below the ice sheet. We further investigate the relationship of the roughness parameters with observed surface flow velocity and modelled basal temperatures of the ice sheet. We find that one of the roughness parameters, the Hurst exponent derived in the spatial domain, coincides with the thermal condition at the base of the ice sheet for slow flow velocities and varies with flow velocity.</t>
  </si>
  <si>
    <t>[Eisen, Olaf; Winter, Anna; Steinhage, Daniel; Kleiner, Thomas; Humbert, Angelika] Helmholtz Zentrum Polar &amp; Meeresforsch, Alfred Wegener Inst, Bremerhaven, Germany; [Eisen, Olaf; Humbert, Angelika] Univ Bremen, Bremen, Germany</t>
  </si>
  <si>
    <t>Eisen, O (corresponding author), Helmholtz Zentrum Polar &amp; Meeresforsch, Alfred Wegener Inst, Bremerhaven, Germany.;Eisen, O (corresponding author), Univ Bremen, Bremen, Germany.</t>
  </si>
  <si>
    <t>oeisen@awi.de</t>
  </si>
  <si>
    <t>Kleiner, Thomas/F-6821-2015; Eisen, Olaf/K-3846-2012</t>
  </si>
  <si>
    <t>Kleiner, Thomas/0000-0001-7825-5765; Eisen, Olaf/0000-0002-6380-962X; Humbert, Angelika/0000-0002-0244-8760</t>
  </si>
  <si>
    <t>German Federal Ministry of Education and Research (BMBF) as Research for Sustainability initiative (FONA) [FKZ: 01LP1511B]</t>
  </si>
  <si>
    <t>German Federal Ministry of Education and Research (BMBF) as Research for Sustainability initiative (FONA)(Federal Ministry of Education &amp; Research (BMBF))</t>
  </si>
  <si>
    <t>We thank Franz-Fabian Bellot and Eythor Gudlaugsson for their contributions while developing this work in its early stages. We acknowledge Emerson E&amp;P Software, Emerson Automation Solutions, for providing licenses for Paradigm in the scope of the Emerson Academic Program, which was used to analyse radar data. The work of T.K. has been conducted in the framework of the PalMod project (FKZ: 01LP1511B), supported by the German Federal Ministry of Education and Research (BMBF) as Research for Sustainability initiative (FONA). We thank all individuals and institutions for making their data used in this study freely available and Tom Jordan (Bristol) and Bryn Hubbard (Aberystwyth) for extensive, critical and very constructive comments on an earlier version of the manuscript.</t>
  </si>
  <si>
    <t>PII S0260305520000476</t>
  </si>
  <si>
    <t>10.1017/aog.2020.47</t>
  </si>
  <si>
    <t>WOS:000565350800018</t>
  </si>
  <si>
    <t>Hills, BH; Christianson, K; Holschuh, N</t>
  </si>
  <si>
    <t>Hills, Benjamin H.; Christianson, Knut; Holschuh, Nicholas</t>
  </si>
  <si>
    <t>A framework for attenuation method selection evaluated with ice-penetrating radar data at South Pole Lake</t>
  </si>
  <si>
    <t>Antarctic glaciology; glacier geophysics; ice temperature; radio-echo sounding; subglacial lakes</t>
  </si>
  <si>
    <t>THWAITES GLACIER; BASAL CONDITIONS; WEST ANTARCTICA; GROUNDING-ZONE; SHEAR-MARGIN; STREAM; CORE; TEMPERATURE; GREENLAND; PROFILES</t>
  </si>
  <si>
    <t>All radar power interpretations require a correction for attenuative losses. Moreover, radar attenuation is a proxy for ice-column properties, such as temperature and chemistry. Prior studies use either paired thermodynamic and conductivity models or the radar data themselves to calculate attenuation, but there is no standard method to do so; and, before now, there has been no robust methodological comparison. Here, we develop a framework meant to guide the implementation of empirical attenuation methods based on survey design and regional glaciological conditions. We divide the methods into the three main groups: (1) those that infer attenuation from a single reflector across many traces; (2) those that infer attenuation from multiple reflectors within one trace; and (3) those that infer attenuation by contrasting the measured power from primary and secondary reflections. To assess our framework, we introduce a new ground-based radar survey from South Pole Lake, comparing selected empirical methods to the expected attenuation from a temperature- and chemistry-dependent Arrhenius model. Based on the small surveyed area, lack of a sufficient calibration surface and low reflector relief, the attenuation methods that use multiple reflectors are most suitable at South Pole Lake.</t>
  </si>
  <si>
    <t>[Hills, Benjamin H.; Christianson, Knut; Holschuh, Nicholas] Univ Washington, Dept Earth &amp; Space Sci, Seattle, WA 98195 USA; [Hills, Benjamin H.] Univ Washington, Appl Phys Lab, Polar Sci Ctr, Seattle, WA 98105 USA; [Holschuh, Nicholas] Amherst Coll, Dept Geol, Amherst, MA 01002 USA</t>
  </si>
  <si>
    <t>University of Washington; University of Washington Seattle; University of Washington; University of Washington Seattle; Amherst College</t>
  </si>
  <si>
    <t>Hills, BH (corresponding author), Univ Washington, Dept Earth &amp; Space Sci, Seattle, WA 98195 USA.;Hills, BH (corresponding author), Univ Washington, Appl Phys Lab, Polar Sci Ctr, Seattle, WA 98105 USA.</t>
  </si>
  <si>
    <t>bhills@uw.edu</t>
  </si>
  <si>
    <t>Hills, Benjamin/HKW-4327-2023</t>
  </si>
  <si>
    <t>Hills, Benjamin/0000-0003-4490-7416; Holschuh, Nicholas/0000-0003-1703-5085</t>
  </si>
  <si>
    <t>National Science Foundation Office of Polar Programs [1744649, 1643353]; Directorate For Geosciences; Office of Polar Programs (OPP) [1744649] Funding Source: National Science Foundation; Office of Polar Programs (OPP); Directorate For Geosciences [1643353]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</si>
  <si>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</si>
  <si>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We thank Joseph MacGregor and two anonymous reviewers for their thoughtful comments that significantly improved this manuscript. Radar data are accessible through the University of Washington's Research Works Archive at http://hdl.handle.net/1773/45293. Code for data processing and analysis are available at https://github.com/dlilien/ImpDAR. The National Science Foundation Office of Polar Programs grants 1744649 and 1643353 supported this work.</t>
  </si>
  <si>
    <t>PII S0260305520000324</t>
  </si>
  <si>
    <t>10.1017/aog.2020.32</t>
  </si>
  <si>
    <t>WOS:000565350800019</t>
  </si>
  <si>
    <t>Ross, N; Siegert, M</t>
  </si>
  <si>
    <t>Ross, Neil; Siegert, Martin</t>
  </si>
  <si>
    <t>Basal melting over Subglacial Lake Ellsworth and its catchment: insights from englacial layering</t>
  </si>
  <si>
    <t>Antarctic glaciology; basal melt; radio-echo sounding; subglacial lakes</t>
  </si>
  <si>
    <t>ICE-SHEET; WEST ANTARCTICA; ELEVATION MODEL; FLOW; VOSTOK; BENEATH; CONCORDIA; ORIGIN; STREAM</t>
  </si>
  <si>
    <t>Deep-water 'stable' subglacial lakes likely contain microbial life adapted in isolation to extreme environmental conditions. How water is supplied into a subglacial lake, and how water outflows, is important for understanding these conditions. Isochronal radio-echo layers have been used to infer where melting occurs above Lake Vostok and Lake Concordia in East Antarctica but have not been used more widely. We examine englacial layers above and around Lake Ellsworth, West Antarctica, to establish where the ice sheet is 'drawn down' towards the bed and, thus, experiences melting. Layer drawdown is focused over and around the northwest parts of the lake as ice, flowing obliquely to the lake axis becomes afloat. Drawdown can be explained by a combination of basal melting and the Weertman effect, at the transition from grounded to floating ice. We evaluate the importance of these processes on englacial layering over Lake Ellsworth and discuss implications for water circulation and sediment deposition. We report evidence of a second subglacial lake near the head of the hydrological catchment and present a new high-resolution bed DEM and hydropotential model of the lake outlet zone. These observations provide insight into the connectivity between Lake Ellsworth and the wider subglacial hydrological system.</t>
  </si>
  <si>
    <t>[Ross, Neil] Newcastle Univ, Sch Geog Polit &amp; Sociol, Newcastle Upon Tyne, Tyne &amp; Wear, England; [Siegert, Martin] Imperial Coll London, Grantham Inst, London, England</t>
  </si>
  <si>
    <t>Newcastle University - UK; Imperial College London</t>
  </si>
  <si>
    <t>neil.ross@ncl.ac.uk</t>
  </si>
  <si>
    <t>Siegert, Martin/M-9939-2019; Facility, NERC Geophysical Equipment/G-5260-2010</t>
  </si>
  <si>
    <t>Siegert, Martin/0000-0002-0090-4806;</t>
  </si>
  <si>
    <t>Natural Environment Research Council (NERC) Antarctic Funding Initiative (AFI) [NE/D008751/1, NE/D009200/1, NE/D008638/1]; NERC [NE/D008751/1, NE/D008638/1, NE/D009200/1] Funding Source: UKRI</t>
  </si>
  <si>
    <t>Natural Environment Research Council (NERC) Antarctic Funding Initiative (AFI)(UK Research &amp; Innovation (UKRI)Natural Environment Research Council (NERC)); NERC(UK Research &amp; Innovation (UKRI)Natural Environment Research Council (NERC))</t>
  </si>
  <si>
    <t>This work was funded by the Natural Environment Research Council (NERC) Antarctic Funding Initiative (AFI) grants NE/D008751/1, NE/D009200/1, and NE/D008638/1. We thank the British Antarctic Survey for logistics support, NERC Geophysical Equipment Facility for equipment (loans 838, 870), and Dan Fitzgerald and Dave Routledge for excellent fieldwork support. We are grateful to Richard Hindmarsh for productive discussions on the likely processes influencing englacial layer geometry over Subglacial Lake Ellsworth, Ed King for the emergency loan of his DELORES1 radar in the 07/08 field season, and to Hugh Corr and Mark Maltby for the design and build of DELORES2. John Woodward and Andy Smith are thanked for their support, guidance and readings of the poetry of William McGonagall during the 07/08 SLE field season. Knut Christianson (Scientific Editor), Gwendolyn Leysinger Vieli and Elisa Mantelli are thanked for their helpful, supportive and constructive reviews that considerably improved the paper. Aspects of this work were inspired and motivated by the Scientific Committee for Antarctic Research (SCAR) AntArchitecture community.</t>
  </si>
  <si>
    <t>PII S0260305520000506</t>
  </si>
  <si>
    <t>10.1017/aog.2020.50</t>
  </si>
  <si>
    <t>WOS:000565350800021</t>
  </si>
  <si>
    <t>Elsworth, CW; Schroeder, DM; Siegfried, MR</t>
  </si>
  <si>
    <t>Elsworth, Cooper W.; Schroeder, Dustin M.; Siegfried, Matthew R.</t>
  </si>
  <si>
    <t>Interpreting englacial layer deformation in the presence of complex ice flow history with synthetic radargrams</t>
  </si>
  <si>
    <t>Ice dynamics; ice streams; radio-echo sounding</t>
  </si>
  <si>
    <t>STICKY SPOTS; TRACER TRANSPORT; SUBGLACIAL LAKES; HIGHER-ORDER; STREAM-B; SHEET; ANTARCTICA; DYNAMICS; MODEL; FOLDS</t>
  </si>
  <si>
    <t>Fast ice flow on the Antarctic continent constitutes much of the mass loss from the ice sheet. However, geophysical methods struggle to constrain ice flow history at depth, or separate the signatures of topography, ice dynamics and basal conditions on layer structure. We develop and demonstrate a methodology to compare layer signatures in multiple airborne radar transects in order to characterize ice flow at depth, or improve coverage of existing radar surveys. We apply this technique to generate synthetic, along-flow radargrams and compare different deformation regimes to observed radargram structure. Specifically, we investigate flow around the central sticky spot of Whillans Ice Stream, West Antarctica. Our study suggests that present-day velocity flowlines are insufficient to characterize flow at depth as expressed in layer geometry, and streaklines provide a better characterization of flow around a basal sticky spot. For Whillans Ice Stream, this suggests that ice flow wraps around the central sticky spot, supported by idealized flow simulations. While tracking isochrone translation and rotation across survey lines is complex, we demonstrate that our approach to combine radargram interpretation and modeling can reveal critical details of past ice flow.</t>
  </si>
  <si>
    <t>[Elsworth, Cooper W.; Schroeder, Dustin M.; Siegfried, Matthew R.] Stanford Univ, Dept Geophys, Stanford, CA 94305 USA; [Schroeder, Dustin M.] Stanford Univ, Dept Elect Engn, Stanford, CA 94305 USA; [Siegfried, Matthew R.] Colorado Sch Mines, Dept Geophys, Golden, CO 80401 USA</t>
  </si>
  <si>
    <t>Stanford University; Stanford University; Colorado School of Mines</t>
  </si>
  <si>
    <t>Elsworth, CW (corresponding author), Stanford Univ, Dept Geophys, Stanford, CA 94305 USA.</t>
  </si>
  <si>
    <t>cooper.elsworth@gmail.com</t>
  </si>
  <si>
    <t>Schroeder, Dustin/0000-0003-1916-3929</t>
  </si>
  <si>
    <t>NSF CAREER award; George Thompson Postdoctoral Fellowship at Stanford University</t>
  </si>
  <si>
    <t>NSF CAREER award(National Science Foundation (NSF)NSF - Office of the Director (OD)); George Thompson Postdoctoral Fellowship at Stanford University</t>
  </si>
  <si>
    <t>This research was partially supported by an NSF CAREER award and the George Thompson Postdoctoral Fellowship at Stanford University. The authors thank CReSIS for the radar data analyzed here (Paden and others, 2014). The authors also thank anonymous reviewers for comments that greatly improved the manuscript. This code developed in this paper is available open-source under the GNU General Public License, version 3 on the SIGMA research group (SImulations of Geophysical Multi-phAse flows) webpage (https://pangea.stanford.edu/researchgroups/sigma/sigmagitlab).The code is hosted by Stanford University's Center for Computational Earth and Environmental Science (CEES) through the GitLab repository manager.</t>
  </si>
  <si>
    <t>PII S0260305519000417</t>
  </si>
  <si>
    <t>10.1017/aog.2019.41</t>
  </si>
  <si>
    <t>WOS:000565350800022</t>
  </si>
  <si>
    <t>Delf, R; Schroeder, DM; Curtis, A; Giannopoulos, A; Bingham, RG</t>
  </si>
  <si>
    <t>Delf, Richard; Schroeder, Dustin M.; Curtis, Andrew; Giannopoulos, Antonios; Bingham, Robert G.</t>
  </si>
  <si>
    <t>A comparison of automated approaches to extracting englacial-layer geometry from radar data across ice sheets</t>
  </si>
  <si>
    <t>Radio-echo sounding; glacier geophysics; Antarctic glaciology</t>
  </si>
  <si>
    <t>WEST ANTARCTICA; DOME C; EAST ANTARCTICA; SOUNDING DATA; ACCUMULATION; STRATIGRAPHY; REFLECTORS; SLOPE; CORE; FLOW</t>
  </si>
  <si>
    <t>Radar surveys across ice sheets typically measure numerous englacial layers that can often be regarded as isochrones. Such layers are valuable for extrapolating age-depth relationships away from ice-core locations, reconstructing palaeoaccumulation variability, and investigating past ice-sheet dynamics. However, the use of englacial layers in Antarctica has been hampered by underdeveloped techniques for characterising layer continuity and geometry over large distances, with techniques developed independently and little opportunity for inter-comparison of results. In this paper, we present a methodology to assess the performance of automated layer-tracking and layer-dip-estimation algorithms through their ability to propagate a correct age-depth model. We use this to assess isochrone-tracking techniques applied to two test case datasets, selected from CreSIS MCoRDS data over Antarctica from a range of environments including low-dip, continuous layers and layers with terminations. We find that dip-estimation techniques are generally successful in tracking englacial dip but break down in the upper and lower regions of the ice sheet. The results of testing two previously published layer-tracking algorithms show that further development is required to attain a good constraint of age-depth relationships away from dated ice cores. We recommend that auto-tracking techniques focus on improved linking of picked stratigraphy across signal disruptions to enable accurate determination of the Antarctic-wide age-depth structure.</t>
  </si>
  <si>
    <t>[Delf, Richard; Curtis, Andrew; Bingham, Robert G.] Univ Edinburgh, Sch GeoSci, Edinburgh, Midlothian, Scotland; [Delf, Richard] Univ Ctr Svalbard, Dept Arctic Geol, Longyearbyen, Norway; [Schroeder, Dustin M.] Stanford Univ, Dept Geophys, Stanford, CA 94305 USA; [Giannopoulos, Antonios] Univ Edinburgh, Sch Engn, Edinburgh, Midlothian, Scotland</t>
  </si>
  <si>
    <t>University of Edinburgh; University Centre Svalbard (UNIS); Stanford University; University of Edinburgh</t>
  </si>
  <si>
    <t>Delf, R (corresponding author), Univ Edinburgh, Sch GeoSci, Edinburgh, Midlothian, Scotland.;Delf, R (corresponding author), Univ Ctr Svalbard, Dept Arctic Geol, Longyearbyen, Norway.</t>
  </si>
  <si>
    <t>r.delf@ed.ac.uk</t>
  </si>
  <si>
    <t>Bingham, Robert G/G-3576-2017</t>
  </si>
  <si>
    <t>Delf, Richard/0000-0001-8407-2420; Schroeder, Dustin/0000-0003-1916-3929</t>
  </si>
  <si>
    <t>U.K.'s Natural Environment Research Council via RD's scholarship in the Edinburgh E3 Doctoral Training Partnership [NE/L002558/1]; Scottish Alliance for Geoscience, Environment and Society (SAGES) via a Postdoctoral Early Career Research Exchange (PECRE); NSF CAREER award; Trans-Antarctic Association [TAA-04-19]; University of Kansas; NSF [ANT-0424589]; NASA Operation IceBridge grant [NNX16AH54G]</t>
  </si>
  <si>
    <t>U.K.'s Natural Environment Research Council via RD's scholarship in the Edinburgh E3 Doctoral Training Partnership; Scottish Alliance for Geoscience, Environment and Society (SAGES) via a Postdoctoral Early Career Research Exchange (PECRE); NSF CAREER award(National Science Foundation (NSF)NSF - Office of the Director (OD)); Trans-Antarctic Association; University of Kansas; NSF(National Science Foundation (NSF)); NASA Operation IceBridge grant</t>
  </si>
  <si>
    <t>This paper was stimulated by the AntArchitecture Action Group of the Scientific Committee for Antarctic Research. RD and RGB acknowledge funding from the U.K.'s Natural Environment Research Council via RD's scholarship in the Edinburgh E3 Doctoral Training Partnership (NE/L002558/1) and the Scottish Alliance for Geoscience, Environment and Society (SAGES) via a Postdoctoral Early Career Research Exchange (PECRE) for RD to work with DMS at Stanford University. DMS was partially supported by an NSF CAREER award. We also acknowledge support from the Trans-Antarctic Association (Small Grant TAA-04-19) that allowed RD to present the work at the IGS Radioglaciology Symposium associated with this volume. We acknowledge the use of data and/or data products from CReSIS generated with support from the University of Kansas, NSF grant ANT-0424589, and NASA Operation IceBridge grant NNX16AH54G. We thank Martin Siegert, Hester Jiskoot and one anonymous reviewer for their comments on this paper.</t>
  </si>
  <si>
    <t>PII S0260305520000427</t>
  </si>
  <si>
    <t>10.1017/aog.2020.42</t>
  </si>
  <si>
    <t>WOS:000565350800025</t>
  </si>
  <si>
    <t>Goldberg, ML; Schroeder, DM; Castelletti, D; Mantelli, E; Ross, N; Siegert, MJ</t>
  </si>
  <si>
    <t>Goldberg, Madison L.; Schroeder, Dustin M.; Castelletti, Davide; Mantelli, Elisa; Ross, Neil; Siegert, Martin J.</t>
  </si>
  <si>
    <t>Automated detection and characterization of Antarctic basal units using radar sounding data: demonstration in Institute Ice Stream, West Antarctica</t>
  </si>
  <si>
    <t>Antarctic glaciology; basal ice; glaciological instruments and methods; radio-echo sounding</t>
  </si>
  <si>
    <t>THWAITES GLACIER; GREENLAND ICE; SHEET; FLOW; SURFACE; BED; BENEATH; ZONE</t>
  </si>
  <si>
    <t>Basal units - visibly distinct englacial structures near the ice-bed interface - warrant investigation for a number of reasons. Many are of unknown composition and origin, characteristics that could provide substantial insight into subglacial processes and ice-sheet history. Their significance, moreover, is not limited to near-bed depths; these units appear to dramatically influence the flow of surrounding ice. In order to enable improved characterization of these features, we develop and apply an algorithm that allows for the automatic detection of basal units. We use a tunable layer-optimized SAR processor to distinguish these structures from the bed, isochronous englacial layers and the ice-sheet surface, presenting a conceptual framework for the use of radio-echo character in the identification of ice-sheet features. We also outline a method by which our processor could be used to place observational constraints on basal units' configuration, composition and provenance.</t>
  </si>
  <si>
    <t>[Goldberg, Madison L.] Harvard Univ, Dept Earth &amp; Planetary Sci, 20 Oxford St, Cambridge, MA 02138 USA; [Goldberg, Madison L.; Schroeder, Dustin M.; Castelletti, Davide; Mantelli, Elisa] Stanford Univ, Dept Geophys, Stanford, CA 94305 USA; [Schroeder, Dustin M.] Stanford Univ, Dept Elect Engn, Stanford, CA 94305 USA; [Mantelli, Elisa] Princeton Univ, Atmospher &amp; Ocean Sci Program, Princeton, NJ 08544 USA; [Ross, Neil] Newcastle Univ, Sch Geog Polit &amp; Sociol, Newcastle Upon Tyne, Tyne &amp; Wear, England; [Siegert, Martin J.] Imperial Coll London, Grantham Inst, London, England; [Siegert, Martin J.] Imperial Coll London, Dept Earth Sci &amp; Engn, London, England</t>
  </si>
  <si>
    <t>Harvard University; Stanford University; Stanford University; National Oceanic Atmospheric Admin (NOAA) - USA; Princeton University; Newcastle University - UK; Imperial College London; Imperial College London</t>
  </si>
  <si>
    <t>Goldberg, ML (corresponding author), Harvard Univ, Dept Earth &amp; Planetary Sci, 20 Oxford St, Cambridge, MA 02138 USA.;Goldberg, ML (corresponding author), Stanford Univ, Dept Geophys, Stanford, CA 94305 USA.</t>
  </si>
  <si>
    <t>madisongoldberg@college.harvard.edu</t>
  </si>
  <si>
    <t>Goldberg, Madison/GQR-1046-2022; Siegert, Martin/M-9939-2019; MANTELLI, ELISA/G-4965-2018</t>
  </si>
  <si>
    <t>Siegert, Martin/0000-0002-0090-4806; Goldberg, Madison/0000-0003-3850-1428; Schroeder, Dustin/0000-0003-1916-3929; MANTELLI, ELISA/0000-0001-5096-7998</t>
  </si>
  <si>
    <t>NERC [NE/K004956/2] Funding Source: UKRI</t>
  </si>
  <si>
    <t>PII S0260305520000270</t>
  </si>
  <si>
    <t>10.1017/aog.2020.27</t>
  </si>
  <si>
    <t>WOS:000565350800026</t>
  </si>
  <si>
    <t>van Gestel, NC; Ducklow, HW; Baath, E</t>
  </si>
  <si>
    <t>van Gestel, Natasja C.; Ducklow, Hugh W.; Baath, Erland</t>
  </si>
  <si>
    <t>Comparing temperature sensitivity of bacterial growth in Antarctic marine water and soil</t>
  </si>
  <si>
    <t>Antarctica; bacterial growth; global change; marine; Q(10); soil; temperature sensitivity; T-min</t>
  </si>
  <si>
    <t>LEUCINE INCORPORATION; ORGANIC-MATTER; PROTEIN-SYNTHESIS; SEA-ICE; ADAPTATION; COMMUNITIES; PENINSULA; THYMIDINE; DECOMPOSITION; RESPIRATION</t>
  </si>
  <si>
    <t>The western Antarctic Peninsula is an extreme low temperature environment that is warming rapidly due to global change. Little is known, however, on the temperature sensitivity of growth of microbial communities in Antarctic soils and in the surrounding oceanic waters. This is the first study that directly compares temperature adaptation of adjacent marine and terrestrial bacteria in a polar environment. The bacterial communities in the ocean were adapted to lower temperatures than those from nearby soil, with cardinal temperatures for growth in the ocean being the lowest so far reported for microbial communities. This was reflected in lower minimum (T-min) and optimum temperatures (T-opt) for growth in water (-17 and +20 degrees C, respectively) than in soil (-11 and +27 degrees C), with lower sensitivity to changes in temperature (Q(10); 0-10 degrees C interval) in Antarctic water (2.7) than in soil (3.9). This is likely due to the more stable low temperature conditions of Antarctic waters than soils, and the fact that maximum in situ temperatures in water are lower than in soils, at least in summer. Importantly, the thermally stable environment of Antarctic marine water makes it feasible to create a single temperature response curve for bacterial communities. This would thus allow for calculations of temperature-corrected growth rates, and thereby quantifying the influence of factors other than temperature on observed growth rates, as well as predicting the effects of future temperature increases on Antarctic marine bacteria.</t>
  </si>
  <si>
    <t>[van Gestel, Natasja C.] Texas Tech Univ, Dept Biol Sci, Lubbock, TX 79409 USA; [Ducklow, Hugh W.] Columbia Univ, Lamont Doherty Earth Observ, Palisades, NY USA; [Baath, Erland] Lund Univ, Dept Biol, Microbial Ecol, Ecol Bldg, Lund, Sweden</t>
  </si>
  <si>
    <t>Texas Tech University System; Texas Tech University; Columbia University; Lund University</t>
  </si>
  <si>
    <t>van Gestel, NC (corresponding author), Texas Tech Univ, Dept Biol Sci, Lubbock, TX 79409 USA.</t>
  </si>
  <si>
    <t>natasja.van-gestel@ttu.edu</t>
  </si>
  <si>
    <t>Baath, Erland/0000-0002-2616-1342</t>
  </si>
  <si>
    <t>National Science Foundation [PLR-1440435] Funding Source: Medline</t>
  </si>
  <si>
    <t>10.1111/gcb.15020</t>
  </si>
  <si>
    <t>NG8TI</t>
  </si>
  <si>
    <t>WOS:000564253200027</t>
  </si>
  <si>
    <t>Camara, PEAS; Carvalho-Silva, M</t>
  </si>
  <si>
    <t>Camara, Paulo E. A. S.; Carvalho-Silva, Micheline</t>
  </si>
  <si>
    <t>180 years of botanical investigations in Antarctica and the role of Brazil</t>
  </si>
  <si>
    <t>ACTA BOTANICA BRASILICA</t>
  </si>
  <si>
    <t>Antarctic Treaty; botany; Brazil; JD Hooker; PROANTAR</t>
  </si>
  <si>
    <t>REGIONAL BRYOPHYTE RECORDS; DIVERSITY; ISLAND</t>
  </si>
  <si>
    <t>Botany is one of the oldest sciences done above the 60 degrees S parallel with more than 180 years passing since the first professional botanist collected plants in Antarctica. Far from being a barren place, plants constitute an important part of polar ecosystems. Brazil is one of only 29 countries in the world with consultative status and to currently develop botanical studies in Antarctica. We discuss the importance of polar science to Brazil and the role that Brazil has in the international austral-polar scientific community, as well as the importance of its newly inaugurated scientific station.</t>
  </si>
  <si>
    <t>[Camara, Paulo E. A. S.; Carvalho-Silva, Micheline] Univ Brasilia, Dept Bot, Campus Univ Darcy Ribeiro, BR-70910900 Brasilia, DF, Brazil; [Camara, Paulo E. A. S.; Carvalho-Silva, Micheline] PROANTAR, Programa Antartico Brasileiro, Brasilia, DF, Brazil</t>
  </si>
  <si>
    <t>Universidade de Brasilia</t>
  </si>
  <si>
    <t>Camara, PEAS (corresponding author), Univ Brasilia, Dept Bot, Campus Univ Darcy Ribeiro, BR-70910900 Brasilia, DF, Brazil.;Camara, PEAS (corresponding author), PROANTAR, Programa Antartico Brasileiro, Brasilia, DF, Brazil.</t>
  </si>
  <si>
    <t>paducamara@gmail.com</t>
  </si>
  <si>
    <t>Camara, Paulo/0000-0002-3944-996X; Silva, Micheline/0000-0002-2389-3804</t>
  </si>
  <si>
    <t>SOC BOTANICA BRASIL</t>
  </si>
  <si>
    <t>SAO PAULO SP</t>
  </si>
  <si>
    <t>CAIXA POSTAL 3005, SAO PAULO SP, 01061-970, BRAZIL</t>
  </si>
  <si>
    <t>0102-3306</t>
  </si>
  <si>
    <t>1677-941X</t>
  </si>
  <si>
    <t>ACTA BOT BRAS</t>
  </si>
  <si>
    <t>Acta Bot. Bras.</t>
  </si>
  <si>
    <t>APR-JUN</t>
  </si>
  <si>
    <t>10.1590/0102-33062020abb0172</t>
  </si>
  <si>
    <t>MX0OQ</t>
  </si>
  <si>
    <t>WOS:000557428500018</t>
  </si>
  <si>
    <t>Luo, K; Liu, SX; Guo, JX; Wang, TT; Li, L; Cui, XB; Sun, B; Tang, XY</t>
  </si>
  <si>
    <t>Luo, Kun; Liu, Sixin; Guo, Jingxue; Wang, Tiantian; Li, Lin; Cui, Xiangbin; Sun, Bo; Tang, Xueyuan</t>
  </si>
  <si>
    <t>Radar-Derived Internal Structure and Basal Roughness Characterization along a Traverse from Zhongshan Station to Dome A, East Antarctica</t>
  </si>
  <si>
    <t>ice-penetrating radar (IPR); East Antarctica; internal layering continuity index (ILCI); roughness; ice dynamics</t>
  </si>
  <si>
    <t>PINE ISLAND GLACIER; ICE-SHEET DYNAMICS; SURFACE MASS-BALANCE; DRONNING MAUD LAND; SUBGLACIAL TOPOGRAPHY; WEST ANTARCTICA; BED ROUGHNESS; OLD ICE; THICKNESS; STRATIGRAPHY</t>
  </si>
  <si>
    <t>The internal layers of ice sheets from ice-penetrating radar (IPR) investigation preserve critical information about the ice-flow field and englacial conditions. This paper presents a new detailed analysis of spatial distribution characteristics of internal layers and subglacial topography of the East Antarctic ice sheet (EAIS) from Zhongshan Station to Dome A. The radar data of 1244 km along a traverse between Zhongshan Station and Dome A of EAIS were collected during the 29th Chinese National Antarctic Research Expedition (CHINARE 29, 2012/2013). In this study, the Internal Layering Continuity Index (ILCI) and basal roughness were taken as indicators to provide an opportunity to evaluate the past internal environment and dynamics of the ice sheet. Except for the upstream of Lambert Glacier, the fold patterns of internal layers are basically similar to that of the bed topography. The relatively flat basal topography and the decrease of ILCI with increasing depth provide evidence for identifying previous rapid ice flow areas that are unavailable to satellites, especially in the upstream of Lambert Glacier. Continuous internal layers of Dome A, recording the spatial change of past ice accumulation and ice-flow history over 160 ka, almost extend to the bed, with high ILCI and high basal roughness of the corresponding bed topography. There are three kinds of basal roughness patterns along the traverse, that is, low xi (t) low eta, low xi (t) high eta, and high xi (t) high eta, where xi (t) represents the amplitude of the undulations, and quantifies the vertical variation of the bedrock, and eta measures the frequency variation of fluctuations and the horizontal irregularity of the profile. The characteristics of internal layers and basal topography of the traverse between Zhongshan Station and Dome A provide new information for understanding the ancient ice-flow activity and the historical evolution of EAIS.</t>
  </si>
  <si>
    <t>[Luo, Kun; Liu, Sixin] Jilin Univ, Coll Geoexplorat Sci &amp; Technol, Changchun 130026, Peoples R China; [Luo, Kun; Guo, Jingxue; Li, Lin; Cui, Xiangbin; Sun, Bo; Tang, Xueyuan] Polar Res Inst China, State Ocean Adm Key Lab Polar Sci, Shanghai 200136, Peoples R China; [Wang, Tiantian] Shandong Agr Univ, Coll Informat Sci &amp; Engn, Dept Survey Sci &amp; Engn, Tai An 271018, Shandong, Peoples R China</t>
  </si>
  <si>
    <t>Jilin University; Polar Research Institute of China; Shandong Agricultural University</t>
  </si>
  <si>
    <t>Tang, XY (corresponding author), Polar Res Inst China, State Ocean Adm Key Lab Polar Sci, Shanghai 200136, Peoples R China.</t>
  </si>
  <si>
    <t>luokun17@mails.jlu.edu.cn; liusixin@jlu.edu.cn; guojingxue@pric.org.cn; wtt@sdau.edu.cn; lilin@pric.org.cn; cuixiangbin@pric.org.cn; sunbo@pric.org.cn; tangxueyuan@pric.org.cn</t>
  </si>
  <si>
    <t>Luo, Kun/HNQ-1811-2023; sun, bo/JFA-9978-2023; Liu, Sixin/ABD-2081-2020</t>
  </si>
  <si>
    <t>Liu, Sixin/0000-0002-6660-6780; Luo, Kun/0000-0002-1879-9100</t>
  </si>
  <si>
    <t>National Natural Science Foundation of China [41876230, 41876227, 41776186, 41730102, 41941006]; Chinese Polar Environmental Comprehensive Investigation and Assessment Programs [CHINARE 2017-02-02]</t>
  </si>
  <si>
    <t>National Natural Science Foundation of China(National Natural Science Foundation of China (NSFC)); Chinese Polar Environmental Comprehensive Investigation and Assessment Programs</t>
  </si>
  <si>
    <t>This study is supported by the National Natural Science Foundation of China (Nos. 41876230, 41876227, 41776186, 41730102, 41941006) and the Chinese Polar Environmental Comprehensive Investigation and Assessment Programs (CHINARE 2017-02-02).</t>
  </si>
  <si>
    <t>10.3390/rs12071079</t>
  </si>
  <si>
    <t>LU4EF</t>
  </si>
  <si>
    <t>WOS:000537709600029</t>
  </si>
  <si>
    <t>Wang, XW; Holland, DM</t>
  </si>
  <si>
    <t>Wang, Xianwei; Holland, David M.</t>
  </si>
  <si>
    <t>An Automatic Method for Black Margin Elimination of Sentinel-1A Images over Antarctica</t>
  </si>
  <si>
    <t>Sentinel-1A; black margin; extra wide swath; interferometric wide swath; edge detector; synthetic aperture radar</t>
  </si>
  <si>
    <t>SNOW; ICE; MISSION; OCEAN</t>
  </si>
  <si>
    <t>The Sentinel-1A satellite was launched in April 2014 with a primary C-Band terrain observation with progressive scans synthetic aperture radar (TOPSAR) onboard and has collected plenty of high-quality images for global change studies. However, low magnitude signals around image margins (black margins) does not preserve the normal standard level, influencing the potential usage with these data. Through image analysis, we find that the signal from black margin (BM) is highly dominated by the closest effective signals and the signal in BM shows an increasing trend along the direction from image boundary to image center. An edge detector is developed based on the signal characteristics of BM. Furthermore, an automatic method to discriminate and eliminate BM is designed. Images from both extra wide (EW) and interferometric wide (IW) swath observation modes, covering the land, ocean, and coast of the Antarctic, are taken to verify the robustness of our method. Through comparison with BM edges extracted by human interpretation, our method has the maximum BM edge extraction error of 1.9 +/- 3.2 pixels. When considering perimeter (or area) difference along radial direction of BM edge, our method has an averaging extraction accuracy of -0.35 +/- 0.11 (or 0.14 +/- 1.38) pixels, which suggests that our method is effective and can be potentially used to eliminate BM for multidisciplinary applications of Sentinel-1 data.</t>
  </si>
  <si>
    <t>[Wang, Xianwei; Holland, David M.] New York Univ Abu Dhabi, Ctr Global Sea Level Change, Abu Dhabi 129188, U Arab Emirates; [Holland, David M.] New York Univ, Courant Inst Math Sci, New York, NY 10012 USA</t>
  </si>
  <si>
    <t>New York University Abu Dhabi; New York University</t>
  </si>
  <si>
    <t>Wang, XW (corresponding author), New York Univ Abu Dhabi, Ctr Global Sea Level Change, Abu Dhabi 129188, U Arab Emirates.</t>
  </si>
  <si>
    <t>wangxianwei0304@163.com; david.holland@nyu.edu</t>
  </si>
  <si>
    <t>wang, xianwei/0000-0002-2119-0267</t>
  </si>
  <si>
    <t>Center for Global Sea Level Change (CSLC) of NYU Abu Dhabi [G1204]; NSF International Thwaites Glacier Collaboration [MELT PLR-1739003]; NASA Oceans Melting Greenland (OMG) [NNX15AD55G]; NSF Greenland Seal Tagging [ARC-1304137]; NASA [NNX15AD55G, 808718] Funding Source: Federal RePORTER</t>
  </si>
  <si>
    <t>Center for Global Sea Level Change (CSLC) of NYU Abu Dhabi; NSF International Thwaites Glacier Collaboration; NASA Oceans Melting Greenland (OMG); NSF Greenland Seal Tagging; NASA(National Aeronautics &amp; Space Administration (NASA))</t>
  </si>
  <si>
    <t>This research was funded by Center for Global Sea Level Change (CSLC) of NYU Abu Dhabi (Grant no: G1204), NSF International Thwaites Glacier Collaboration MELT PLR-1739003, NASA Oceans Melting Greenland (OMG) NNX15AD55G, and NSF Greenland Seal Tagging ARC-1304137.</t>
  </si>
  <si>
    <t>10.3390/rs12071175</t>
  </si>
  <si>
    <t>WOS:000537709600125</t>
  </si>
  <si>
    <t>Antonello, A; Howkins, A</t>
  </si>
  <si>
    <t>Antonello, Alessandro; Howkins, Adrian</t>
  </si>
  <si>
    <t>The rise of technocratic environmentalism: the United States, Antarctica, and the globalisation of the environmental impact statement</t>
  </si>
  <si>
    <t>JOURNAL OF HISTORICAL GEOGRAPHY</t>
  </si>
  <si>
    <t>Antarctica; Environmental impact statements; Conservation; Environmental protection; National Environmental Policy Act (NEPA)</t>
  </si>
  <si>
    <t>Environmental impact statements (EISs), and the related environmental impact assessments (EIAs) which precede them, have become central elements of environmental management, governance, and policy worldwide since their introduction in the United States in 1970. Assessing environmental impact has a particular force and centrality within modern Antarctic environmental management and governance too. This article investigates the ways in which the United States used EISs and EIAs in Antarctica between 1970 and 1982 - during their first decade of existence in US law and during a geopolitically and scientifically vibrant decade in Antarctic affairs - as a way of illuminating the broader conceptual and historical aspects of this central, though understudied, environmental governance tool and framework. We historicise and draw attention to the EIS - individually, as a regulatory genre, and as a genre that articulates regional, global and planetary environments - as highly influential and powerful documents demanding attention from environmental historians and historical geographers. We argue that the prominence of EISs in Antarctica arose because they appealed to top-down, process-oriented approaches favoured in Antarctic governance - a technocratic environmentalism - and because of their spatial elements, particularly their tendency to upscaling. (C) 2020 Elsevier Ltd. All rights reserved.</t>
  </si>
  <si>
    <t>[Antonello, Alessandro] Flinders Univ S Australia, Coll Humanities Arts &amp; Social Sci, Sturt Rd, Bedford Pk, SA 5042, Australia; [Howkins, Adrian] Univ Bristol, Dept Hist Studies, Bristol, Avon, England</t>
  </si>
  <si>
    <t>Flinders University South Australia; University of Bristol</t>
  </si>
  <si>
    <t>Antonello, A (corresponding author), Flinders Univ S Australia, Coll Humanities Arts &amp; Social Sci, Sturt Rd, Bedford Pk, SA 5042, Australia.</t>
  </si>
  <si>
    <t>alessandro.antonello@flinders.edu.au; adrian.howkins@bristol.ac.uk</t>
  </si>
  <si>
    <t>Antonello, Alessandro/0000-0002-7549-1436</t>
  </si>
  <si>
    <t>Australian Academy of the Humanities Travelling Grant; Joyce Lambert Antarctic Research Fund of the University of Melbourne; Australian Research Council - Australian Government [DE190100922]; National Science Foundation [1637708, 1443475]; Australian Research Council [DE190100922] Funding Source: Australian Research Council</t>
  </si>
  <si>
    <t>Australian Academy of the Humanities Travelling Grant; Joyce Lambert Antarctic Research Fund of the University of Melbourne; Australian Research Council - Australian Government(Australian Research Council); National Science Foundation(National Science Foundation (NSF)); Australian Research Council(Australian Research Council)</t>
  </si>
  <si>
    <t>This work was supported by an Australian Academy of the Humanities Travelling Grant, a grant from the Joyce Lambert Antarctic Research Fund of the University of Melbourne, an Australian Research Council Discovery Early Career Award (DE190100922) funded by the Australian Government, and National Science Foundation awards 1637708 and 1443475. For reading parts of this work at various stages of development, we thank Elizabeth Leane, Yves Rees, and Kyle Harvey. Thanks also to the members of the McMurdo Dry Valleys Long Term Ecological Research Project and logistical support provided by the US Antarctic Program.</t>
  </si>
  <si>
    <t>0305-7488</t>
  </si>
  <si>
    <t>J HIST GEOGR</t>
  </si>
  <si>
    <t>J. Hist. Geogr.</t>
  </si>
  <si>
    <t>10.1016/j.jhg.2020.03.004</t>
  </si>
  <si>
    <t>Geography; History Of Social Sciences</t>
  </si>
  <si>
    <t>Geography; Social Sciences - Other Topics</t>
  </si>
  <si>
    <t>MG6AP</t>
  </si>
  <si>
    <t>WOS:000546112800007</t>
  </si>
  <si>
    <t>Mironov, EU; Guzenko, RB; Porubaev, VS; Kharitonov, VV; Kornishin, KA; Efimov, YO</t>
  </si>
  <si>
    <t>Mironov, E. U.; Guzenko, R. B.; Porubaev, V. S.; Kharitonov, V. V.; Kornishin, K. A.; Efimov, Ya O.</t>
  </si>
  <si>
    <t>Morphometry and Internal Structure of Stamukhas in the Ice-covered Seas of Russia</t>
  </si>
  <si>
    <t>Ice hummocks; Stamukhas; Morphometry; Internal structure; Ice-covered seas of Russia</t>
  </si>
  <si>
    <t>RIDGES</t>
  </si>
  <si>
    <t>A method for studying stamukhas using the modern field equipment is considered. The peculiarities of morphometric characteristics and parameters of the internal structure of stamukhas are analyzed. The interrelation between the consolidated layer thickness and the accumulated freezing degree days is derived for different seas. The comparative analysis of morphometric characteristics and the consolidated layer in the ice-covered seas of Russia is carried out. It is shown that the formation of stamukhas in different regions has specific features depending on the depth, bottom topography, drift characteristics, ice thickness, and dates of fast ice formation. The maximum thickness of the consolidated layer is registered in the Kara and Laptev seas.</t>
  </si>
  <si>
    <t>[Mironov, E. U.; Guzenko, R. B.; Porubaev, V. S.; Kharitonov, V. V.] Arctic &amp; Antarctic Res Inst, Ul Beringa 38, St Petersburg 199397, Russia; [Kornishin, K. A.] Rosneft, Sofiiskaya Nab 26-1, Moscow 117997, Russia; [Efimov, Ya O.] Arctic Res Ctr, Leninskii Pr 55-1 Str 2, Moscow 119333, Russia</t>
  </si>
  <si>
    <t>Mironov, EU (corresponding author), Arctic &amp; Antarctic Res Inst, Ul Beringa 38, St Petersburg 199397, Russia.</t>
  </si>
  <si>
    <t>mir@aari.ru</t>
  </si>
  <si>
    <t>Mironov, Yevgeny Uarovich/ADV-4713-2022; Porubaev, Viktor/AAQ-2169-2021; Guzenko, Roman/J-3942-2014; Kornishin, Konstantin/AAA-7560-2022</t>
  </si>
  <si>
    <t>Mironov, Yevgeny Uarovich/0000-0001-8390-8011; Kharitonov, Victor/0000-0003-1847-9980</t>
  </si>
  <si>
    <t>Rosneft target innovative program [102]; Russian Foundation for Basic Research [18-05-60109]</t>
  </si>
  <si>
    <t>Rosneft target innovative program; Russian Foundation for Basic Research(Russian Foundation for Basic Research (RFBR)Spanish Government)</t>
  </si>
  <si>
    <t>The studies were supported by the Rosneft target innovative program No. 102 and by the Russian Foundation for Basic Research (18-05-60109).</t>
  </si>
  <si>
    <t>10.3103/S1068373920040068</t>
  </si>
  <si>
    <t>MG8VY</t>
  </si>
  <si>
    <t>WOS:000546312500006</t>
  </si>
  <si>
    <t>Balakrishnan, R; Nanjundaiah, RM; Nirwan, M; Sharma, MK; Ganju, L; Saha, M; Singh, SB; Ramarao, NH</t>
  </si>
  <si>
    <t>Balakrishnan, Ragavendrasamy; Nanjundaiah, Ramesh Mavathur; Nirwan, Mohit; Sharma, Manjunath Krishnamurthy; Ganju, Lilly; Saha, Mantu; Singh, Shashi Bala; Ramarao, Nagendra Hongasandra</t>
  </si>
  <si>
    <t>Design and validation of Integrated Yoga Therapy module for Antarctic expeditioners</t>
  </si>
  <si>
    <t>JOURNAL OF AYURVEDA AND INTEGRATIVE MEDICINE</t>
  </si>
  <si>
    <t>Yoga module; Antarctica; Stress; IAYT</t>
  </si>
  <si>
    <t>MINDFULNESS; RESPONSES; SYMPTOMS; STRESS</t>
  </si>
  <si>
    <t>Background: Extreme environments are inherently stressful and are characterized by a variety of physical and psychosocial stressors, including, but not limited to, isolation, con finement, social tensions, minimal possibility of medical evacuation, boredom, monotony, and danger. Previous research studies recom- mend adaptation to the environment to maintain optimal function and remain healthy. Different in- terventions have been tried in the past for effective management of stress. Yoga practices have been shown to be bene ficial for coping with stress and enhance quality of life, sleep and immune status. Objective: The current article describes preparation of a Yoga module for better management of stressors in extreme environmental condition of Antarctica. Materials and methods: A Yoga module was designed based on the traditional and contemporary yoga literature as well as published studies. The Yoga module was sent for validation to forty experts of which thirty responded. Results: Experts (n = 30) gave their opinion on the usefulness of the yoga module. In total 29 out of 30 practices were retained. The average content validity ratio and intra class correlation of the entire module was 0.89 &amp; 0.78 respectively. Conclusion: A speci fic yoga module for coping and facilitating adaptation in Antarctica was designed and validated. This module was used in the 35th Indian Scienti fic expedition to Antarctica, and experiments are underway to understand the ef ficacy and utility of Yoga on psychological stress, sleep, serum bio- markers and gene expression. Further outcomes shall provide the ef ficacy and utility of this module in Antarctic environments. (c) 2018 The Authors. Published by Elsevier B.V. on behalf of Institute of Transdisciplinary Health Sciences and Technology and World Ayurveda Foundation. This is an open access article under the CC BY-NC-ND license (http://creativecommons.org/licenses/by-nc-nd/4.0/).</t>
  </si>
  <si>
    <t>[Balakrishnan, Ragavendrasamy; Nanjundaiah, Ramesh Mavathur] S VYASA Univ, Mol Biosci Lab, Anvesana Res Labs, Bangalore, Karnataka, India; [Nirwan, Mohit; Ganju, Lilly; Saha, Mantu] Def Inst Physiol &amp; Allied Sci, New Delhi, India; [Sharma, Manjunath Krishnamurthy] S VYASA Univ, Anvesana Res Labs, Bangalore, Karnataka, India; [Singh, Shashi Bala] Def Res &amp; Dev Org, Life Sci Res Board, New Delhi, India; [Ramarao, Nagendra Hongasandra] S VYASA Univ, Bangalore, Karnataka, India</t>
  </si>
  <si>
    <t>Defence Research &amp; Development Organisation (DRDO); Defence Institute of Physiology &amp; Allied Sciences (DIPAS); Defence Research &amp; Development Organisation (DRDO)</t>
  </si>
  <si>
    <t>Nanjundaiah, RM (corresponding author), S VYASA Univ, Mol Biosci Lab, Anvesana Res Labs, Bangalore, Karnataka, India.</t>
  </si>
  <si>
    <t>ramesh.mavathur@svyasa.org</t>
  </si>
  <si>
    <t>Nanjundaiah, Ramesh/GQI-1471-2022; Nirwan, Mohit/AAT-9609-2021; Singh, Shashi Bala/AAS-9889-2021</t>
  </si>
  <si>
    <t>Nanjundaiah, Ramesh/0000-0003-3017-9913; Nirwan, Mohit/0000-0003-1190-8789;</t>
  </si>
  <si>
    <t>Defence Institute of Physiology and Allied Sciences, New Delhi [TC/DIP-265/CARS-05/DIPAS/2-15]</t>
  </si>
  <si>
    <t>Defence Institute of Physiology and Allied Sciences, New Delhi</t>
  </si>
  <si>
    <t>Defence Institute of Physiology and Allied Sciences, New Delhi (TC/DIP-265/CARS-05/DIPAS/2-15).</t>
  </si>
  <si>
    <t>0975-9476</t>
  </si>
  <si>
    <t>0976-2809</t>
  </si>
  <si>
    <t>J AYURVEDA INTEGR ME</t>
  </si>
  <si>
    <t>J. Ayurveda Integr. Med.</t>
  </si>
  <si>
    <t>10.1016/j.jaim.2017.11.005</t>
  </si>
  <si>
    <t>Integrative &amp; Complementary Medicine</t>
  </si>
  <si>
    <t>MH7LH</t>
  </si>
  <si>
    <t>WOS:000546905300002</t>
  </si>
  <si>
    <t>Hamilton, M; Alexander, SP; Protat, A; Siems, S; Carpentier, S</t>
  </si>
  <si>
    <t>Hamilton, Murray; Alexander, Simon P.; Protat, Alain; Siems, Steven; Carpentier, Scott</t>
  </si>
  <si>
    <t>Polarimetric Backscatter Sonde Observations of Southern Ocean Clouds and Aerosols</t>
  </si>
  <si>
    <t>cloud; aerosol; Southern Ocean; backscatter sonde</t>
  </si>
  <si>
    <t>SUPERCOOLED LIQUID CLOUDS; BOUNDARY-LAYER; SEA SPRAY; PHASE; CONDENSATION</t>
  </si>
  <si>
    <t>Balloon-borne polarimetric backscatter sonde (polarsonde) observations of aerosol and cloud during the approach of a cold front at Macquarie Island (54.499 S 158.937 E) are described. The polarsonde captures vertical profiles of cloud occurrence and phase. The cloud base and cloud top heights from the backscatter sonde compare favourably with observations made by a co-located cloud radar and ceilometer. An estimate of the total scatter probability from a liquid cloud layer at 1000 m height is used with a Monte Carlo model of the instrument to obtain cloud particle concentration, and this is compared to a measurement of cloud condensation nucleus concentration made at sea level. Backscatter from aerosol, as well as cloud, is significant. A high aerosol loading in part of the pre-frontal airmass is observed at altitudes up to 6 km. Below the melting level, the high cross-polarised return, relative to the co-polarised, indicates a substantial concentration of solid, non-spherical aerosol particles, which due to the high humidity cannot be sea salt or sulphate. A back trajectory analysis indicates that the observed aerosol includes continental dust.</t>
  </si>
  <si>
    <t>[Hamilton, Murray] Univ Adelaide, Inst Photon &amp; Adv Sensing, Adelaide, SA 5000, Australia; [Alexander, Simon P.] Australian Antart Div, Kingston, Tas 7050, Australia; [Protat, Alain; Carpentier, Scott] Bur Meteorol, Melbourne, Vic 3008, Australia; [Siems, Steven] Monash Univ, Sch Earth Atmosphere &amp; Environm, Melbourne, Vic 3800, Australia</t>
  </si>
  <si>
    <t>University of Adelaide; Australian Antarctic Division; Bureau of Meteorology - Australia; Melbourne Genomics Health Alliance; Monash University; Melbourne Genomics Health Alliance</t>
  </si>
  <si>
    <t>Hamilton, M (corresponding author), Univ Adelaide, Inst Photon &amp; Adv Sensing, Adelaide, SA 5000, Australia.</t>
  </si>
  <si>
    <t>murray.hamilton@adelaide.edu.au; Simon.Alexander@aad.gov.au; Alain.Protat@bom.gov.au; steven.siems@monash.edu; scott.carpentier@bom.gov.au</t>
  </si>
  <si>
    <t>Siems, Steven T/C-8339-2013</t>
  </si>
  <si>
    <t>Siems, Steven T/0000-0002-8478-533X; Alexander, Simon/0000-0001-6823-8857</t>
  </si>
  <si>
    <t>Australia Antarctic Science program [4308, 4292]; Atrad Pty Ltd.; Institute for Photonics and Advanced Sensing of the University of Adelaide; Department of State Development of the Government of South Australia; Sir Ross and Sir Keith Smith Foundation; National Environmental Science Program (NESP), Australia</t>
  </si>
  <si>
    <t>Australia Antarctic Science program; Atrad Pty Ltd.; Institute for Photonics and Advanced Sensing of the University of Adelaide; Department of State Development of the Government of South Australia; Sir Ross and Sir Keith Smith Foundation; National Environmental Science Program (NESP), Australia</t>
  </si>
  <si>
    <t>This work was supported by the Australia Antarctic Science program under projects 4308 and 4292, as well as by Atrad Pty Ltd., the Institute for Photonics and Advanced Sensing of the University of Adelaide, the Department of State Development of the Government of South Australia, and the Sir Ross and Sir Keith Smith Foundation. The Bureau of Meteorology's contribution to this study was partly funded by the National Environmental Science Program (NESP), Australia.</t>
  </si>
  <si>
    <t>10.3390/atmos11040399</t>
  </si>
  <si>
    <t>LW9WE</t>
  </si>
  <si>
    <t>WOS:000539492200086</t>
  </si>
  <si>
    <t>Lampert, A; Altstädter, B; Bärfuss, K; Bretschneider, L; Sandgaard, J; Michaelis, J; Lobitz, L; Asmussen, M; Damm, E; Käthner, R; Krüger, T; Lüpkes, C; Nowak, S; Peuker, A; Rausch, T; Reiser, F; Scholtz, A; Zakharov, DS; Gaus, D; Bansmer, S; Wehner, B; Pätzold, F</t>
  </si>
  <si>
    <t>Lampert, Astrid; Altstaedter, Barbara; Baerfuss, Konrad; Bretschneider, Lutz; Sandgaard, Jesper; Michaelis, Janosch; Lobitz, Lennart; Asmussen, Magnus; Damm, Ellen; Kaethner, Ralf; Krueger, Thomas; Luepkes, Christof; Nowak, Stefan; Peuker, Alexander; Rausch, Thomas; Reiser, Fabian; Scholtz, Andreas; Zakharov, Denis Sotomayor; Gaus, Dominik; Bansmer, Stephan; Wehner, Birgit; Paetzold, Falk</t>
  </si>
  <si>
    <t>Unmanned Aerial Systems for Investigating the Polar Atmospheric Boundary Layer-Technical Challenges and Examples of Applications</t>
  </si>
  <si>
    <t>unmanned aerial systems; polar atmosphere; meteorological sensors; atmospheric boundary layer</t>
  </si>
  <si>
    <t>NY-ALESUND; TURBULENCE; PARTICLES; AIRCRAFT; FIELD; DISTRIBUTIONS; ALADINA; ALBEDO</t>
  </si>
  <si>
    <t>Unmanned aerial systems (UAS) fill a gap in high-resolution observations of meteorological parameters on small scales in the atmospheric boundary layer (ABL). Especially in the remote polar areas, there is a strong need for such detailed observations with different research foci. In this study, three systems are presented which have been adapted to the particular needs for operating in harsh polar environments: The fixed-wing aircraft M(2)AV with a mass of 6 kg, the quadrocopter ALICE with a mass of 19 kg, and the fixed-wing aircraft ALADINA with a mass of almost 25 kg. For all three systems, their particular modifications for polar operations are documented, in particular the insulation and heating requirements for low temperatures. Each system has completed meteorological observations under challenging conditions, including take-off and landing on the ice surface, low temperatures (down to -28 degrees C), icing, and, for the quadrocopter, under the impact of the rotor downwash. The influence on the measured parameters is addressed here in the form of numerical simulations and spectral data analysis. Furthermore, results from several case studies are discussed: With the M(2)AV, low-level flights above leads in Antarctic sea ice were performed to study the impact of areas of open water within ice surfaces on the ABL, and a comparison with simulations was performed. ALICE was used to study the small-scale structure and short-term variability of the ABL during a cruise of RV Polarstern to the 79 degrees N glacier in Greenland. With ALADINA, aerosol measurements of different size classes were performed in Ny-Alesund, Svalbard, in highly complex terrain. In particular, very small, freshly formed particles are difficult to monitor and require the active control of temperature inside the instruments. The main aim of the article is to demonstrate the potential of UAS for ABL studies in polar environments, and to provide practical advice for future research activities with similar systems.</t>
  </si>
  <si>
    <t>[Lampert, Astrid; Altstaedter, Barbara; Baerfuss, Konrad; Bretschneider, Lutz; Sandgaard, Jesper; Lobitz, Lennart; Asmussen, Magnus; Krueger, Thomas; Nowak, Stefan; Peuker, Alexander; Rausch, Thomas; Scholtz, Andreas; Paetzold, Falk] Tech Univ Carolo Wilhelmina Braunschweig, Inst Flight Guidance, D-38106 Braunschweig, Germany; [Michaelis, Janosch; Damm, Ellen; Luepkes, Christof] Helmholtz Ctr Polar &amp; Marine Res, Alfred Wegener Inst, D-27570 Bremerhaven, Germany; [Kaethner, Ralf; Wehner, Birgit] Inst Tropospher Res, D-04318 Leipzig, Germany; [Reiser, Fabian] Univ Trier, Inst Environm Meteorol, D-54296 Trier, Germany; [Zakharov, Denis Sotomayor; Gaus, Dominik; Bansmer, Stephan] Tech Univ Carolo Wilhelmina Braunschweig, Inst Fluid Mech, D-38106 Braunschweig, Germany; [Scholtz, Andreas] Butzbacherstr, D-835510 Butzbach Nieder Weisel, Germany</t>
  </si>
  <si>
    <t>Braunschweig University of Technology; Helmholtz Association; Alfred Wegener Institute, Helmholtz Centre for Polar &amp; Marine Research; Leibniz Institut fur Tropospharenforschung (TROPOS); Universitat Trier; Braunschweig University of Technology</t>
  </si>
  <si>
    <t>Pätzold, F (corresponding author), Tech Univ Carolo Wilhelmina Braunschweig, Inst Flight Guidance, D-38106 Braunschweig, Germany.</t>
  </si>
  <si>
    <t>Astrid.Lampert@tu-braunschweig.de; b.altstaedter@tu-braunschweig.de; k.baerfuss@tu-braunschweig.de; l.bretschneider@tu-braunschweig.de; j.sandgaard@tu-braunschweig.de; Janosch.Michaelis@awi.de; l.lobitz@tu-braunschweig.de; m.asmussen@tu-braunschweig.de; Ellen.Damm@awi.de; kaethner@tropos.de; t.krueger@leichtwerk-research.de; Christof.Luepkes@awi.de; stefan.nowak@tu-braunschweig.de; a.peuker@tu-braunschweig.de; Thomas.Rausch@tu-braunschweig.de; reiser@uni-trier.de; ingenieurbuero.scholtz@gmx.de; d.sotomayor-zakharov@tu-braunschweig.de; d.gaus@tu-braunschweig.de; s.bansmer@tu-braunschweig.de; birgit@tropos.de; f.paetzold@tu-braunschweig.de</t>
  </si>
  <si>
    <t>Bärfuss, Konrad/DGX-4114-2022; Wehner, Birgit/C-2650-2014; Michaelis, Janosch/GRO-0453-2022; Lupkes, Christof/B-4897-2014</t>
  </si>
  <si>
    <t>Wehner, Birgit/0000-0003-0611-4466; Michaelis, Janosch/0000-0002-0564-2083; Peuker, Alexander/0000-0002-5452-0621; Harm-Altstadter, Barbara/0000-0002-3216-550X; Reiser, Fabian/0000-0003-1128-8452; Damm, Ellen/0000-0002-1487-1283; Sotomayor-Zakharov, Denis/0000-0001-9788-8242; Lupkes, Christof/0000-0001-6518-0717; Barfuss, Konrad/0000-0001-5130-5494</t>
  </si>
  <si>
    <t>German Research Foundation [LU 818/5-1, LA2907/5-3]; German Research Foundation DFG Priority Program Antarctic Research with comparative investigations in Arctic ice areas [LA2907/8-1]; Alfred Wegener Institute</t>
  </si>
  <si>
    <t>German Research Foundation(German Research Foundation (DFG)); German Research Foundation DFG Priority Program Antarctic Research with comparative investigations in Arctic ice areas(German Research Foundation (DFG)); Alfred Wegener Institute</t>
  </si>
  <si>
    <t>The measurements of ALADINA in Svalbard were funded by the German Research Foundation under grant LA2907/5-3. The development of ALICE and the measurements in the Arctic were funded by the German Research Foundation DFG Priority Program Antarctic Research with comparative investigations in Arctic ice areas under grant LA2907/8-1. The participation to the Polarstern cruise in the Weddell Sea has been funded by the AlfredWegener Institute. The atmospheric modelling part was supported by the German Research Foundation (grant LU 818/5-1).</t>
  </si>
  <si>
    <t>10.3390/atmos11040416</t>
  </si>
  <si>
    <t>WOS:000539492200103</t>
  </si>
  <si>
    <t>Marina-Montes, C; Pérez-Arribas, LV; Anzano, J; Cáceres, JO</t>
  </si>
  <si>
    <t>Marina-Montes, Cesar; Vicente Perez-Arribas, Luis; Anzano, Jesus; Caceres, Jorge O.</t>
  </si>
  <si>
    <t>Local and Remote Sources of Airborne Suspended Particulate Matter in the Antarctic Region</t>
  </si>
  <si>
    <t>Antarctic region; Deception Island; atmospheric aerosols; particulate matter; statistical tools; backward trajectories; polar contour maps</t>
  </si>
  <si>
    <t>BACK TRAJECTORIES; CLUSTER-ANALYSIS; SUMMER AEROSOLS; STATION</t>
  </si>
  <si>
    <t>Quantification of suspended particulate matter (SPM) measurements together with statistical tools, polar contour maps and backward air mass trajectory analyses were implemented to better understand the main local and remote sources of contamination in this pristine region. Field campaigns were carried out during the austral summer of 2016-2017 at the Gabriel de Castilla Spanish Antarctic Research Station, located on Deception Island (South Shetland Islands, Antarctic). Aerosols were deposited in an air filter through a low-volume sampler and chemically analysed using Inductively Coupled Plasma-Mass Spectrometry (ICP-MS) and Inductively Coupled Plasma-Atomic Emission Spectroscopy (ICP-AES). Elements such as Al, Ca, Fe, K, Mg, Na, P, S, Cu, Pb, Sr, Ti, Zn, Hf, Zr, V, As, Ti, Mn, Sn and Cr were identified. The statistical tools together with their correlations (Sr/Na, Al/Ti, Al/Mn, Al/Sr, Al/Pb, K/P) suggest a potentially significant role of terrestrial inputs for Al, Ti, Mn, Sr and Pb; marine environments for Sr and Na; and biological inputs for K and P. Polar contour graphical maps allowed reproducing wind maps, revealing the biological local distribution of K and P (penguin colony). Additionally, backward trajectory analysis confirmed previous affirmations and atmospheric air masses following the Antarctic circumpolar pattern.</t>
  </si>
  <si>
    <t>[Marina-Montes, Cesar; Anzano, Jesus] Univ Zaragoza, Fac Sci, Dept Analyt Chem, Laser Lab,Chem &amp; Environm Grp, Pedro Cerbuna 12, Zaragoza 50009, Spain; [Vicente Perez-Arribas, Luis; Caceres, Jorge O.] Univ Complutense Madrid, Fac Chem, Dept Analyt Chem, Laser Chem Res Grp, Plaza Ciencias 1, Madrid 28040, Spain</t>
  </si>
  <si>
    <t>University of Zaragoza; Complutense University of Madrid</t>
  </si>
  <si>
    <t>cesarmarinamontes@unizar.es; lvperez@ucm.es; janzano@unizar.es; jcaceres@ucm.es</t>
  </si>
  <si>
    <t>Perez-Arribas, Luis V./K-5675-2018; Marina-Montes, Cesar/AEU-5508-2022; Anzano Lacarte, Jesus Manuel/C-1033-2013</t>
  </si>
  <si>
    <t>Perez-Arribas, Luis V./0000-0002-3727-8132; Marina-Montes, Cesar/0000-0001-5652-3677; Anzano Lacarte, Jesus Manuel/0000-0002-8581-4972; Caceres, Jorge/0000-0003-4801-4172</t>
  </si>
  <si>
    <t>Ministry of Science, Innovation and Universities (Spain) [CTM2017-82929R]; Government of Aragon [E49_20R]; European Social Fund; University of Zaragoza</t>
  </si>
  <si>
    <t>Ministry of Science, Innovation and Universities (Spain); Government of Aragon(Gobierno de Aragon); European Social Fund(European Social Fund (ESF)); University of Zaragoza</t>
  </si>
  <si>
    <t>This project forms part of the Ministry of Science, Innovation and Universities (Spain) proposal #CTM2017-82929R in collaboration with the Government of Aragon proposal E49_20R. Financial support from European Social Fund and University of Zaragoza is acknowledged.</t>
  </si>
  <si>
    <t>10.3390/atmos11040373</t>
  </si>
  <si>
    <t>WOS:000539492200060</t>
  </si>
  <si>
    <t>Strzelec, M; Proemse, BC; Gault-Ringold, M; Boyd, PW; Perron, MMG; Schofield, R; Ryan, RG; Ristovski, ZD; Alroe, J; Humphries, RS; Keywood, MD; Ward, J; Bowie, AR</t>
  </si>
  <si>
    <t>Strzelec, Michal; Proemse, Bernadette C.; Gault-Ringold, Melanie; Boyd, Philip W.; Perron, Morgane M. G.; Schofield, Robyn; Ryan, Robert G.; Ristovski, Zoran D.; Alroe, Joel; Humphries, Ruhi S.; Keywood, Melita D.; Ward, Jason; Bowie, Andrew R.</t>
  </si>
  <si>
    <t>Atmospheric Trace Metal Deposition near the Great Barrier Reef, Australia</t>
  </si>
  <si>
    <t>aerosols; Fe solubility; leaching experiments; global Fe cycle; source apportionment; anthropogenic emissions</t>
  </si>
  <si>
    <t>FRACTIONAL IRON SOLUBILITY; AEOLIAN DUST DEPOSITION; NITROGEN-FIXATION; MINERAL DUST; PHYTOPLANKTON DYNAMICS; ELEMENT CONCENTRATIONS; BIOGEOCHEMICAL CYCLES; FERTILIZATION SUCCESS; DESERT DUST; AEROSOLS</t>
  </si>
  <si>
    <t>Aerosols deposited into the Great Barrier Reef (GBR) contain iron (Fe) and other trace metals, which may act as micronutrients or as toxins to this sensitive marine ecosystem. In this paper, we quantified the atmospheric deposition of Fe and investigated aerosol sources in Mission Beach (Queensland) next to the GBR. Leaching experiments were applied to distinguish pools of Fe with regard to its solubility. The labile Fe concentration in aerosols was 2.3-10.6 ng m(-3), which is equivalent to 4.9-11.4% of total Fe and was linked to combustion and biomass burning processes, while total Fe was dominated by crustal sources. A one-day precipitation event provided more soluble iron than the average dry deposition flux, 0.165 and 0.143 mu mol m(-2) day(-1), respectively. Scanning Electron Microscopy indicated that alumina-silicates were the main carriers of total Fe and samples affected by combustion emissions were accompanied by regular round-shaped carbonaceous particulates. Collected aerosols contained significant amounts of Cd, Co, Cu, Mo, Mn, Pb, V, and Zn, which were mostly (47.5-96.7%) in the labile form. In this study, we provide the first field data on the atmospheric delivery of Fe and other trace metals to the GBR and propose that this is an important delivery mechanism to this region.</t>
  </si>
  <si>
    <t>[Strzelec, Michal; Proemse, Bernadette C.; Boyd, Philip W.; Perron, Morgane M. G.; Bowie, Andrew R.] Univ Tasmania, Inst Marine &amp; Antarctic Studies, Hobart, Tas 7005, Australia; [Proemse, Bernadette C.] Univ Tasmania, Australian Ctr Res Separat Sci, Hobart, Tas 7005, Australia; [Gault-Ringold, Melanie; Boyd, Philip W.; Bowie, Andrew R.] Univ Tasmania, Antarctic Climate &amp; Ecosyst CRC, Hobart, Tas 7005, Australia; [Schofield, Robyn; Ryan, Robert G.] Univ Melbourne, Sch Earth Sci, Melbourne, Vic 3010, Australia; [Schofield, Robyn; Ryan, Robert G.] Univ New South Wales, ARC Ctr Excellence Climate Syst Sci, Sydney, NSW 2052, Australia; [Ristovski, Zoran D.; Alroe, Joel] Queensland Univ Technol QUT, Int Lab Air Qual &amp; Hlth, Brisbane, Qld 4000, Australia; [Humphries, Ruhi S.; Keywood, Melita D.; Ward, Jason] CSIRO, Climate Sci Ctr, Oceans &amp; Atmosphere, 107-121 Stn St, Aspendale, Vic 3195, Australia</t>
  </si>
  <si>
    <t>University of Tasmania; University of Tasmania; University of Tasmania; University of Melbourne; Melbourne Bioinformatics; ARC Centre of Excellence for Climate System Science; University of New South Wales Sydney; Queensland University of Technology (QUT); Commonwealth Scientific &amp; Industrial Research Organisation (CSIRO)</t>
  </si>
  <si>
    <t>Strzelec, M (corresponding author), Univ Tasmania, Inst Marine &amp; Antarctic Studies, Hobart, Tas 7005, Australia.</t>
  </si>
  <si>
    <t>michal.strzelec@utas.edu.au; Bernadette.Proemse@utas.edu.au; Melanie.East@utas.edu.au; Philip.Boyd@utas.edu.au; morgane.perron@utas.edu.au; robyn.schofield@unimelb.edu.au; r.ryan7@student.unimelb.edu.au; z.ristovski@qut.edu.au; jp.alroe@hdr.qut.edu.au; Ruhi.Humphries@csiro.au; Melita.Keywood@csiro.au; Jason.Ward@csiro.au; Andrew.Bowie@utas.edu.au</t>
  </si>
  <si>
    <t>Boyd, Philip W/J-7624-2014; Perron, Morgane/HHS-1241-2022; Humphries, Ruhi S/M-4074-2018; Schofield, Robyn/A-4062-2010; Ryan, Robert G./ABG-8184-2020; Alroe, Joel/IXD-9543-2023; Bowie, Andrew/C-8677-2013; Ristovski, Zoran/D-3308-2009; keywood, melita/C-5139-2011</t>
  </si>
  <si>
    <t>Humphries, Ruhi S/0000-0002-4864-5321; Schofield, Robyn/0000-0002-4230-717X; Ryan, Robert G./0000-0002-0806-4880; Alroe, Joel/0000-0003-2618-7320; Bowie, Andrew/0000-0002-5144-7799; Ristovski, Zoran/0000-0001-6066-6638; keywood, melita/0000-0001-9953-6806; Perron, Morgane/0000-0001-5424-7138</t>
  </si>
  <si>
    <t>Australian Research Council Future Fellowship [FT130100037]; ARC Linkage, Infrastructure, Equipment and Facilities [LE150100048]; Antarctic Climate &amp; Ecosystems Cooperative Research Centre, an ARC Discovery Project [DP150101649]; ARC Centre of Excellence for Climate System Science [CE110001028]; Australian Research Council [LE150100048] Funding Source: Australian Research Council</t>
  </si>
  <si>
    <t>Australian Research Council Future Fellowship(Australian Research Council); ARC Linkage, Infrastructure, Equipment and Facilities(Australian Research Council); Antarctic Climate &amp; Ecosystems Cooperative Research Centre, an ARC Discovery Project; ARC Centre of Excellence for Climate System Science(Australian Research Council); Australian Research Council(Australian Research Council)</t>
  </si>
  <si>
    <t>This work was supported by an Australian Research Council Future Fellowship to A.R.B. (FT130100037), an ARC Linkage, Infrastructure, Equipment and Facilities (LE150100048), the Antarctic Climate &amp; Ecosystems Cooperative Research Centre, an ARC Discovery Project (DP150101649) to Z.D.R. and the ARC Centre of Excellence for Climate System Science (CE110001028) grants to R.S.</t>
  </si>
  <si>
    <t>10.3390/atmos11040390</t>
  </si>
  <si>
    <t>WOS:000539492200077</t>
  </si>
  <si>
    <t>Akter, N; Wahiduzzaman, M; Yeasmin, A; Islam, KS; Luo, JJ</t>
  </si>
  <si>
    <t>Akter, Nabila; Wahiduzzaman, Md; Yeasmin, Alea; Islam, Kazi Saiful; Luo, Jing-Jia</t>
  </si>
  <si>
    <t>Spatial Modelling of Bacterial Diversity over the Selected Regions in Bangladesh by Next-Generation Sequencing: Role of Water Temperature</t>
  </si>
  <si>
    <t>APPLIED SCIENCES-BASEL</t>
  </si>
  <si>
    <t>spatial modelling; bacterial distribution; next generation sequencing; water temperature; Bangladesh</t>
  </si>
  <si>
    <t>COMMUNITY COMPOSITION; V REGIONS; RNA; DNA; ILLUMINA; DYNAMICS</t>
  </si>
  <si>
    <t>In this study, a spatial model has been developed to investigate the role of water temperature to the distribution of bacteria over the selected regions in the Bay of Bengal, located in the southern region of Bangladesh using next-generation sequencing. Bacterial concentration, quantitative polymerase chain reactions, and sequencing were performed on water samples and identified Acidobacteria, Actinobacteria, Bacteroidetes, Chlorobi, Chloroflexi, Cyanobacteria, Firmicutes, Nitrospirae, Planctomycetes, Proteobacteria, and Verrucomicrobia. The spatial model tessellated the parts of the Bay of Bengal with hexagons and analyzed the relationship between the distribution of bacteria and water temperature. A geographically weighted regression was used to observe whether water temperature contributed strongly or weakly to the distribution of bacteria. The residuals were examined to assess the model's fitness. The spatial model has the potential to predict the bacterial diversity in the selected regions of Bangladesh.</t>
  </si>
  <si>
    <t>[Akter, Nabila; Wahiduzzaman, Md; Luo, Jing-Jia] Nanjing Univ Informat Sci &amp; Technol, Inst Climate &amp; Applicat Res, Nanjing 210000, Peoples R China; [Akter, Nabila; Islam, Kazi Saiful] Jahangirnagar Univ, Dept Biochem &amp; Mol Biol, Dhaka 1342, Bangladesh; [Wahiduzzaman, Md] Univ Tasmania, Inst Marine &amp; Antarctic Studies, Hobart, Tas 7000, Australia; [Yeasmin, Alea] Federat Univ, Sch Sci Informat &amp; Technol, Ballarat, Vic 3350, Australia; [Islam, Kazi Saiful] Univ Sydney, Sch Life &amp; Environm Sci, Sydney, NSW 2006, Australia</t>
  </si>
  <si>
    <t>Nanjing University of Information Science &amp; Technology; Jahangirnagar University; University of Tasmania; Federation University Australia; University of Sydney</t>
  </si>
  <si>
    <t>Wahiduzzaman, M; Luo, JJ (corresponding author), Nanjing Univ Informat Sci &amp; Technol, Inst Climate &amp; Applicat Res, Nanjing 210000, Peoples R China.;Wahiduzzaman, M (corresponding author), Univ Tasmania, Inst Marine &amp; Antarctic Studies, Hobart, Tas 7000, Australia.</t>
  </si>
  <si>
    <t>nabilabiochemistry@gmail.com; wahid.zaman@nuist.edu.cn; a.yeasmin@federation.edu.au; Kazi.islam@sydney.edu.au; jjluo@nuist.edu.cn</t>
  </si>
  <si>
    <t>Luo, Jing-Jia/T-9612-2019; Wahiduzzaman/T-7361-2019</t>
  </si>
  <si>
    <t>Luo, Jing-Jia/0000-0003-2181-0638; Wahiduzzaman/0000-0002-8974-8247</t>
  </si>
  <si>
    <t>Nanjing University of Information Science and Technology (NUIST), China; Jahangirnagar University scholarship; Startup Foundation for Introducing Talent of NUIST</t>
  </si>
  <si>
    <t>This research received no external funding. M. Wahiduzzaman has been supported by a Postdoctoral Fellowship from Nanjing University of Information Science and Technology (NUIST), China. A Jahangirnagar University scholarship supported Nabila Akter and data are available from her upon request. Jing-Jia Luo was supported by The Startup Foundation for Introducing Talent of NUIST.</t>
  </si>
  <si>
    <t>2076-3417</t>
  </si>
  <si>
    <t>APPL SCI-BASEL</t>
  </si>
  <si>
    <t>Appl. Sci.-Basel</t>
  </si>
  <si>
    <t>10.3390/app10072537</t>
  </si>
  <si>
    <t>Chemistry, Multidisciplinary; Engineering, Multidisciplinary; Materials Science, Multidisciplinary; Physics, Applied</t>
  </si>
  <si>
    <t>Chemistry; Engineering; Materials Science; Physics</t>
  </si>
  <si>
    <t>LO0YT</t>
  </si>
  <si>
    <t>WOS:000533356200336</t>
  </si>
  <si>
    <t>Bestley, S; van Wijk, E; Rosenberg, M; Eriksen, R; Corney, S; Tattersall, K; Rintoul, S</t>
  </si>
  <si>
    <t>Bestley, Sophie; van Wijk, Esmee; Rosenberg, Mark; Eriksen, Ruth; Corney, Stuart; Tattersall, Katherine; Rintoul, Stephen</t>
  </si>
  <si>
    <t>Ocean circulation and frontal structure near the southern Kerguelen Plateau: The physical context for the Kerguelen Axis ecosystem study</t>
  </si>
  <si>
    <t>Antarctic Circumpolar Current; Kerguelen Plateau; South Indian Ocean; Ocean circulation; Southern Boundary current; Polar Front; Southern Antarctic Circumpolar Current front (SACCF); Biological oceanography</t>
  </si>
  <si>
    <t>ANTARCTIC CIRCUMPOLAR CURRENT; LARGE-SCALE CIRCULATION; WATER MASSES; IRON FERTILIZATION; EUPHAUSIA-SUPERBA; CONTINENTAL-SLOPE; MIXED-LAYER; FAWN TROUGH; BROKE-WEST; SEA-ICE</t>
  </si>
  <si>
    <t>Oceanographic observations from ships, floats and remote sensing are used to describe the ocean circulation and frontal structure from the southern Kerguelen Plateau to the Antarctic margin. The flow of the Antarctic Circumpolar Current (ACC) is largely zonal upstream of the Kerguelen Plateau. The southern branch of the Polar Front and the northern branch of the southern ACC front (SACCF) are deflected to the north by the topography and cross the plateau through the Fawn Trough. The southern branch of the SACCF and the southern boundary of the ACC pass to the south of Banzare Bank, through the Princess Elizabeth Trough. These fronts turn sharply to the north on the eastern flank of the plateau, then retroflect to the south before continuing eastward. Satellite altimetry and float trajectories suggest the ACC regime to the east of the plateau is eddy-rich and characterised by extensive meandering of the ACC fronts, in contrast to the low eddy energy and zonal flow observed west of the plateau. The Antarctic Slope Current flows west along the upper continental slope, with hydrographic data indicating some of the flow turns offshore and feeds the Southern Boundary flow in the Western Boundary Current. Flow over the plateau itself is relatively quiescent and floats in this region have a long residence time ( &gt; 1 year). The regional circulation is closely associated with the distribution of biological productivity in surface waters, as revealed in satellite measurements of ocean colour, including high productivity in subpolar waters, along the eastern edge of the plateau and over the Antarctic continental shelf, moderate productivity over the plateau, and low productivity in ACC waters in the Fawn Trough and north of the SACCF.</t>
  </si>
  <si>
    <t>[Bestley, Sophie; Eriksen, Ruth] Univ Tasmania, Inst Marine &amp; Antarctic Studies, Private Bag 129, Hobart, Tas 7001, Australia; [Bestley, Sophie; van Wijk, Esmee; Eriksen, Ruth; Tattersall, Katherine; Rintoul, Stephen] CSIRO Oceans &amp; Atmosphere, GPO Box 1538, Hobart, Tas 7001, Australia; [van Wijk, Esmee; Rosenberg, Mark; Corney, Stuart; Rintoul, Stephen] Antarctic Climate &amp; Ecosyst Cooperat Res Ctr, Private Bag 80, Hobart, Tas 7001, Australia; [Rintoul, Stephen] Ctr Southern Hemisphere Oceans Res, GPO Box 1538, Hobart, Tas 7001, Australia</t>
  </si>
  <si>
    <t>University of Tasmania; Commonwealth Scientific &amp; Industrial Research Organisation (CSIRO); Antarctic Climate &amp; Ecosystems Cooperative Research Centre (ACE CRC)</t>
  </si>
  <si>
    <t>Bestley, S (corresponding author), Univ Tasmania, Inst Marine &amp; Antarctic Studies, Private Bag 129, Hobart, Tas 7001, Australia.</t>
  </si>
  <si>
    <t>sophie.bestley@utas.edu.au</t>
  </si>
  <si>
    <t>van Wijk, Esmee/AAB-2451-2020; Bestley, Sophie/AAN-2483-2021; Rintoul, Stephen/A-1471-2012</t>
  </si>
  <si>
    <t>van Wijk, Esmee/0000-0002-9375-4383; Bestley, Sophie/0000-0001-9342-669X; Corney, Stuart/0000-0002-8293-0863; Rintoul, Stephen/0000-0002-7055-9876</t>
  </si>
  <si>
    <t>Australian Research Council's Special Research Initiative for Antarctic Gateway Partnership [SR140300001]; Australian Governments Cooperative Research Centres Programme, through the Antarctic Climate and Ecosystems CRC; Australian Antarctic Science Program (AAS project) [4344]; Australian Antarctic Division, Department of Energy and Environment; National Environmental Science Program; CSIRO; Qingdao National Laboratory for Marine Science; Australian Government</t>
  </si>
  <si>
    <t>Australian Research Council's Special Research Initiative for Antarctic Gateway Partnership(Australian Research Council); Australian Governments Cooperative Research Centres Programme, through the Antarctic Climate and Ecosystems CRC(Australian GovernmentDepartment of Industry, Innovation and ScienceCooperative Research Centres (CRC) Programme); Australian Antarctic Science Program (AAS project); Australian Antarctic Division, Department of Energy and Environment; National Environmental Science Program; CSIRO(Commonwealth Scientific &amp; Industrial Research Organisation (CSIRO)); Qingdao National Laboratory for Marine Science; Australian Government(Australian Government)</t>
  </si>
  <si>
    <t>The authors would like to thank two anonymous reviewers for their valuable comments on this manuscript. This research was supported under Australian Research Council's Special Research Initiative for Antarctic Gateway Partnership (Project ID SR140300001) and is also supported by the Australian Governments Cooperative Research Centres Programme, through the Antarctic Climate and Ecosystems CRC. The research voyage was carried out under the Australian Antarctic Science Program (AAS project 4344) with funding and logistical support from the Australian Antarctic Division, Department of Energy and Environment. SR was supported by the National Environmental Science Program and the Centre for Southern Hemisphere Oceans Research, a partnership between CSIRO and the Qingdao National Laboratory for Marine Science. Argo float trajectory data were sourced from the US GODAE Global Data Access Centre and the Integrated Marine Observing System (IMOS) - IMOS is a national collaborative research infrastructure, supported by the Australian Government. The 2003 Australian Antarctic Territory coastline produced by Geoscience Australia and the ice features digitized from satellite images were obtained from the Australian Antarctic Data Centre. We thank the Science Technical Support Team of the Australian Antarctic Division and the master and crew of the Aurora Australis for their professionalism and hard work. We are grateful to D. Ward and C. Weldrick for their efforts on the CTD team, and all others who assisted particularly the resupply personnel for marine science contributions above and beyond their duties during the course of this eventful 10week expedition.</t>
  </si>
  <si>
    <t>10.1016/j.dsr2.2018.07.013</t>
  </si>
  <si>
    <t>WOS:000539111000002</t>
  </si>
  <si>
    <t>Clarke, LJ; Deagle, BE</t>
  </si>
  <si>
    <t>Clarke, Laurence J.; Deagle, Bruce E.</t>
  </si>
  <si>
    <t>Eukaryote plankton assemblages in the southern Kerguelen Axis region: Ecological drivers differ between size fractions</t>
  </si>
  <si>
    <t>Protists; Plankton; Community composition; Sea ice; Spatial analysis; Generalised dissimilarity modelling; Metabarcoding</t>
  </si>
  <si>
    <t>COMMUNITY STRUCTURE; IRON; OCEAN</t>
  </si>
  <si>
    <t>Southern Ocean plankton communities are extremely important for global biogeochemical processes. However, recent efforts to survey marine eukaryote diversity focussed on tropical and temperate plankton communities, with limited sampling of the Southern Ocean. We used high-throughput sequencing of 18S ribosomal DNA to characterise eukaryotic diversity in 284 size-fractionated plankton samples from across the southern Kerguelen Axis, one of the most productive regions in the Indian Sector of the Southern Ocean. Based on three size fractions, combined eukaryote communities in the K-Axis region form three distinct groups, corresponding to a southern seasonal ice zone (SIZ), northern SIZ and open ocean zone. Generalised dissimilarity modelling showed that days since sea-ice melt was the key driver of community composition for the two larger size fractions (nanoand microplankton). In contrast, chlorophyll a and nitrate concentrations were better predictors for eukaryotic communities smaller than 5 pm (piconanoplankton). Other predictors varied in importance between taxonomic groups and depths, providing insights into drivers of community structure for different groups. Our results suggest that Southern Ocean eukaryotes will respond differently to environmental change depending on their taxonomy and size. Predicted changes in sea-ice extent and other environmental factors will not simply cause a shift in community location, but change the overall community composition and the suite of possible ecological interactions, with implications for trophodynamics, biogeochemistry, and carbon export.</t>
  </si>
  <si>
    <t>[Clarke, Laurence J.] Univ Tasmania, Antarctic Climate &amp; Ecosyst Cooperat Res Ctr, Hobart, Tas 7001, Australia; [Deagle, Bruce E.] Australian Antarctic Div, Channel Highway, Kingston, Tas 7050, Australia</t>
  </si>
  <si>
    <t>Clarke, LJ (corresponding author), Univ Tasmania, Antarctic Climate &amp; Ecosyst Cooperat Res Ctr, Hobart, Tas 7001, Australia.</t>
  </si>
  <si>
    <t>Deagle, Bruce E/R-2999-2019; Clarke, Laurence/N-3579-2017</t>
  </si>
  <si>
    <t>Deagle, Bruce E/0000-0001-7651-3687; Clarke, Laurence/0000-0002-0844-4453</t>
  </si>
  <si>
    <t>Australian Antarctic Science Kerguelen Axis project [AAS-4344, AAS-4313]; Bioplatforms Australia Industry Access Voucher; Australian Government's Business Cooperative Research Centres Programme through the Antarctic Climate and Ecosystems Cooperative Research Centre (ACE CRC)</t>
  </si>
  <si>
    <t>Australian Antarctic Science Kerguelen Axis project; Bioplatforms Australia Industry Access Voucher; Australian Government's Business Cooperative Research Centres Programme through the Antarctic Climate and Ecosystems Cooperative Research Centre (ACE CRC)(Australian GovernmentDepartment of Industry, Innovation and ScienceCooperative Research Centres (CRC) Programme)</t>
  </si>
  <si>
    <t>We thank the Science Technical Support Team of the Australian Antarctic Division and the master and crew of the Aurora Australis for their considerable efforts to make this work happen. Karen Westwood and Imojen Pearce (AAD) provided chlorophyll data. Andrea Polanowski (AAD) helped with lab work. Andrew Bissett (CSIRO) and Martin Ostrowski (Macquarie University) assisted with bioinformatics. Rowan Trebilco (ACE CRC), John McKinlay (AAD) and the GentleR group provided advice on statistical analyses. Rowan Trebilco and Michael Sumner (AAD) helped create the map figures. Sophie Bestley (UTAS) provided valuable advice on regional oceanography. Contribution to the Australian Antarctic Science Kerguelen Axis project (AAS-4344) and `Using high throughput DNA metabarcoding to investigate Southern Ocean pelagic ecosystems and potential fisheries impacts' (AAS-4313). Molecular work supported by a Bioplatforms Australia Industry Access Voucher. This work was supported by the Australian Government's Business Cooperative Research Centres Programme through the Antarctic Climate and Ecosystems Cooperative Research Centre (ACE CRC).</t>
  </si>
  <si>
    <t>10.1016/j.dsr2.2018.12.003</t>
  </si>
  <si>
    <t>WOS:000539111000004</t>
  </si>
  <si>
    <t>Clarke, LJ; Trebilco, R; Walters, A; Polanowski, AM; Deagle, BE</t>
  </si>
  <si>
    <t>Clarke, Laurence J.; Trebilco, Rowan; Walters, Andrea; Polanowski, Andrea M.; Deagle, Bruce E.</t>
  </si>
  <si>
    <t>DNA-based diet analysis of mesopelagic fish from the southern Kerguelen Axis</t>
  </si>
  <si>
    <t>Mesopelagic zone; Stomach content; Food webs; Energy transfer; Metabarcoding; Jellyfish</t>
  </si>
  <si>
    <t>MARGINAL ICE-ZONE; MYCTOPHID FISHES; FEEDING ECOLOGY; FOOD-WEB; COMMUNITY STRUCTURE; OCEAN ECOSYSTEMS; MACQUARIE ISLAND; WATERS; PREDATORS; SEQUENCES</t>
  </si>
  <si>
    <t>Mesopelagic fish form an important link between zooplankton and higher trophic levels in Southern Ocean food webs, however their diets are poorly known. Most of the dietary information available comes from morphological analysis of stomach contents and to a lesser extent fatty acid and stable isotopes. DNA sequencing could substantially improve our knowledge of mesopelagic fish diets, but has not previously been applied. We used high-throughput DNA sequencing (HTS) of the 18S ribosomal DNA and mitochondrial cytochrome oxidase I (COI) to characterise stomach contents of four myctophid and one bathylagid species collected at the southern extension of the Kerguelen Plateau (southern Kerguelen Axis), one of the most productive regions in the Indian sector of the Southern Ocean. Diets of the four myctophid species were dominated by amphipods, euphausiids and copepods, whereas radiolarians and siphonophores contributed a much greater proportion of HTS reads for Bathylagus sp. Analysis of mitochondrial COI showed that all species preyed on Thysanoessa macrura, but Euphausia superba was only detected in the stomach contents of myctophids. Size-based shifts in diet were apparent, with larger individuals of both bathylagid and myctophid species more likely to consume euphausiids, but we found little evidence for regional differences in diet composition for each species over the survey area. The presence of DNA from coelenterates and other gelatinous prey in the stomach contents of all five species suggests the importance of these taxa in the diet of Southern Ocean mesopelagics has been underestimated to date. Our study demonstrates the use of DNA-based diet assessment to determine the role of mesopelagic fish and their trophic position in the Southern Ocean and inform the development of ecosystem models.</t>
  </si>
  <si>
    <t>[Clarke, Laurence J.; Trebilco, Rowan; Deagle, Bruce E.] Univ Tasmania, Antarctic Climate &amp; Ecosyst Cooperat Res Ctr, Private Bag 80, Hobart, Tas 7001, Australia; [Clarke, Laurence J.; Polanowski, Andrea M.; Deagle, Bruce E.] Australian Antarctic Div, Kingston, Tas 7050, Australia; [Walters, Andrea] Univ Tasmania, Inst Marine &amp; Antarctic Studies, Private Bag 129, Hobart, Tas 7001, Australia</t>
  </si>
  <si>
    <t>University of Tasmania; Antarctic Climate &amp; Ecosystems Cooperative Research Centre (ACE CRC); Australian Antarctic Division; University of Tasmania</t>
  </si>
  <si>
    <t>Clarke, LJ (corresponding author), Univ Tasmania, Antarctic Climate &amp; Ecosyst Cooperat Res Ctr, Private Bag 80, Hobart, Tas 7001, Australia.</t>
  </si>
  <si>
    <t>Deagle, Bruce E/R-2999-2019; Trebilco, Rowan/I-5311-2012; Clarke, Laurence/N-3579-2017</t>
  </si>
  <si>
    <t>Deagle, Bruce E/0000-0001-7651-3687; Trebilco, Rowan/0000-0001-9712-8016; Walters, Andrea/0000-0002-7166-5689; Clarke, Laurence/0000-0002-0844-4453; Polanowski, Andrea/0000-0002-9612-220X</t>
  </si>
  <si>
    <t>Australian Antarctic Science Kerguelen Axis Project [AAS-4344]; Australian Antarctic Science Program [AAS-4313]; RJL Hawke PostDoctoral Fellowship [AAS-4366]; Australian Government's Business Cooperative Research Centres Programme through the Antarctic Climate and Ecosystems Cooperative Research Centre (ACE CRC); Australian Research Council's Special Research Initiative for Antarctic Gateway Partnership Australia [SR140300001]</t>
  </si>
  <si>
    <t>Australian Antarctic Science Kerguelen Axis Project; Australian Antarctic Science Program; RJL Hawke PostDoctoral Fellowship;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Council's Special Research Initiative for Antarctic Gateway Partnership Australia(Australian Research Council)</t>
  </si>
  <si>
    <t>We thank the Science Technical Support Team of the Australian Antarctic Division and the master and crew of the Aurora Australis for their considerable efforts to make this work happen, and James Marthick (Menzies Research Institute, University of Tasmania) for facilitating use of the MiSeq Genome Sequencer. Contribution to the Australian Antarctic Science Kerguelen Axis Project (AAS-4344). Molecular work was funded through the Australian Antarctic Science Program (AAS-4313). RT was supported by the RJL Hawke PostDoctoral Fellowship (AAS-4366). This research was supported by the Australian Government's Business Cooperative Research Centres Programme through the Antarctic Climate and Ecosystems Cooperative Research Centre (ACE CRC). This research was supported under Australian Research Council's Special Research Initiative for Antarctic Gateway Partnership (Project ID SR140300001) Australia.</t>
  </si>
  <si>
    <t>10.1016/j.dsr2.2018.09.001</t>
  </si>
  <si>
    <t>WOS:000539111000001</t>
  </si>
  <si>
    <t>Kelly, P; Corney, SP; Melbourne-Thomas, J; Kawaguchi, S; Bestley, S; Fraser, A; Swadling, KM</t>
  </si>
  <si>
    <t>Kelly, Paige; Corney, Stuart P.; Melbourne-Thomas, Jessica; Kawaguchi, So; Bestley, Sophie; Fraser, Alexander; Swadling, Kerrie M.</t>
  </si>
  <si>
    <t>Salpa thompsoni in the Indian Sector of the Southern Ocean: Environmental drivers and life history parameters</t>
  </si>
  <si>
    <t>Salpa thompsoni; Antarctic waters; Food webs; Trophic structure; Winter sea ice extent; Kerguelen Plateau; Southern ocean Indian sector; East Antarctica</t>
  </si>
  <si>
    <t>KRILL EUPHAUSIA-SUPERBA; COMMUNITY STRUCTURE; VERTICAL MIGRATION; AUSTRAL SUMMER; CLIMATE-CHANGE; BIOCHEMICAL-COMPOSITION; LAZAREV SEA; EL-NINO; ZOOPLANKTON; MACROZOOPLANKTON</t>
  </si>
  <si>
    <t>The Southern Ocean ecosystem is thought to be experiencing a long-term increase in Salpa thompsoni. Uncertainty surrounds the environmental drivers behind variable S. thompsoni abundances, particularly within the East Antarctic region. In this study, S. thompsoni populations were sampled in the Indian Sector of the Southern Ocean, as part of the January-February 2016 Kerguelen Axis voyage. These recent data were compared against historical density records in the broader Kerguelen Plateau region from voyages during 1985-2006. Results show that 2016 maximum S. thompsoni densities across the Kerguelen Plateau were higher, and more southerly located, than those previously sampled in the area. The highest 2016 S. thompsoni abundances exceeded 2500 individuals 1000 m(-3) and were located between the Southern Boundary of the Antarctic Circumpolar Current and the Southern Antarctic Circumpolar Current Front. The life-stage composition of S. thompsoni comprised approximately 90% aggregates (blastozooids) and 10% solitaries (oozoids). Generalised Additive Models associated low chlorophyll-a concentration and low solar elevation (outside of peak daylight) with higher S. thompsoni abundances. In addition, elevated abundances occurred in locations from where the sea ice retreated at least eight weeks previously. These abundance-environment relationships are consistent with results from several previous surveys in the region and the West Antarctic. Due to the complex life cycle of S. thompsoni, and the unpredictability of their distribution patterns, multi-seasonal and multi-year surveys are needed to confirm whether the 2016 distribution patterns are indicative of a long-term increase or southerly shift in abundances. The new information from this study provides much needed baseline abundance and distribution data (which can be used to assess future change in a currently understudied oceanographic region) on a species capable of shaping the future ecosystem structure and function in the Indian Sector of the Southern Ocean.</t>
  </si>
  <si>
    <t>[Kelly, Paige; Corney, Stuart P.; Bestley, Sophie; Swadling, Kerrie M.] Univ Tasmania, Inst Marine &amp; Antarctic Studies, Sandy Bay, Tas 7005, Australia; [Kelly, Paige; Melbourne-Thomas, Jessica; Kawaguchi, So; Fraser, Alexander; Swadling, Kerrie M.] Univ Tasmania, Antarctic Climate &amp; Ecosyst CRC, Hobart, Tas 7001, Australia; [Kawaguchi, So] Australian Antarctic Div, Kingston, Tas 7050, Australia; [Melbourne-Thomas, Jessica] Commonwealth Sci &amp; Ind Res Org, Battery Point, Tas 7004, Australia</t>
  </si>
  <si>
    <t>University of Tasmania; University of Tasmania; Australian Antarctic Division; Commonwealth Scientific &amp; Industrial Research Organisation (CSIRO)</t>
  </si>
  <si>
    <t>Kelly, P (corresponding author), Univ Tasmania, Inst Marine &amp; Antarctic Studies, Sandy Bay, Tas 7005, Australia.</t>
  </si>
  <si>
    <t>kellyps@utas.edu.au</t>
  </si>
  <si>
    <t>Melbourne-Thomas, Jess/N-2437-2019; Fraser, Alexander/AFO-7186-2022; Bestley, Sophie/AAN-2483-2021</t>
  </si>
  <si>
    <t>Melbourne-Thomas, Jess/0000-0001-6585-876X; Fraser, Alexander/0000-0003-1924-0015; Bestley, Sophie/0000-0001-9342-669X; Swadling, Kerrie/0000-0002-7620-841X</t>
  </si>
  <si>
    <t>Australian Antarctic Grants [4331, 4434]; Antarctic Climate and Ecosystems Cooperative Research Centre (ACE CRC)</t>
  </si>
  <si>
    <t>Australian Antarctic Grants; Antarctic Climate and Ecosystems Cooperative Research Centre (ACE CRC)(Australian GovernmentDepartment of Industry, Innovation and ScienceCooperative Research Centres (CRC) Programme)</t>
  </si>
  <si>
    <t>This research was possible thanks to the skill and cooperation of the P&amp;O crew and scientific personnel on board the RV Aurora Australis during the Kerguelen Axis voyage. The authors also wish to thank Mike Sumner, Karen Westwood, Stacey Deppeler and Imojen Pearce for their role in data processing, and Andrew Constable, Graham Hosie and Di Davies for their insightful discussions. This project was supported by Australian Antarctic Grants 4331 and 4434. This research was also supported by the Antarctic Climate and Ecosystems Cooperative Research Centre (ACE CRC).</t>
  </si>
  <si>
    <t>10.1016/j.dsr2.2020.104789</t>
  </si>
  <si>
    <t>WOS:000539111000009</t>
  </si>
  <si>
    <t>Klekociuk, AR; French, WJR; Alexander, SP; Kuma, P; McDonald, AJ</t>
  </si>
  <si>
    <t>Klekociuk, Andrew R.; French, W. John R.; Alexander, Simon P.; Kuma, Peter; McDonald, Adrian J.</t>
  </si>
  <si>
    <t>The state of the atmosphere in the 2016 southern Kerguelen Axis campaign region</t>
  </si>
  <si>
    <t>Kerguelen Plateau; Southern Ocean; Clouds; Cloud cover; Insolation; Global radiation; Cloud Radiative Effect; Photosynthesis; Meteorological data; Weather forecasting; Reanalysis</t>
  </si>
  <si>
    <t>PHOTOSYNTHETICALLY ACTIVE RADIATION; SEA SPRAY AEROSOL; CLOUD PROPERTIES; SOLAR-RADIATION; ERA-INTERIM; SURFACE OBSERVATIONS; OCEAN; SIMULATION; SATELLITE; IMPACT</t>
  </si>
  <si>
    <t>The near-surface environment of the Southern Ocean is subject to particular biases in weather and climate simulations, particularly during the summer season, and relatively few analyses of cloud and radiation properties have been reported for the region. Here we provide an analysis of ship-based measurements of downwelling radiation, cloud fraction and cloud base height from the RSV Aurora Australis during the Kerguelen Axis marine science campaign which was conducted in the Southern Ocean south-east of the Kerguelen Plateau between January and March 2016. Our study period focussed on a 22-day interval during the first two months of the campaign. We compared estimates of cloud fraction obtained with a cloud imager and ceilometer, and found good agreement between the two measurement types, particularly when the camera images were analysed in a narrow overhead field to account for differences in the measurement techniques. We used the Interim European Centre for Medium-Range Weather Forecasts Reanalysis (ERA-Interim) and the Antarctic Mesoscale Prediction System Polar Weather and Research Forecasting model (Polar WRF) to provide comparison data for our measurements. We found that both comparison data sets generally underestimated cloud cover (observed cloud fraction -0.96 compared with 0.87 for ERA-Interim and 0.63 for Polar WRF). As a consequence, the comparison data showed biases in both the surface shortwave irradiance ( + 59 W m(-2 )for ERA-Interim and + 154 W m-2 for Polar WRF) and the longwave irradiance (- 23 W m(-2) for ERA-Interim and -46 W m(-2) for Polar WRF). The observed mean net surface cloud radiative effect (CRE) of -228 W m(-2) was significantly more negative than found in previous observations in the Southern Ocean region, and compares with a net surface CRE of - 138 W m(-2) for ERA-Interim which also showed relatively strong cloud forcing. The observed net surface CRE bias for ERA-Interim of + 90W m(-2) appears primarily the result of the reanalysis underestimating the cloud fraction, which at least partly relates to a lack of low clouds. Polar WRF was also found to have a deficit of low clouds. We characterised the relationship between the ratio of irradiances by Photosynthetically Active Radiation (PAR) and shortwave radiation and cloud transmittance. As a consequence of cloud, light levels were estimated as being below the level for light-limited photosynthesis during 31% of the available time the sun was above the horizon (69% of each day on average), compared with the expected clear-sky value of 10%. Over the campaign period, the Indian Ocean sector of the Southern Ocean was influenced by the positive phase of the Southern Annular Mode (SAM). Notably, the surface SAM index in January and March was the most positive observed since 1957. This situation generally led to near-surface climatological differences over the southern part of the campaign region over much of the period, which included significant negative anomalies in mean sea level pressure and air temperature, and positive anomalies in zonal wind. Overall, the cloudiness of our study region appeared to be above average for the time of year, but we could not identify a clear cause for this in the prevailing climatic conditions. While the level of shortwave radiation was likely below average for the time of year, this deficit is not likely to have significantly impacted on photosynthesis in the mixed layer of the ocean.</t>
  </si>
  <si>
    <t>[Klekociuk, Andrew R.; French, W. John R.; Alexander, Simon P.] Australian Antarctic Div, Dept Environm &amp; Energy, Kingston, Tas, Australia; [Klekociuk, Andrew R.; French, W. John R.; Alexander, Simon P.] Antarctic Climate &amp; Ecosyst Cooperat Res Ctr, Hobart, Tas, Australia; [Kuma, Peter; McDonald, Adrian J.] Univ Canterbury, Sch Phys &amp; Chem Sci, Christchurch, New Zealand; [McDonald, Adrian J.] Univ Canterbury, Gateway Antarctica, Christchurch, New Zealand</t>
  </si>
  <si>
    <t>Australian Antarctic Division; Antarctic Climate &amp; Ecosystems Cooperative Research Centre (ACE CRC); University of Canterbury; University of Canterbury</t>
  </si>
  <si>
    <t>Klekociuk, AR (corresponding author), Australian Antarctic Div, Dept Environm &amp; Energy, Kingston, Tas, Australia.</t>
  </si>
  <si>
    <t>andrew.klekociuk@aad.gov.au</t>
  </si>
  <si>
    <t>Klekociuk, Andrew R/A-4498-2015</t>
  </si>
  <si>
    <t>Kuma, Peter/0000-0002-0910-8646; French, John/0000-0001-9305-6190; Alexander, Simon/0000-0001-6823-8857</t>
  </si>
  <si>
    <t>Australian Antarctic Science Kerguelen Axis project [AAS-4344]; Antarctic Clouds and Radiation Experiment project [AAS-4292]; Australian Antarctic Division, Department of the Environment and Energy, Commonwealth of Australia [AAS-4344, AAS-4292]; Australian Antarctic Division, Department of the Environment and Energy, Commonwealth of Australia under the project 'Clouds and Aerosols over the Southern Ocean' of the New Zealand Deep South Challenge programme</t>
  </si>
  <si>
    <t>Australian Antarctic Science Kerguelen Axis project; Antarctic Clouds and Radiation Experiment project; Australian Antarctic Division, Department of the Environment and Energy, Commonwealth of Australia; Australian Antarctic Division, Department of the Environment and Energy, Commonwealth of Australia under the project 'Clouds and Aerosols over the Southern Ocean' of the New Zealand Deep South Challenge programme</t>
  </si>
  <si>
    <t>This work is a contribution to the Australian Antarctic Science Kerguelen Axis project (AAS-4344) and the Antarctic Clouds and Radiation Experiment project (AAS-4292). Funding and logistical support was provided by the Australian Antarctic Division, Department of the Environment and Energy, Commonwealth of Australia under projects AAS-4344 and AAS-4292, and under the project 'Clouds and Aerosols over the Southern Ocean' of the New Zealand Deep South Challenge programme. We thank the Science Technical Support Team of the Australian Antarctic Division and the master and crew of the RSV Aurora Australis for their considerable efforts to facilitate the operation of the ship and the collection of data. We particularly thank S. Whiteside, L. Symons, P. de Vries, C. Richards, C. Young, and M. Cox for their assistance with instrumentation. We also thank G. Plank of the University of Canterbury for assistance with the ceilometer measurements. We acknowledge reviews by 2 anonymous reviewers and Dr Stephen Warren which have helped to improve the manuscript.</t>
  </si>
  <si>
    <t>10.1016/j.dsr2.2019.02.001</t>
  </si>
  <si>
    <t>WOS:000539111000005</t>
  </si>
  <si>
    <t>Lin, DM; Walters, A; Bestley, S; Zhu, GP; Chen, XJ; Trebilco, R</t>
  </si>
  <si>
    <t>Lin, Dongming; Walters, Andrea; Bestley, Sophie; Zhu, Guoping; Chen, Xinjun; Trebilco, Rowan</t>
  </si>
  <si>
    <t>Distribution of larval and juvenile pelagic squids in the Kerguelen Axis region: Oceanographic influence on size structure and evidence of spawning locations</t>
  </si>
  <si>
    <t>Pelagic squids; Size distribution; Spawning habitat; Kerguelen plateau; Southern ocean</t>
  </si>
  <si>
    <t>SOUTHERN ELEPHANT SEALS; PRYDZ BAY; PHYTOPLANKTON BLOOMS; MOROTEUTHIS-INGENS; BERGMANNS RULE; CEPHALOPODS; ISLANDS; CONSUMPTION; GIGANTISM; GROWTH</t>
  </si>
  <si>
    <t>Pelagic squids are a key component in Southern Ocean ecosystems. Most species have a circumpolar distribution that is patchy in relation to major oceanographic features. However, little is known regarding where and when they spawn, or subsequently, what environmental predictors drive the size distribution particularly during early life stages. Here, we relate the size distribution of larval and juvenile squids to the oceanographic conditions around the southern Kerguelen Plateau. This is an important foraging area for many predators of squid, but there has been very little sampling effort for squids to date in that area. Seven squid species from six families were captured using depth-stratified mid-water trawls. The squids had a mantle length (ML) ranging from 7.3 to 680.1 mm, and were at their larval and juvenile form with the exception of two larger mature Galiteuthis glacialis (431.4 mm and 680.1 mm ML). Squids at stages 0 to 1 were predominant (ML &lt; 100 mm), with a single size mode for each species, suggesting that these species may use the plateau as a spawning and/or nursery ground. Larger individuals ( &gt; 100 mm ML, above maturity stage I) were generally observed more in the southeast of the study domain. Squid size was positively associated with lower minimal water column temperature, higher surface chlorophyll-a concentration, and both the deepest and shallowest layers of the water column. The spatial distribution may be adaptive, helping to reduce inter- and infra-species competition and increase survivorship during early life stages. The reported relationships provide important new insights into the biophysical drivers of pelagic squid habitats around the Southern Ocean. These data significantly increase the known range of several Southern Ocean species and present implications for spawning habitat that warrant further investigation.</t>
  </si>
  <si>
    <t>[Lin, Dongming; Zhu, Guoping; Chen, Xinjun] Shanghai Ocean Univ, Coll Marine Sci, 999 Huchenghuan Rd, Shanghai 201306, Peoples R China; [Lin, Dongming; Zhu, Guoping; Chen, Xinjun] Shanghai Ocean Univ, Key Lab Sustainable Exploitat Ocean Fisheries Res, Minist Educ, 999 Huchenghuan Rd, Shanghai 201306, Peoples R China; [Lin, Dongming; Zhu, Guoping; Chen, Xinjun] Shanghai Ocean Univ, Natl Engn Res Ctr Ocean Fisheries, 999 Huchenghuan Rd, Shanghai 201306, Peoples R China; [Walters, Andrea; Bestley, Sophie] Univ Tasmania, Inst Marine &amp; Antarctic Studies, Hobart, Tas 7001, Australia; [Bestley, Sophie] CSIRO Marine &amp; Atmospher Res, Hobart, Tas 7001, Australia; [Lin, Dongming; Trebilco, Rowan] Univ Tasmania, Antarctic Climate &amp; Ecosyst Cooperat Res Ctr, Hobart, Tas 7001, Australia</t>
  </si>
  <si>
    <t>Shanghai Ocean University; Shanghai Ocean University; Shanghai Ocean University; National Engineering Research Center for Oceanic Fisheries; University of Tasmania; Commonwealth Scientific &amp; Industrial Research Organisation (CSIRO); Antarctic Climate &amp; Ecosystems Cooperative Research Centre (ACE CRC); University of Tasmania</t>
  </si>
  <si>
    <t>Lin, DM (corresponding author), Shanghai Ocean Univ, Coll Marine Sci, 999 Huchenghuan Rd, Shanghai 201306, Peoples R China.</t>
  </si>
  <si>
    <t>dmlin@shou.edu.cn</t>
  </si>
  <si>
    <t>Bestley, Sophie/AAN-2483-2021; chen, xin/IQW-3432-2023; Trebilco, Rowan/I-5311-2012; ZHU, Guo-ping/D-1002-2010</t>
  </si>
  <si>
    <t>Bestley, Sophie/0000-0001-9342-669X; Trebilco, Rowan/0000-0001-9712-8016; Walters, Andrea/0000-0002-7166-5689; Zhu, Guoping/0000-0001-6081-7811</t>
  </si>
  <si>
    <t>Australian government under Cooperative Research Centre Program through the Antarctic Climate and Ecosystems Cooperative Research Centre (ACE CRC); Australian Antarctic Science Program [4344]; Australian Research Council's Special Research Initiative for Antarctic Gateway Partnership [SR140300001]; National Key R&amp;D Program of China [2018YFC1406801]; National Natural Science Foundation of China [NSFC41876144, 41876141, 41776185]; Natural Science Foundation of Shanghai [16ZR1415400]; first-class discipline of Aquaculture; RJL Hawke Postdoctoral Fellowship</t>
  </si>
  <si>
    <t>Australian government under Cooperative Research Centre Program through the Antarctic Climate and Ecosystems Cooperative Research Centre (ACE CRC); Australian Antarctic Science Program; Australian Research Council's Special Research Initiative for Antarctic Gateway Partnership(Australian Research Council); National Key R&amp;D Program of China; National Natural Science Foundation of China(National Natural Science Foundation of China (NSFC)); Natural Science Foundation of Shanghai(Natural Science Foundation of Shanghai); first-class discipline of Aquaculture; RJL Hawke Postdoctoral Fellowship</t>
  </si>
  <si>
    <t>This work received support from the Australian government under the (i) Cooperative Research Centre Program through the Antarctic Climate and Ecosystems Cooperative Research Centre (ACE CRC), (ii) Australian Antarctic Science Program (Project 4344), and (iii) Australian Research Council's Special Research Initiative for Antarctic Gateway Partnership (Project ID SR140300001). DL, GZ and XC were supported by National Key R&amp;D Program of China (2018YFC1406801), National Natural Science Foundation of China (NSFC41876144; 41876141; 41776185), Natural Science Foundation of Shanghai (16ZR1415400), the first-class discipline of Aquaculture. RT was supported by the RJL Hawke Postdoctoral Fellowship. We thank Dr. Andrew Constable, Dr. Kerrie Swadling and three anonymous reviewers for many insightful comments and suggestions on earlier draft of this manuscript, Ms. Cheryl Glor for her effort on English grammar editing, and Dr. Ken Drinkwater for editorial assistance and valuable comments. We are grateful to the expeditioners, captain and crew onboard Aurora Australis during K-Axis Survey for the samples collection and other assistance, and particularly B. Collins, M. Stapleton and D. Phillips for their tremendous efforts assisting the fish and squid sampling onboard.</t>
  </si>
  <si>
    <t>10.1016/j.dsr2.2019.07.003</t>
  </si>
  <si>
    <t>WOS:000539111000008</t>
  </si>
  <si>
    <t>Matsuno, K; Wallis, JR; Kawaguchi, S; Bestley, S; Swadling, KM</t>
  </si>
  <si>
    <t>Matsuno, Kohei; Wallis, Jake R.; Kawaguchi, So; Bestley, Sophie; Swadling, Kerrie M.</t>
  </si>
  <si>
    <t>Zooplankton community structure and dominant copepod population structure on the southern Kerguelen Plateau during summer 2016</t>
  </si>
  <si>
    <t>Calanoides acutus; Calanus propinquus; Metridia gerlachei; Metridia lucens; Rhincalanus gigas; Fawn trough; Princess Elizabeth trough; BANZARE Bank</t>
  </si>
  <si>
    <t>EAST ANTARCTICA 80-150-DEGREES-E; LIFE-CYCLE STRATEGIES; AUSTRAL SUMMER; OCEAN SOUTH; SCOTIA SEA; SEASONAL SUCCESSION; CALANUS-PROPINQUUS; CALANOIDES-ACUTUS; EUPHAUSIA-SUPERBA; WEDDELL-SEA</t>
  </si>
  <si>
    <t>The influence of environmental factors on the horizontal community structure of zooplankton over the southern Kerguelen Plateau was investigated during summer in 2016. Zooplankton abundance ranged from 1490 to 363,484 ind. 1000 m(-3), with highest numbers observed in the eastern and central areas. Based on cluster analysis the zooplankton were divided into six groups (A-F), and these were only distinguished based on water masses and frontal systems. Groups A to C had abundant zooplankton and were consistent with areas of high chlorophyll a concentration. Group D represented low abundance near the southern Antarctic Circumpolar Current front, while group E was clustered south of the Southern Boundary and group F comprised two stations to the east of the Fawn Trough. Generalised linear model (GLM) highlighted both fronts and chlorophyll a concentration as drivers of overall zooplankton distribution. However, the population structures of key species were more likely a result of species-specific life cycles rather than water masses and frontal systems.</t>
  </si>
  <si>
    <t>[Matsuno, Kohei] Hokkaido Univ, Grad Sch Fisheries Sci, 3-1-1 Minato Cho, Hakodate, Hokkaido 0418611, Japan; [Matsuno, Kohei] Hokkaido Univ, Arctic Res Ctr, Kita 21 Nishi 11 Kita Ku, Sapporo, Hokkaido 0010021, Japan; [Matsuno, Kohei; Wallis, Jake R.; Kawaguchi, So; Swadling, Kerrie M.] Antarctic Climate &amp; Ecosyst Cooperat Res Ctr, 20 Castray Esplanade, Battery Point, Tas 7004, Australia; [Wallis, Jake R.; Bestley, Sophie; Swadling, Kerrie M.] Univ Tasmania, Inst Marine &amp; Antarctic Studies, 20 Castray Esplanade, Battery Point, Tas 7004, Australia; [Kawaguchi, So] Australian Antarctic Div, 203 Channel Highway, Kingston, Tas 7050, Australia; [Bestley, Sophie] CSIRO Oceans &amp; Atmosphere, GPO Box 1538, Hobart, Tas 7001, Australia</t>
  </si>
  <si>
    <t>Hokkaido University; Hokkaido University; Antarctic Climate &amp; Ecosystems Cooperative Research Centre (ACE CRC); University of Tasmania; Australian Antarctic Division; Commonwealth Scientific &amp; Industrial Research Organisation (CSIRO)</t>
  </si>
  <si>
    <t>Matsuno, K (corresponding author), Hokkaido Univ, Grad Sch Fisheries Sci, 3-1-1 Minato Cho, Hakodate, Hokkaido 0418611, Japan.</t>
  </si>
  <si>
    <t>k.matsuno@fish.hokudai.ac.jp</t>
  </si>
  <si>
    <t>Matsuno, Kohei/AAJ-6510-2021; Bestley, Sophie/AAN-2483-2021</t>
  </si>
  <si>
    <t>Matsuno, Kohei/0000-0001-9793-7622; Bestley, Sophie/0000-0001-9342-669X; Swadling, Kerrie/0000-0002-7620-841X</t>
  </si>
  <si>
    <t>AAS Grants [4331, 4344]; Australian Government's Business Cooperative Research Centres Programme through the Antarctic Climate and Ecosystems Cooperative Research Centre; Australia Research Council's Special Research Initiative for Antarctic Gateway Partnership [SR140300001]; Japanese Society for Promotion of Science (JSPS) [18K14506]; Australian Governments Cooperative Research Centres Program, through the Antarctic Climate and Ecosystems CRC; Grants-in-Aid for Scientific Research [18K14506] Funding Source: KAKEN</t>
  </si>
  <si>
    <t>AAS Grants; Australian Government's Business Cooperative Research Centres Programme through the Antarctic Climate and Ecosystems Cooperative Research Centre; Australia Research Council's Special Research Initiative for Antarctic Gateway Partnership; Japanese Society for Promotion of Science (JSPS)(Ministry of Education, Culture, Sports, Science and Technology, Japan (MEXT)Japan Society for the Promotion of Science); Australian Governments Cooperative Research Centres Program, through the Antarctic Climate and Ecosystems CRC(Australian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</si>
  <si>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Y We thank the Science Technical Support Team of the Australian Antarctic Division and the master and crew of the RV Aurora Australis for their considerable efforts to support this research. This study was supported by AAS Grants 4331 and 4344. This project was also supported by the Australian Government's Business Cooperative Research Centres Programme through the Antarctic Climate and Ecosystems Cooperative Research Centre, and the Australia Research Council's Special Research Initiative for Antarctic Gateway Partnership (Project ID SR140300001). Part of the present study was financially supported through Overseas Research Fellowships and a Grant-in-Aid for Scientific Research 18K14506 (Early Career Scientists) from the Japanese Society for Promotion of Science (JSPS). This project was also supported by the Australian Governments Cooperative Research Centres Program, through the Antarctic Climate and Ecosystems CRC. Three anonymous reviewers substantially improved this manuscript.</t>
  </si>
  <si>
    <t>10.1016/j.dsr2.2020.104788</t>
  </si>
  <si>
    <t>WOS:000539111000013</t>
  </si>
  <si>
    <t>McCormack, SA; Melbourne-Thomas, J; Trebilco, R; Blanchard, JL; Constable, A</t>
  </si>
  <si>
    <t>McCormack, Stacey A.; Melbourne-Thomas, Jessica; Trebilco, Rowan; Blanchard, Julia L.; Constable, Andrew</t>
  </si>
  <si>
    <t>Alternative energy pathways in Southern Ocean food webs: Insights from a balanced model of Prydz Bay, Antarctica</t>
  </si>
  <si>
    <t>Antarctic krill; Ecopath; Energy pathways; Keystoneness; Prydz Bay; Southern Ocean</t>
  </si>
  <si>
    <t>POPULATION STATUS; SEAL ABUNDANCE; CLIMATE-CHANGE; ECOSYSTEM; FISH; ECOPATH; KRILL; BIOMASS; TRENDS; UNCERTAINTY</t>
  </si>
  <si>
    <t>In recent years, there has been a shift away from the long-standing paradigm in which a short, krill-dominated food chain was considered to be the central element in Southern Ocean food webs. Instead, there is now increasing recognition that alternative energy pathways through mid-trophic level groups (mesopelagic fish and squid) may be equally (if not more) important than the krill pathway in many regions. Ecosystem models are a valuable tool to synthesise existing data on the structure of marine food webs and to visualise and quantify alternative energy pathways. In this study we develop a static mass balance food web model for the southern Kerguelen Axis region (Prydz Bay and Princess Elizabeth Trough) to evaluate the importance of alternative energy pathways through mid-trophic level groups, including fish, squid and krill, in maintaining energy flow to top predators within East Antarctica. Our model reveals several major trophic pathways distinct from, and equally important to the Antarctic krill (Euphausia superba) pathway. Using simple scenarios of reductions in krill biomass, we investigate how the system might switch to a state dominated by fish and squid pathways with the response of krill-reliant predators strongly dependent on their ability to switch to other prey sources. We conclude by discussing what these findings might suggest for the future vulnerability of East Antarctic food webs and the implications for future modelling work in the region.</t>
  </si>
  <si>
    <t>[McCormack, Stacey A.; Blanchard, Julia L.] Univ Tasmania, Inst Marine &amp; Antarctic Studies, Private Bay 129, Hobart, Tas 7001, Australia; [McCormack, Stacey A.; Melbourne-Thomas, Jessica; Trebilco, Rowan; Constable, Andrew] Univ Tasmania, Antarctic Climate &amp; Ecosyst Cooperat Res Ctr, Hobart, Tas 7001, Australia; [Melbourne-Thomas, Jessica; Constable, Andrew] Australian Antarctic Div, Dept Environm &amp; Energy, 203 Channel Highway, Kingston, Tas 7050, Australia</t>
  </si>
  <si>
    <t>University of Tasmania; University of Tasmania; Antarctic Climate &amp; Ecosystems Cooperative Research Centre (ACE CRC); Australian Antarctic Division</t>
  </si>
  <si>
    <t>McCormack, SA (corresponding author), Univ Tasmania, Inst Marine &amp; Antarctic Studies, Private Bay 129, Hobart, Tas 7001, Australia.</t>
  </si>
  <si>
    <t>stacey.mccormack@utas.edu.au</t>
  </si>
  <si>
    <t>Trebilco, Rowan/I-5311-2012; Blanchard, Julia L/E-4919-2010; Melbourne-Thomas, Jess/N-2437-2019</t>
  </si>
  <si>
    <t>Trebilco, Rowan/0000-0001-9712-8016; Melbourne-Thomas, Jess/0000-0001-6585-876X; Blanchard, Julia/0000-0003-0532-4824</t>
  </si>
  <si>
    <t>Australian government's Cooperative Research Centre Program through the Antarctic Climate and Ecosystems Cooperative Research Centre (ACE CRC); Australian government's Cooperative Research Centre Program Australian Antarctic Science Program [4347, 4366]; AAD-UTAS Quantitative Antarctic Science Program; Australian Research Training Program; RJL Hawke Postdoctoral Fellowship</t>
  </si>
  <si>
    <t>Australian government's Cooperative Research Centre Program through the Antarctic Climate and Ecosystems Cooperative Research Centre (ACE CRC)(Australian GovernmentDepartment of Industry, Innovation and ScienceCooperative Research Centres (CRC) Programme); Australian government's Cooperative Research Centre Program Australian Antarctic Science Program; AAD-UTAS Quantitative Antarctic Science Program; Australian Research Training Program; RJL Hawke Postdoctoral Fellowship</t>
  </si>
  <si>
    <t>This work was supported by the Australian government's Cooperative Research Centre Program through the Antarctic Climate and Ecosystems Cooperative Research Centre (ACE CRC) and through the Australian Antarctic Science Program (Projects 4347 and 4366). SAM acknowledges funding from the AAD-UTAS Quantitative Antarctic Science Program, and the Australian Research Training Program. RT was supported by the RJL Hawke Postdoctoral Fellowship. We thank the two anonymous reviewers for their helpful comments on previous versions of the manuscript.</t>
  </si>
  <si>
    <t>10.1016/j.dsr2.2019.07.001</t>
  </si>
  <si>
    <t>WOS:000539111000010</t>
  </si>
  <si>
    <t>Riaz, J; Walters, A; Trebilco, R; Bestley, S; Lea, MA</t>
  </si>
  <si>
    <t>Riaz, Javed; Walters, Andrea; Trebilco, Rowan; Bestley, Sophie; Lea, Mary-Anne</t>
  </si>
  <si>
    <t>Stomach content analysis of mesopelagic fish from the southern Kerguelen Axis</t>
  </si>
  <si>
    <t>Mesopelagic; Stomach content; Diet; Myctophid; Bathylagid; Foraging ecology; Kerguelen</t>
  </si>
  <si>
    <t>SCOTIA SEA; FOOD-WEB; FEEDING ECOLOGY; COMMUNITY STRUCTURE; MYCTOPHID FISHES; MACQUARIE ISLAND; PREDATORY IMPACT; DIET COMPOSITION; TROPHIC LEVELS; TROPHODYNAMICS</t>
  </si>
  <si>
    <t>Mesopelagic fish represent an important trophic link between zooplankton and higher order predators in Southern Ocean food webs. Information on their feeding habits is still sparse, representing a key area of uncertainty in efforts to understand and model Southern Ocean food web dynamics. We used visual assessment of stomach contents to characterise the diets of three myctophids (Electrona antarctica, Gymnoscopelus braueri, Krefftichthys anderssoni) and one bathylagid (Bathylagus antarcticus) over the southern extension of the Kerguelen Plateau ('southern Kerguelen Axis'), a highly productive area of both biological and economic importance in the Indian sector of the Southern Ocean. Diets of all four species were dominated by euphausiids, amphipods, copepods and fish. Bathylagus antarcticus also preyed upon a high proportion of soft-bodied organisms. There was strong evidence for dietary variability both within and between species, and this variability was driven by latitudinal variation in zooplankton assemblages. Size-based shifts in diet were apparent, with larger individuals of myctophid and bathylagid species consuming larger prey. Linear mixed effects models also demonstrated that the weight of prey consumed increased in relation to predator weight. Dietary information presented here advances our understanding of the mesopelagic components of Southern Ocean food webs, which will improve the development of food web models for the region.</t>
  </si>
  <si>
    <t>[Riaz, Javed; Walters, Andrea; Bestley, Sophie; Lea, Mary-Anne] Univ Tasmania, Inst Marine &amp; Antarctic Studies, Hobart, Tas, Australia; [Trebilco, Rowan; Lea, Mary-Anne] Univ Tasmania, Antarctic Climate &amp; Ecosyst Cooperat Res Ctr, Hobart, Tas, Australia; [Bestley, Sophie] CSIRO Oceans &amp; Atmosphere, Hobart, Tas, Australia</t>
  </si>
  <si>
    <t>University of Tasmania; University of Tasmania; Antarctic Climate &amp; Ecosystems Cooperative Research Centre (ACE CRC); Commonwealth Scientific &amp; Industrial Research Organisation (CSIRO)</t>
  </si>
  <si>
    <t>Riaz, J (corresponding author), Univ Tasmania, Inst Marine &amp; Antarctic Studies, Hobart, Tas, Australia.</t>
  </si>
  <si>
    <t>j.riaz@utas.edu.au</t>
  </si>
  <si>
    <t>Trebilco, Rowan/I-5311-2012; Bestley, Sophie/AAN-2483-2021; Lea, Mary-Anne/E-9054-2013</t>
  </si>
  <si>
    <t>Trebilco, Rowan/0000-0001-9712-8016; Bestley, Sophie/0000-0001-9342-669X; Riaz, Javed/0000-0002-2729-6433; Lea, Mary-Anne/0000-0001-8318-9299; Walters, Andrea/0000-0002-7166-5689</t>
  </si>
  <si>
    <t>Australian government under Cooperative Research Centre Program through the Antarctic Climate and Ecosystems Cooperative Research Centre (ACE CRC); Australian government under Australian Antarctic Science Program [4343, 4344, 4347, 4366]; Australian government under Australian Research Council's Special Research Initiative for Antarctic Gateway Partnership [SR140300001]</t>
  </si>
  <si>
    <t>Australian government under Cooperative Research Centre Program through the Antarctic Climate and Ecosystems Cooperative Research Centre (ACE CRC); Australian government under Australian Antarctic Science Program(Australian Government); Australian government under Australian Research Council's Special Research Initiative for Antarctic Gateway Partnership</t>
  </si>
  <si>
    <t>We thank the captain and crew of the R.S.V Aurora Australis, as well as the researchers involved in the Kerguelen Axis voyage for their assistance with data collection and considerable efforts to facilitate this research. This research was supported by the Australian government under the (i) Cooperative Research Centre Program through the Antarctic Climate and Ecosystems Cooperative Research Centre (ACE CRC), (ii) Australian Antarctic Science Program (Projects 4343, 4344, 4347 and 4366), and (iii) Australian Research Council's Special Research Initiative for Antarctic Gateway Partnership (Project ID SR140300001).</t>
  </si>
  <si>
    <t>10.1016/j.dsr2.2019.104659</t>
  </si>
  <si>
    <t>WOS:000539111000006</t>
  </si>
  <si>
    <t>Subramaniam, RC; Corney, SP; Swadling, KM; Melbourne-Thomas, J</t>
  </si>
  <si>
    <t>Subramaniam, Roshni C.; Corney, Stuart P.; Swadling, Kerrie M.; Melbourne-Thomas, Jessica</t>
  </si>
  <si>
    <t>Exploring ecosystem structure and function of the northern Kerguelen Plateau using a mass-balanced food web model</t>
  </si>
  <si>
    <t>Ecopath; Kerguelen plateau; Food web interactions; Energy transfer; Fishery</t>
  </si>
  <si>
    <t>PATAGONIAN TOOTHFISH; ILES-KERGUELEN; PHYTOPLANKTON BLOOM; FEEDING ECOLOGY; SOUTHERN-OCEAN; CLIMATE-CHANGE; KILLER WHALES; INDIAN SECTOR; TROPHIC MODEL; SPERM-WHALES</t>
  </si>
  <si>
    <t>Annual phytoplankton blooms on the northern region of the Kerguelen Plateau fuel a productive food web that supports highly valuable commercial fisheries for Patagonian toothfish (Dissostichus eleginoides) and mackerel icefish (Champsocephalus gunnari). The food web on the plateau is understudied in comparison to other regions of the Southern Ocean. Major linkages and energy pathways have not been explored, and the combined effects of fishing and a changing climate on the ecosystem are largely unknown. Single species studies on the plateau have shown that the combined effects of climate change and fisheries are impacting populations, however, it is unclear how these impacts translate to the ecosystem. We extended an existing Ecopath model to describe food web dynamics on the plateau and investigate food web interactions with the fishery. Results from our model highlight, for the first time, the properties of the food web, major energy pathways and energy transfers between trophic levels. Energy transfer from detritus was most efficient at the lowest trophic level while energy from primary production was more efficient at higher trophic levels. Consumption and respiration were high in our system, most likely due to the inclusion of bacteria and microzooplankton. Killer whales, cephalopods and myctophids were key functional groups for energy transfer in the system. These groups were relatively data poor, suggesting a useful focus area for future updates to the model. Patagonian toothfish and mackerel icefish were heavily consumed in the food web, however, the inclusion of fisheries catches and by-catch had little to no impact on food web dynamics.</t>
  </si>
  <si>
    <t>[Subramaniam, Roshni C.; Swadling, Kerrie M.] Antarctic Climate &amp; Ecosyst Cooperat Res Ctr, 20 Castray Esplanade, Battery Point, Tas 7004, Australia; [Subramaniam, Roshni C.; Corney, Stuart P.; Swadling, Kerrie M.] Inst Marine &amp; Antarctic Studies, 20 Castray Esplanade, Battery Point, Tas 7004, Australia; [Melbourne-Thomas, Jessica] CSIRO Oceans &amp; Atmosphere, Battery Point, Tas 7004, Australia</t>
  </si>
  <si>
    <t>Antarctic Climate &amp; Ecosystems Cooperative Research Centre (ACE CRC); University of Tasmania; Commonwealth Scientific &amp; Industrial Research Organisation (CSIRO)</t>
  </si>
  <si>
    <t>Subramaniam, RC (corresponding author), Inst Marine &amp; Antarctic Studies, 20 Castray Esplanade, Battery Point, Tas 7004, Australia.</t>
  </si>
  <si>
    <t>Roshni.Subramaniam@utas.edu.au</t>
  </si>
  <si>
    <t>Melbourne-Thomas, Jess/N-2437-2019; Subramaniam, Roshni/ADZ-6878-2022</t>
  </si>
  <si>
    <t>Melbourne-Thomas, Jess/0000-0001-6585-876X; Subramaniam, Roshni/0000-0001-7368-8086; Swadling, Kerrie/0000-0002-7620-841X</t>
  </si>
  <si>
    <t>Australian Government's Cooperative Research Centres Programme through the Antarctic Climate and Ecosystems Cooperative Research Centre; Institute for Marine and Antarctic Studies (IMAS) through the Australian Antarctic Science Programme [AAS 4347]; University of Tasmania (UTAS) Tasmanian Graduate Research Scholarship; IMAS</t>
  </si>
  <si>
    <t>Australian Government's Cooperative Research Centres Programme through the Antarctic Climate and Ecosystems Cooperative Research Centre(Australian GovernmentDepartment of Industry, Innovation and ScienceCooperative Research Centres (CRC) Programme); Institute for Marine and Antarctic Studies (IMAS) through the Australian Antarctic Science Programme; University of Tasmania (UTAS) Tasmanian Graduate Research Scholarship; IMAS</t>
  </si>
  <si>
    <t>We would like to thank Matt Pinkerton and Adrian Dahood for their advice on the development of this model. We would also like to thank the anonymous reviewers for their helpful comments on the development of this manuscript. The following R packages were used to generate the figures in this paper: ggplot2 (Wickham, 2016), igraph (Csardi and Nepusz, 2006), RColorBrewer (Neuwirth, 2014), plyr (Wickham, 2011) and reshape2 (Wickham, 2007). This study was supported by the Australian Government's Cooperative Research Centres Programme through the Antarctic Climate and Ecosystems Cooperative Research Centre, and the Institute for Marine and Antarctic Studies (IMAS) through the Australian Antarctic Science Programme (AAS 4347) and through the IMAS and University of Tasmania (UTAS) Tasmanian Graduate Research Scholarship.</t>
  </si>
  <si>
    <t>10.1016/j.dsr2.2020.104787</t>
  </si>
  <si>
    <t>WOS:000539111000012</t>
  </si>
  <si>
    <t>Wallis, JR; Maschette, D; Wotherspoon, S; Kawaguchi, S; Swadling, KM</t>
  </si>
  <si>
    <t>Wallis, Jake R.; Maschette, Dale; Wotherspoon, Simon; Kawaguchi, So; Swadling, Kerrie M.</t>
  </si>
  <si>
    <t>Thysanoessa macrura in the southern Kerguelen region: Population dynamics and biomass</t>
  </si>
  <si>
    <t>Larvae; Calyptopis; Furcilia; Calanoides acutus; Lipids</t>
  </si>
  <si>
    <t>EAST ANTARCTICA 80-150-DEGREES-E; KRILL EUPHAUSIA-SUPERBA; AUSTRAL SUMMER; COMMUNITY STRUCTURE; LIFE-HISTORY; OCEAN KRILL; MACROZOOPLANKTON; DEMOGRAPHY; CRUSTACEA; ABUNDANCE</t>
  </si>
  <si>
    <t>Thysanoessa macrura is well adapted to the strong seasonality of the Southern Ocean. A flexible diet, large lipid reserves and a winter reproductive period provide T. macrura with the ability to capitalise on the pulses of primary and secondary reproduction in spring and summer. The population dynamics of T. macrura were examined over the southern Kerguelen Plateau region as part of a large-scale ecosystem assessment. Larval stages were present in high abundances, exceeding 4000 Ind. 1000 m(-3), with a peak in early furcilia (FI - FIV) and lower abundances of calyptopis stages (CI - CIII) indicating the end of a prolonged spawning period. High abundances of T. macrura were recorded throughout the entire study region, although they tended to be highest over the southern extent of the Banzare Bank and Princess Elizabeth Trough. This maximum appeared to be driven by the presence of the copepod Calanoides acutus, a dominant prey source. The first biomass estimates of T. macrura were determined for the region using length-frequency and abundance distributions. A mean biomass of 1.66 mg m(-3) (wet weight) was calculated for the region, however localised biomass over the southern tip of the Banzare Bank exceeded 9 mg m(-3) in the upper 200 m of the water column. The high biomass of T. macrura highlights their significance as an energy-rich resource for larger predators, inferring they play a currently underappreciated role in pelagic food-webs of the Southern Ocean.</t>
  </si>
  <si>
    <t>[Wallis, Jake R.; Wotherspoon, Simon; Swadling, Kerrie M.] Univ Tasmania, Inst Marine &amp; Antarctic Studies, Private Bag 129, Hobart, Tas 7001, Australia; [Wallis, Jake R.; Kawaguchi, So; Swadling, Kerrie M.] Univ Tasmania, Antarctic Climate &amp; Ecosyst Cooperat Res Ctr, Private Bag 80, Hobart, Tas 7001, Australia; [Maschette, Dale; Wotherspoon, Simon; Kawaguchi, So] Australian Antarctic Div, 203 Channel Highway, Kingston, Tas 7050, Australia</t>
  </si>
  <si>
    <t>University of Tasmania; Antarctic Climate &amp; Ecosystems Cooperative Research Centre (ACE CRC); University of Tasmania; Australian Antarctic Division</t>
  </si>
  <si>
    <t>Wallis, JR (corresponding author), Univ Tasmania, Inst Marine &amp; Antarctic Studies, Private Bag 129, Hobart, Tas 7001, Australia.</t>
  </si>
  <si>
    <t>jrwallis@utas.edu.au</t>
  </si>
  <si>
    <t>Wotherspoon, Simon J/B-2390-2013</t>
  </si>
  <si>
    <t>Wotherspoon, Simon J/0000-0002-6947-4445; Swadling, Kerrie/0000-0002-7620-841X; Maschette, Dale/0000-0003-2590-8544</t>
  </si>
  <si>
    <t>AAS grants [4331, 4344, 4037]; Antarctic Climate and Ecosystems Research Centre (ACE CRC)</t>
  </si>
  <si>
    <t>AAS grants; Antarctic Climate and Ecosystems Research Centre (ACE CRC)</t>
  </si>
  <si>
    <t>We would like to thank the captain and crew of the RV Aurora Australis during the voyage for their assistance in sample collection. We also thank Dr. Patti Virtue for her valuable assistance with lipid analysis and Dr. Kohei Matsuno for larval abundance data from the voyage. This project was funded by AAS grants 4331, 4344 and 4037. This research was supported by the Antarctic Climate and Ecosystems Research Centre (ACE CRC).</t>
  </si>
  <si>
    <t>10.1016/j.dsr2.2019.104719</t>
  </si>
  <si>
    <t>WOS:000539111000011</t>
  </si>
  <si>
    <t>Woods, B; Walters, A; Hindell, M; Trebilco, R</t>
  </si>
  <si>
    <t>Woods, Briannyn; Walters, Andrea; Hindell, Mark; Trebilco, Rowan</t>
  </si>
  <si>
    <t>Isotopic insights into mesopelagic niche space and energy pathways on the southern Kerguelen Plateau</t>
  </si>
  <si>
    <t>Trophodynamics; Food webs; Micronekton; Prey field; Midwater trawling</t>
  </si>
  <si>
    <t>PREY SIZE RELATIONSHIPS; PELAGIC FOOD-WEB; SCOTIA SEA; MYCTOPHID FISHES; STABLE-ISOTOPES; GEOGRAPHICAL VARIATION; ARCTOCEPHALUS-GAZELLA; TROPHIC STRUCTURE; FEEDING ECOLOGY; OCEAN</t>
  </si>
  <si>
    <t>Mesopelagic fish are an important but poorly understood mid-trophic component of pelagic food webs. There are major uncertainties regarding their trophodynamics and their overall contribution to the broader Southern Ocean food web. This study aimed to investigate the trophic role of mesopelagic fish in the region of the southern Kerguelen Plateau, an area of known importance to an abundant and diverse community of marine predators. We used carbon and nitrogen stable isotopes to quantify the isotopic niches of key mesopelagic fish species (six from the family Myctophidae, and one from Bathylagidae), and assessed variation along the delta N-15 (resource use) and delta C-13 (carbon source) axes between species. The assemblage of key mesopelagic fish occupied similar isotopic niche space with overlap among species in both delta C-13 and delta N-15 values. Baseline corrected delta N-15 values provided evidence of latitudinal trends in trophic position (TP). Trophic position estimates of taxa in the southern region of our study area spanned slightly less than 1 TP (mean TP 2.9-3.7); and 1 TP in the northern region (mean TP 3.2-4.2). We found evidence of trophic partitioning between species with differences in niche utilization (resource or habitat use). Factors reducing trophic competition include the relative importance of Euphausia superba as a prey item, vertical distribution of consumer and prey, and migratory behaviours. Size-based trophic structuring between species was evident with larger species displaying higher average delta N-15 values compared to smaller species. However, fish standard length explained little of the variation in delta N-15 values at the species level, suggesting within species changes in trophic position with body size is not a predominant driver of trophic structure in our study region. Overall, our analysis demonstrated the structural complexity and spatial variation of the food web in the region of the southern Kerguelen Plateau.</t>
  </si>
  <si>
    <t>[Woods, Briannyn; Walters, Andrea; Hindell, Mark] Univ Tasmania, Inst Marine &amp; Antarctic Studies, Private Bag 129, Hobart, Tas 7001, Australia; [Trebilco, Rowan] Univ Tasmania, Antarctic Climate &amp; Ecosyst Cooperat Res Ctr, Private Bag 80, Hobart, Tas 7001, Australia</t>
  </si>
  <si>
    <t>University of Tasmania; University of Tasmania; Antarctic Climate &amp; Ecosystems Cooperative Research Centre (ACE CRC)</t>
  </si>
  <si>
    <t>Woods, B (corresponding author), Univ Tasmania, Inst Marine &amp; Antarctic Studies, Private Bag 129, Hobart, Tas 7001, Australia.</t>
  </si>
  <si>
    <t>bree.woods@utas.edu.au</t>
  </si>
  <si>
    <t>Trebilco, Rowan/I-5311-2012; Hindell, Mark A/K-1131-2013; Woods, Bree/IQR-3978-2023</t>
  </si>
  <si>
    <t>Trebilco, Rowan/0000-0001-9712-8016; Woods, Bree/0000-0001-6735-3626; Walters, Andrea/0000-0002-7166-5689; Hindell, Mark/0000-0002-7823-7185</t>
  </si>
  <si>
    <t>Australian Government under Cooperative Research Centre Program through the Antarctic Climate and Ecosystems Cooperative Research Centre (ACE CRC); Australian Government under Australian Antarctic Science Program [4343, 4344, 4347, 4366]; Australian Government under Australian Research Council's Special Research Initiative for Antarctic Gateway Partnership [SR140300001]</t>
  </si>
  <si>
    <t>Australian Government under Cooperative Research Centre Program through the Antarctic Climate and Ecosystems Cooperative Research Centre (ACE CRC); Australian Government under Australian Antarctic Science Program(Australian Government); Australian Government under Australian Research Council's Special Research Initiative for Antarctic Gateway Partnership</t>
  </si>
  <si>
    <t>We thank the captain and crew of the R. S. V. Aurora Australis and researchers on the K-axis voyage for assistance with field data collection. We thank Patti Virtue (IMAS) for her expert technical advice and assistance in the laboratory, Simon Wotherspoon (IMAS and the Australian Antarctic Division) for his statistical advice, and Imojen Pearce and Chris Marshall for technical support and use of laboratory equipment and facilities at the Australian Antarctic Division. We also thank Christian Dietz and Christine Cook at the Central Science Laboratory at the University of Tasmania for performing the isotopic analysis of fish muscle tissue. We acknowledge and extend our thanks to Diana Davies (CSIRO) for providing baseline isotope data and ANSTO for performing the analysis. We would like to thank the two anonymous reviewers, who provided thoughtful and constructive comments on a previous version of this manuscript. This work was supported by the Australian Government under the (i) Cooperative Research Centre Program through the Antarctic Climate and Ecosystems Cooperative Research Centre (ACE CRC), (ii) Australian Antarctic Science Program (Projects 4343, 4344, 4347, and 4366), and (iii) Australian Research Council's Special Research Initiative for Antarctic Gateway Partnership (Project ID SR140300001).</t>
  </si>
  <si>
    <t>10.1016/j.dsr2.2019.104657</t>
  </si>
  <si>
    <t>WOS:000539111000007</t>
  </si>
  <si>
    <t>Zhu, GP; Duan, M; Wei, L; Trebilco, R; Bestley, S; Walters, A</t>
  </si>
  <si>
    <t>Zhu, Guoping; Duan, Mi; Wei, Lian; Trebilco, Rowan; Bestley, Sophie; Walters, Andrea</t>
  </si>
  <si>
    <t>Determination and precision of otolith growth zone estimates of Electrona antarctica in the Southern Kerguelen Plateau region in the Indian sector of the Southern Ocean</t>
  </si>
  <si>
    <t>TOOTHFISH DISSOSTICHUS-ELEGINOIDES; MESOPELAGIC FISH; AGE-DETERMINATION; SCOTIA SEA; MYCTOPHIDAE; WEIGHT; PISCES; VALIDATION; GUNTHER; ICEFISH</t>
  </si>
  <si>
    <t>Antarctic lanternfish (Electrona antarctica) is the dominant mesopelagic fish species in the Southern Ocean. It is the most common myctophid occurring south of the Antarctic Polar Front, and an important component of Southern Ocean food webs, both as a zooplankton predator and as a major prey item for higher predators. Despite its importance, there are major gaps in current understanding of the life history of E. antarctica, with previous ageing studies having produced inconclusive results, hampering our understanding of the population structure in this species and its role in marine ecosystems. This is particularly relevant around the Kerguelen Plateau, a highly productive region in the Indian sector of the Southern Ocean, where E. antarctica is a key mid-trophic level species. The present study took advantage of mesopelagic sampling efforts in the southern Kerguelen Plateau region on the 2015-2016 Kerguelen Axis study, and enumerated growth zones in the otoliths of a sample of 100 E. antarctica collected during the voyage. Growth zones were counted using both sectioned and whole otoliths and the precision of estimates was estimated by repeat counts. The estimated number of growth zones in the sectioned otoliths of E. antarctica (standard length 53-97 mm) ranging from 2 to 9. The average coefficient of variation (CV) and average percentage error (APE) for the estimated growth zones were 6.78% and 4.51%, respectively based on counts of sectioned otoliths. The number of growth zones in sectioned otoliths is positively related to weight of otolith and standard length of fish. The results presented here can inform future work on age structure and life history of E antarctica in the Southern Ocean as understanding of the nature of growth rings improves.</t>
  </si>
  <si>
    <t>[Zhu, Guoping; Duan, Mi; Wei, Lian; Bestley, Sophie] Shanghai Ocean Univ, Coll Marine Sci, Shanghai 201306, Peoples R China; [Zhu, Guoping; Duan, Mi; Wei, Lian] Shanghai Ocean Univ, Ctr Polar Res, Shanghai 201306, Peoples R China; [Zhu, Guoping] Key Lab Sustainable Exploitat Ocean Fisheries Res, Polar Marine Ecosyst Grp, 999 Huchenghuan Rd, Shanghai 201306, Peoples R China; [Zhu, Guoping] Natl Engn Res Ctr Ocean Fisheries, Shanghai 201306, Peoples R China; [Trebilco, Rowan] Univ Tasmania, Antarctic Climate &amp; Ecosyst Cooperat Res Ctr, Private Bag 80, Hobart, Tas 7001, Australia; [Trebilco, Rowan; Walters, Andrea] CSIRO Oceans &amp; Atmosphere, GPO Box 1538, Hobart, Tas 7001, Australia; [Bestley, Sophie] Univ Tasmania, Inst Marine &amp; Antarctic Studies, Private Bag 129, Hobart, Tas 7001, Australia</t>
  </si>
  <si>
    <t>Shanghai Ocean University; Shanghai Ocean University; National Engineering Research Center for Oceanic Fisheries; Antarctic Climate &amp; Ecosystems Cooperative Research Centre (ACE CRC); University of Tasmania; Commonwealth Scientific &amp; Industrial Research Organisation (CSIRO); University of Tasmania</t>
  </si>
  <si>
    <t>Zhu, GP (corresponding author), Shanghai Ocean Univ, Coll Marine Sci, Shanghai 201306, Peoples R China.</t>
  </si>
  <si>
    <t>gpzhu@shou.edu.cn</t>
  </si>
  <si>
    <t>Trebilco, Rowan/I-5311-2012; Bestley, Sophie/AAN-2483-2021; ZHU, Guo-ping/D-1002-2010</t>
  </si>
  <si>
    <t>Trebilco, Rowan/0000-0001-9712-8016; Bestley, Sophie/0000-0001-9342-669X; Zhu, Guoping/0000-0001-6081-7811; Walters, Andrea/0000-0002-7166-5689</t>
  </si>
  <si>
    <t>National Science Foundation of China [41776185]; National Key R&amp;D Program of China [2018YFC1406801]; Construction Project for Collaborative and Innovative platform of Chinese Arctic and Antarctic Administration; Australian Government's Business Cooperative Research Centres Programme through the Antarctic Climate and Ecosystems Cooperative Research Centre; Australian Antarctic Science Program (AAS Grant) [4344]; Australia Research Council's Special Research Initiative for Antarctic Gateway Partnership [SR140300001]</t>
  </si>
  <si>
    <t>National Science Foundation of China(National Natural Science Foundation of China (NSFC)); National Key R&amp;D Program of China; Construction Project for Collaborative and Innovative platform of Chinese Arctic and Antarctic Administration; Australian Government's Business Cooperative Research Centres Programme through the Antarctic Climate and Ecosystems Cooperative Research Centre; Australian Antarctic Science Program (AAS Grant); Australia Research Council's Special Research Initiative for Antarctic Gateway Partnership</t>
  </si>
  <si>
    <t>We thank the Science Technical Support Team of the Australian Antarctic Division and the master and crew of the Aurora Australis for their considerable efforts to make this work happen. We also thank Chief Investigator Dr Andrew Constable for inviting us to join this cruise. We are especially grateful for assistance in collecting the samples provided by D. Maschette, B. Collins, M. Stapleton and D. Phillips. This project was supported by the National Science Foundation of China (grant 41776185 to G.P. Zhu), the National Key R&amp;D Program of China (2018YFC1406801 to G.P. Zhu) and the Construction Project for Collaborative and Innovative platform of Chinese Arctic and Antarctic Administration (to G.P. Zhu). This study was also supported by the Australian Government's Business Cooperative Research Centres Programme through the Antarctic Climate and Ecosystems Cooperative Research Centre, the Australian Antarctic Science Program (AAS Grant 4344), and the Australia Research Council's Special Research Initiative for Antarctic Gateway Partnership (Project ID SR140300001).</t>
  </si>
  <si>
    <t>10.1016/j.dsr2.2020.104778</t>
  </si>
  <si>
    <t>WOS:000539111000003</t>
  </si>
  <si>
    <t>Tian, QG; Jiang, P; Jin, XM; Li, JL; Pei, C; Du, FJ; Li, ZY; Li, XY; Chen, HL; Ji, T; Shi, XH; Zhang, SH; Yang, CW; Zhou, HY</t>
  </si>
  <si>
    <t>Tian, Qiguo; Jiang, Peng; Jin, Xinmiao; Li, Jialu; Pei, Chong; Du, Fujia; Li, Zhengyang; Li, Xiaoyan; Chen, Hualin; Ji, Tuo; Shi, Xiheng; Zhang, Shaohua; Yang, Chenwei; Zhou, Hongyan</t>
  </si>
  <si>
    <t>Discovery of high-quality daytime seeing windows at the Antarctic Taishan station</t>
  </si>
  <si>
    <t>site testing</t>
  </si>
  <si>
    <t>DIFFERENTIAL IMAGE MOTION; DOME-C; SURFACE-LAYER; BOUNDARY-LAYER; TURBULENCE</t>
  </si>
  <si>
    <t>We report on the initial results of seeing measurements at the Antarctic Taishan Station (ATS) using a differential image motion monitor observed in the visible at a height of 2.5 m above the snow surface, during the site-testing experiments carried out on 2014 January 13 and 15. The median seeing was found to be 0.73 arcsec and the 25th and 75th percentiles of the seeing cumulative distribution were 0.59 and 0.87 arcsec, respectively, with a minimum of similar to 0.5 arcsec at similar to 16:00-19:00 local time (UTC + 5). Such a seeing minimum has a good temporal associationwith the refractive index structure constant (C-n(2)) minimum simultaneously observed at ATS. Interestingly, both temporal windows of C-n(2) and seeing minimum coincide with those of minimum temperature gradients (similar to 0 degrees C m(-1)), we had more than one month of continuous measurements of Cn2 and temperature gradients between 2013 December 30 and 2014 February 10. This suggests that high-quality seeing windows might be opened at ATS with the potential for astronomical activities, especially for solar observations.</t>
  </si>
  <si>
    <t>[Tian, Qiguo; Jiang, Peng; Jin, Xinmiao; Ji, Tuo; Shi, Xiheng; Zhang, Shaohua; Yang, Chenwei; Zhou, Hongyan] Polar Res Inst China, 451 Jinqiao Rd, Shanghai 200136, Peoples R China; [Tian, Qiguo; Jiang, Peng; Jin, Xinmiao; Ji, Tuo; Shi, Xiheng; Zhang, Shaohua; Yang, Chenwei; Zhou, Hongyan] Polar Res Inst China, MNR Key Lab Polar Sci, 451 Jinqiao Rd, Shanghai 200136, Peoples R China; [Li, Jialu; Zhou, Hongyan] Univ Sci &amp; Technol China, Dept Astron, Hefei 230026, Anhui, Peoples R China; [Pei, Chong; Du, Fujia; Li, Zhengyang; Li, Xiaoyan; Chen, Hualin] Chinese Acad Sci, Natl Astron Observ, Nanjing Inst Astron Opt &amp; Technol, Nanjing 210042, Peoples R China</t>
  </si>
  <si>
    <t>Polar Research Institute of China; Polar Research Institute of China; Chinese Academy of Sciences; University of Science &amp; Technology of China, CAS; Chinese Academy of Sciences; National Astronomical Observatory, CAS; Nanjing Institute of Astronomical Optics &amp; Technology, NAOC, CAS</t>
  </si>
  <si>
    <t>Tian, QG; Jiang, P; Zhou, HY (corresponding author), Polar Res Inst China, 451 Jinqiao Rd, Shanghai 200136, Peoples R China.;Tian, QG; Jiang, P; Zhou, HY (corresponding author), Polar Res Inst China, MNR Key Lab Polar Sci, 451 Jinqiao Rd, Shanghai 200136, Peoples R China.;Zhou, HY (corresponding author), Univ Sci &amp; Technol China, Dept Astron, Hefei 230026, Anhui, Peoples R China.</t>
  </si>
  <si>
    <t>tianqiguo@pric.org.cn; jiangpeng@pric.org.cn; zhouhongyan@pric.org.cn</t>
  </si>
  <si>
    <t>Ji, Tuo/O-2611-2017; Zhang, Shaohua/HTQ-5246-2023; li, jia/GVT-7587-2022; Li, Jiaxi/HTS-3430-2023; li, jy/HTT-1535-2023; tian, qiguo/IQT-6829-2023; LI, QI/IUM-8577-2023</t>
  </si>
  <si>
    <t>Li, Jiaxi/0000-0002-8197-8590; tian, qiguo/0000-0003-3495-5000; Li, Jialu/0000-0003-0665-6505</t>
  </si>
  <si>
    <t>Shanghai Natural Science Foundation [14ZR1444100, 19ZR1462500]; National Natural Science Foundation of China (NSFC) [11503023, 11973037, 41576185]; Chinese Polar Environment Comprehensive Investigation &amp; Assessment Programs [CHINARE 2013-02-03, 2014-02-03]; Polar Science Innovation Fund for Young Scientists of Polar Research Institute of China [CX20130201]; National Basic Research Program of China (973 Program) [2013CB834905]</t>
  </si>
  <si>
    <t>Shanghai Natural Science Foundation(Natural Science Foundation of Shanghai); National Natural Science Foundation of China (NSFC)(National Natural Science Foundation of China (NSFC)); Chinese Polar Environment Comprehensive Investigation &amp; Assessment Programs; Polar Science Innovation Fund for Young Scientists of Polar Research Institute of China; National Basic Research Program of China (973 Program)(National Basic Research Program of China)</t>
  </si>
  <si>
    <t>The authors thank the referee, Prof. Michael Ashley, for his valuable comments and suggestions. We thank the traverse team of the 30th Chinese National Antarctic Research Expedition for their great help with apparatus installation. This work was jointly supported by the Shanghai Natural Science Foundation (grant No. 14ZR1444100, 19ZR1462500), the National Natural Science Foundation of China (NSFC, grant No. 11503023, 11973037, 41576185), the Chinese Polar Environment Comprehensive Investigation &amp; Assessment Programs (grant Nos. CHINARE 2013-02-03; 2014-02-03), the Polar Science Innovation Fund for Young Scientists of Polar Research Institute of China (grant No. CX20130201), and the National Basic Research Program of China (973 Program, grant No. 2013CB834905).</t>
  </si>
  <si>
    <t>10.1093/mnras/staa488</t>
  </si>
  <si>
    <t>LW4DJ</t>
  </si>
  <si>
    <t>WOS:000539094400079</t>
  </si>
  <si>
    <t>Lu, H; Hitchman, MH; Gray, LJ; Anstey, JA; Osprey, SM</t>
  </si>
  <si>
    <t>Lu, Hua; Hitchman, Matthew H.; Gray, Lesley J.; Anstey, James A.; Osprey, Scott M.</t>
  </si>
  <si>
    <t>On the role of Rossby wave breaking in the quasi-biennial modulation of the stratospheric polar vortex during boreal winter</t>
  </si>
  <si>
    <t>QUARTERLY JOURNAL OF THE ROYAL METEOROLOGICAL SOCIETY</t>
  </si>
  <si>
    <t>Holton-Tan effect; Quasi-Biennial Oscillation; Rossby wave breaking; stratospheric polar vortex</t>
  </si>
  <si>
    <t>PLANETARY-WAVES; MIDDLE STRATOSPHERE; POTENTIAL VORTICITY; VOLCANIC-ERUPTIONS; OSCILLATION; CIRCULATION; MODEL; SOLAR; PROPAGATION; VARIABILITY</t>
  </si>
  <si>
    <t>The boreal-winter stratospheric polar vortex is more disturbed when the quasi-biennial oscillation (QBO) in the lower stratosphere is in its easterly phase (eQBO), and more stable during the westerly phase (wQBO). This so-called Holton-Tan effect (HTE) is known to involve Rossby waves (RWs) but the details remain obscure. This tropical-extratropical connection is re-examined in an attempt to explain its intraseasonal variation and its relation to Rossby wave breaking (RWB). Reanalyses in isentropic coordinates from the National Centers for Environmental Prediction Climate Forecast System for the 1979-2017 period are used to evaluate the relevant features of RWB in the context of waveguide, wave-mean-flow interaction, and the QBO-induced meridional circulation. During eQBO, the net extratropical wave forcing is enhanced in early winter with similar to 25% increase in upward propagating planetary-scale Rossby waves (PRWs) of zonal wave-number 1 (wave-1). RWB is also enhanced in the lower stratosphere, characterized by convergent anomalies in the subtropics and at high latitudes and strengthened waveguide in between at 20 degrees N-40 degrees N, 350-650 K. In late winter, RWB leads to finite amplitude growth, which hinders upward propagating PRWs. The effect is most significant for zonal wave-numbers 2 and 3 (wave-2-3). During wQBO, RWB in association with wave-2-3 is enhanced in the upper stratosphere. Wave absorption/mixing in the surf zone reinforces a stable polar vortex in early to middle winter. A poleward confinement of the extratropical waveguide in the upper stratosphere forces RWB to extend downward around January. A strengthening of upward propagating wave-2-3 follows and the polar-vortex response switches from reinforcement to disturbance around February, thus a sign reversal of the HTE in late winter. Key Findings center dot Rossby wave breaking (RWB) is enhanced in the height regions where the zero-wind line is shifted into the winter hemisphere and where the QBO-induced meridional circulation is directed toward the winter pole center dot Polar vortex responses differ in terms of the height location of RWB, zonal wave-number-dependent disturbances and seasonal development center dot Significant increase in wave-1 occurs when the QBO is in its easterly phase center dot A cumulative effect of RWB results in enhanced wave forcing of zonal wave-numbers 2 and 3 during westerly QBO, which manifests in a sign reversal of the Holton-Tan effect in late winter.</t>
  </si>
  <si>
    <t>[Lu, Hua] British Antarctic Survey, Madingley Rd, Cambridge CB3 0ET, England; [Hitchman, Matthew H.] Univ Wisconsin, Dept Atmospher &amp; Ocean Sci, Madison, WI USA; [Gray, Lesley J.; Osprey, Scott M.] Univ Oxford, Dept Atmospher Phys, Clarendon Lab, NCAS Climate, Oxford, England; [Anstey, James A.] Environm &amp; Climate Change Canada, Canadian Ctr Climate Modelling &amp; Anal, Victoria, BC, Canada</t>
  </si>
  <si>
    <t>UK Research &amp; Innovation (UKRI); Natural Environment Research Council (NERC); NERC British Antarctic Survey; University of Wisconsin System; University of Wisconsin Madison; University of Oxford; Environment &amp; Climate Change Canada; Canadian Centre for Climate Modelling &amp; Analysis (CCCma)</t>
  </si>
  <si>
    <t>Lu, H (corresponding author), British Antarctic Survey, Madingley Rd, Cambridge CB3 0ET, England.</t>
  </si>
  <si>
    <t>hlu@bas.ac.uk</t>
  </si>
  <si>
    <t>Osprey, Scott/GQI-3483-2022; Lu, Hua/GXA-0276-2022; Osprey, Scott/S-7908-2019; Osprey, Scott/P-6621-2016</t>
  </si>
  <si>
    <t>Osprey, Scott/0000-0002-8751-1211; Lu, Hua/0000-0001-9485-5082; Osprey, Scott/0000-0002-8751-1211; Osprey, Scott/0000-0002-8751-1211; Anstey, James/0000-0001-6366-8647</t>
  </si>
  <si>
    <t>NERC [NE/P006779/1, bas0100032, NE/N018001/1, NE/N018028/1, NE/M005828/1] Funding Source: UKRI</t>
  </si>
  <si>
    <t>0035-9009</t>
  </si>
  <si>
    <t>1477-870X</t>
  </si>
  <si>
    <t>Q J ROY METEOR SOC</t>
  </si>
  <si>
    <t>Q. J. R. Meteorol. Soc.</t>
  </si>
  <si>
    <t>10.1002/qj.3775</t>
  </si>
  <si>
    <t>LU7EY</t>
  </si>
  <si>
    <t>WOS:000537915400022</t>
  </si>
  <si>
    <t>Dirscherl, M; Dietz, AJ; Kneisel, C; Kuenzer, C</t>
  </si>
  <si>
    <t>Dirscherl, Mariel; Dietz, Andreas J.; Kneisel, Christof; Kuenzer, Claudia</t>
  </si>
  <si>
    <t>Automated Mapping of Antarctic Supraglacial Lakes Using a Machine Learning Approach</t>
  </si>
  <si>
    <t>Antarctica; Antarctic ice sheet; supraglacial lakes; surface melt; hydrology; ice sheet dynamics; sentinel-2; remote sensing; random forest; machine learning</t>
  </si>
  <si>
    <t>GREENLAND ICE-SHEET; WATER INDEX NDWI; WEST GREENLAND; RANDOM FOREST; SEASONAL EVOLUTION; MODIS IMAGERY; SURFACE MELT; SHELF; MELTWATER; DRAINAGE</t>
  </si>
  <si>
    <t>Supraglacial lakes can have considerable impact on ice sheet mass balance and global sea-level-rise through ice shelf fracturing and subsequent glacier speedup. In Antarctica, the distribution and temporal development of supraglacial lakes as well as their potential contribution to increased ice mass loss remains largely unknown, requiring a detailed mapping of the Antarctic surface hydrological network. In this study, we employ a Machine Learning algorithm trained on Sentinel-2 and auxiliary TanDEM-X topographic data for automated mapping of Antarctic supraglacial lakes. To ensure the spatio-temporal transferability of our method, a Random Forest was trained on 14 training regions and applied over eight spatially independent test regions distributed across the whole Antarctic continent. In addition, we employed our workflow for large-scale application over Amery Ice Shelf where we calculated interannual supraglacial lake dynamics between 2017 and 2020 at full ice shelf coverage. To validate our supraglacial lake detection algorithm, we randomly created point samples over our classification results and compared them to Sentinel-2 imagery. The point comparisons were evaluated using a confusion matrix for calculation of selected accuracy metrics. Our analysis revealed wide-spread supraglacial lake occurrence in all three Antarctic regions. For the first time, we identified supraglacial meltwater features on Abbott, Hull and Cosgrove Ice Shelves in West Antarctica as well as for the entire Amery Ice Shelf for years 2017-2020. Over Amery Ice Shelf, maximum lake extent varied strongly between the years with the 2019 melt season characterized by the largest areal coverage of supraglacial lakes (similar to 763 km(2)). The accuracy assessment over the test regions revealed an average Kappa coefficient of 0.86 where the largest value of Kappa reached 0.98 over George VI Ice Shelf. Future developments will involve the generation of circum-Antarctic supraglacial lake mapping products as well as their use for further methodological developments using Sentinel-1 SAR data in order to characterize intraannual supraglacial meltwater dynamics also during polar night and independent of meteorological conditions. In summary, the implementation of the Random Forest classifier enabled the development of the first automated mapping method applied to Sentinel-2 data distributed across all three Antarctic regions.</t>
  </si>
  <si>
    <t>[Dirscherl, Mariel; Dietz, Andreas J.; Kuenzer, Claudia] German Aerosp Ctr DLR, German Remote Sensing Data Ctr DFD, D-82234 Wessling, Germany; [Kneisel, Christof; Kuenzer, Claudia] Univ Wurzburg, Inst Geog &amp; Geol, D-97074 Wurzburg, Germany</t>
  </si>
  <si>
    <t>Helmholtz Association; German Aerospace Centre (DLR); University of Wurzburg</t>
  </si>
  <si>
    <t>Dirscherl, M (corresponding author), German Aerosp Ctr DLR, German Remote Sensing Data Ctr DFD, D-82234 Wessling, Germany.</t>
  </si>
  <si>
    <t>Mariel.Dirscherl@dlr.de; Andreas.Dietz@dlr.de; Claudia.Kuenzer@dlr.de; kneisel@uni-wuerzburg.de</t>
  </si>
  <si>
    <t>Dirscherl, Mariel/0000-0002-3324-7646; Dietz, Andreas/0000-0002-5733-7136</t>
  </si>
  <si>
    <t>10.3390/rs12071203</t>
  </si>
  <si>
    <t>WOS:000537709600153</t>
  </si>
  <si>
    <t>Li, ZJ; Zhu, HA; Zhou, CX; Cao, LQ; Zhong, YF; Zeng, T; Liu, JQ</t>
  </si>
  <si>
    <t>Li, Zhijiang; Zhu, Haonan; Zhou, Chunxia; Cao, Liqin; Zhong, Yanfei; Zeng, Tao; Liu, Jianqiang</t>
  </si>
  <si>
    <t>A Color Consistency Processing Method for HY-1C Images of Antarctica</t>
  </si>
  <si>
    <t>HY-1C satellite images; Antarctica; mosaic preprocessing; color consistency</t>
  </si>
  <si>
    <t>The HY-1C satellite, as part of China's optical satellite constellation for global ocean monitoring, monitors the ocean and coastal environment by the three broad visible bands of the Coastal Zone Imager (CZI) instrument. However, as a result of the sensor instrument noise, the atmospheric environment during imaging, and the shooting angle, the satellite images often show uneven illumination and inconsistent color between neighboring images. In this paper, according to the characteristics of the HY-1C CZI instrument, we propose a color consistency processing framework for coastal zone images of Antarctica. First of all, the high-frequency and low-frequency information of the image is separated by a statistical filter with simple clustering. The uneven lighting is then replaced by artificial lighting, which is globally uniform. Finally, the color difference between images is corrected by a color transfer method. In order to evaluate the color consistency results quantitatively, a new quantitative evaluation method is proposed. The experimental results for the coastal zone images of Antarctica show that the new processing framework can effectively eliminate the unevenness in the lighting and color. The mosaic results show a good performance in consistent lighting and tones, and the lack of visible mosaic lines proves the effectiveness of the proposed method. The quantitative evaluation analysis confirms the superiority of the proposed method over the Wallis method.</t>
  </si>
  <si>
    <t>[Li, Zhijiang; Zhu, Haonan; Cao, Liqin] Wuhan Univ, Sch Printing &amp; Packaging, Wuhan 430079, Peoples R China; [Zhou, Chunxia] Wuhan Univ, Chinese Antarctic Ctr Surveying &amp; Mapping, Wuhan 430079, Peoples R China; [Zhong, Yanfei] Wuhan Univ, State Key Lab Informat Engn Surveying Mapping &amp; R, Wuhan 430079, Peoples R China; [Zeng, Tao; Liu, Jianqiang] Natl Satellite Ocean Applicat Serv, Beijing 100081, Peoples R China</t>
  </si>
  <si>
    <t>Wuhan University; Wuhan University; Wuhan University; National Satellite Ocean Application Service</t>
  </si>
  <si>
    <t>Cao, LQ (corresponding author), Wuhan Univ, Sch Printing &amp; Packaging, Wuhan 430079, Peoples R China.;Zhou, CX (corresponding author), Wuhan Univ, Chinese Antarctic Ctr Surveying &amp; Mapping, Wuhan 430079, Peoples R China.</t>
  </si>
  <si>
    <t>lizhijiang@whu.edu.cn; zhuhaonan@whu.edu.cn; zhoucx@whu.edu.cn; clq@whu.edu.cn; zhongyanfei@whu.edu.cn; ztao10@mail.nsoas.org.cn; jqliu@mail.nsoas.org.cn</t>
  </si>
  <si>
    <t>ZHOU, Chunxia/AAU-2909-2020; Li, Zhijiang/AAO-7647-2020</t>
  </si>
  <si>
    <t>Cao, Liqin/0000-0003-2945-2708; Liu, Jianqiang/0000-0001-6437-5571; Zhu, Haonan/0000-0002-6206-489X; Zhong, Yanfei/0000-0001-9446-5850; zhijiang, li/0000-0002-8440-4672</t>
  </si>
  <si>
    <t>National Key Research and Development Program of China [2018YFB10046, 2017YFB0504202]; Fundamental Research Funds for the Central Universities [2042018kf0229]; National Natural Science Foundation of China [41671441, 41776200]</t>
  </si>
  <si>
    <t>National Key Research and Development Program of China; Fundamental Research Funds for the Central Universities(Fundamental Research Funds for the Central Universities); National Natural Science Foundation of China(National Natural Science Foundation of China (NSFC))</t>
  </si>
  <si>
    <t>This research was funded by National Key Research and Development Program of China (No, 2018YFB10046 and No. 2017YFB0504202), the Fundamental Research Funds for the Central Universities under Grant No. 2042018kf0229, and National Natural Science Foundation of China under Grant No. 41671441 and No. 41776200.</t>
  </si>
  <si>
    <t>10.3390/rs12071143</t>
  </si>
  <si>
    <t>WOS:000537709600093</t>
  </si>
  <si>
    <t>Begeman, CB; Tulaczyk, S; Padman, L; King, M; Siegfried, MR; Hodson, TO; Fricker, HA</t>
  </si>
  <si>
    <t>Begeman, Carolyn Branecky; Tulaczyk, Slawek; Padman, Laurie; King, Matt; Siegfried, Matthew R.; Hodson, Timothy O.; Fricker, Helen A.</t>
  </si>
  <si>
    <t>Tidal Pressurization of the Ocean Cavity Near an Antarctic Ice Shelf Grounding Line</t>
  </si>
  <si>
    <t>Ross Ice Shelf; tide; subglacial hydrology; ice fracture; Whillans Ice Stream; Ross Sea</t>
  </si>
  <si>
    <t>WEST ANTARCTICA; TEMPORAL VARIATIONS; BOTTOM CREVASSES; STREAM; FLOW; GLACIER; FRACTURE; WHILLANS; BENEATH; MODEL</t>
  </si>
  <si>
    <t>Mass loss from the Antarctic ice sheet is sensitive to conditions in ice shelf grounding zones, the transition between grounded and floating ice. To observe tidal dynamics in the grounding zone, we moored an ocean pressure sensor to Ross Ice Shelf, recording data for 54 days. In this region the ice shelf is brought out of hydrostatic equilibrium by the flexural rigidity of ice, yet we found that tidal pressure variations at a constant geopotential surface were similar within and outside of the grounding zone. This implies that the grounding zone ocean cavity was overpressurized at high tide and underpressurized at low tide by up to 10 kPa with respect to glaciostatic pressure at the ice shelf base. Phase lags between ocean pressure and vertical ice shelf motion were tens of minutes for diurnal and semidiurnal tides, an effect that has not been incorporated into ocean models of tidal currents below ice shelves. These tidal pressure variations may affect the production and export of meltwater in the subglacial environment and may increase basal crevasse heights in the grounding zone by several meters, according to linear elastic fracture mechanics. We find anomalously high tidal energy loss at the K-1 constituent in the grounding zone and hypothesize that this could be explained by seawater injection into the subglacial environment at high tide or internal tide generation through interactions with topography. These observations lay the foundation for improved representation of the grounding zone and its tidal dynamics in ocean circulation models of sub-ice shelf cavities. Plain Language Summary One of the challenges for sea level rise prediction is understanding how the Antarctic ice sheets and the Southern Ocean interact. Ocean tides are an important component of this interaction, influencing ice shelf melting and the flow rate of grounded ice toward the coast. We report new observations relevant to this interaction: tidally varying ocean pressures where the ice first goes afloat to become an ice shelf. These tidal ocean pressure variations influence tidal currents below the ice shelf, and we propose that they also push seawater beneath the ice inland of the ice shelf and extend fractures at the ice shelf base. This study identifies tidal processes that may affect melt and fracture near the inland edge of ice shelves, a highly sensitive zone for ice dynamics.</t>
  </si>
  <si>
    <t>[Begeman, Carolyn Branecky; Tulaczyk, Slawek] Univ Calif Santa Cruz, Dept Earth &amp; Planetary Sci, Santa Cruz, CA 95064 USA; [Begeman, Carolyn Branecky] Los Alamos Natl Lab, Fluid Dynam &amp; Solid Mech, Los Alamos, NM 87545 USA; [Padman, Laurie] Earth &amp; Space Res, Corvallis, OR USA; [King, Matt] Univ Tasmania, Sch Technol Environm &amp; Design, Sch Geog &amp; Spatial Sci, Hobart, Tas, Australia; [Siegfried, Matthew R.] Univ Calif San Diego, Scripps Inst Oceanog, Inst Geophys &amp; Planetary Phys, La Jolla, CA 92093 USA; [Siegfried, Matthew R.; Fricker, Helen A.] Colorado Sch Mines, Dept Phys, Golden, CO 80401 USA; [Hodson, Timothy O.] Northern Illinois Univ, Dept Geol &amp; Environm Geosci, De Kalb, IL 60115 USA</t>
  </si>
  <si>
    <t>University of California System; University of California Santa Cruz; United States Department of Energy (DOE); Los Alamos National Laboratory; University of Tasmania; University of California System; University of California San Diego; Scripps Institution of Oceanography; Colorado School of Mines; Northern Illinois University</t>
  </si>
  <si>
    <t>Begeman, CB (corresponding author), Univ Calif Santa Cruz, Dept Earth &amp; Planetary Sci, Santa Cruz, CA 95064 USA.;Begeman, CB (corresponding author), Los Alamos Natl Lab, Fluid Dynam &amp; Solid Mech, Los Alamos, NM 87545 USA.</t>
  </si>
  <si>
    <t>cbegeman@lanl.gov</t>
  </si>
  <si>
    <t>Padman, Laurence/AAH-3808-2021; King, Matt/B-4622-2008; Tulaczyk, Slawek/O-7375-2018</t>
  </si>
  <si>
    <t>King, Matt/0000-0001-5611-9498; Padman, Laurence/0000-0003-2010-642X; Begeman, Carolyn/0000-0001-9828-1741; Tulaczyk, Slawek/0000-0002-9711-4332; Hodson, Timothy/0000-0003-0962-5130; Fricker, Helen Amanda/0000-0002-0921-1432</t>
  </si>
  <si>
    <t>U.S. National Science Foundation, Section for Antarctic Sciences, Antarctic Integrated System Science program as part of the interdisciplinaryWhillans Ice Stream Subglacial Access Research Drilling (WISSARD) project; National Science Foundation Graduate Research Fellowship; University of California President's Dissertation Year Fellowship; NASA [NNX17AG63G]; Australian Research Council's Special Research Initiative for Antarctic Gateway Partnership [SR140300001]; National Science Foundation (NSF); National Aeronautics and Space Administration (NASA) under NSF [EAR-0735156]; University ofWisconsin-Madison AutomaticWeather Station Program; NSF [ANT-1543305]; [NSF-ANT-0838947]; [NSF-ANT-1443677]; [NSF-ANT-0838885]; [1543441]</t>
  </si>
  <si>
    <t>U.S. National Science Foundation, Section for Antarctic Sciences, Antarctic Integrated System Science program as part of the interdisciplinaryWhillans Ice Stream Subglacial Access Research Drilling (WISSARD) project(National Science Foundation (NSF)); National Science Foundation Graduate Research Fellowship(National Science Foundation (NSF)); University of California President's Dissertation Year Fellowship(University of California System); NASA(National Aeronautics &amp; Space Administration (NASA)); Australian Research Council's Special Research Initiative for Antarctic Gateway Partnership(Australian Research Council); National Science Foundation (NSF)(National Science Foundation (NSF)); National Aeronautics and Space Administration (NASA) under NSF(National Aeronautics &amp; Space Administration (NASA)); University ofWisconsin-Madison AutomaticWeather Station Program; NSF(National Science Foundation (NSF)); ; ; ;</t>
  </si>
  <si>
    <t>Our work was supported by the U.S. National Science Foundation, Section for Antarctic Sciences, Antarctic Integrated System Science program as part of the interdisciplinaryWhillans Ice Stream Subglacial Access Research Drilling (WISSARD) project. C. B. B. was supported by the National Science Foundation Graduate Research Fellowship and the University of California President's Dissertation Year Fellowship. S. T. was supported by NSF-ANT-0838947. L. P. was supported by NSF-ANT-1443677 and NASA NNX17AG63G. M. K. was supported by the Australian Research Council's Special Research Initiative for Antarctic Gateway Partnership (Project ID SR140300001). M. R. S. was supported by NSF-ANT-0838885 and 1543441. University of Nebraska, Lincoln drill team created the borehole for ocean pressure sensor deployment. The U.S. Antarctic Program enabled our fieldwork, and New York Air National Guard and Kenn Borek Air provided air support. Sarah Neuhaus assisted with ocean pressure sensor deployment. Daniel Sampson at UC Santa Cruz designed, engineered, and assembled most of the in situ borehole sensor systems for this project and assisted with data reduction and interpretation. Brecky Morris wrote the code for ocean pressure data collection and satellite transmission, with the help of Campbell Scientific Canada. Hannah Dailey assisted in preliminary tidal analysis. Richard Ray provided useful input on tidal analysis methods. We thank Matt Hoffman for discussions on the feasibility of ocean-subglacial hydrological exchange. This research is based on data services provided by the UNAVCO Facility with support from the National Science Foundation (NSF) and National Aeronautics and Space Administration (NASA) under NSF Cooperative Agreement EAR-0735156. The authors appreciate the support of the University ofWisconsin-Madison AutomaticWeather Station Program for the data set, data display, and information, NSF Grant ANT-1543305. The authors declare no competing financial interests. GPS data can be accessed at the UNAVCO data center (https://www.unavco.org/data/doi/doi:10.7283/T53R0RPD).Pressure data are available at the National Centers for Environmental Information, Accession Number 0209188.</t>
  </si>
  <si>
    <t>e2019JC015562</t>
  </si>
  <si>
    <t>10.1029/2019JC015562</t>
  </si>
  <si>
    <t>LP7DD</t>
  </si>
  <si>
    <t>WOS:000534476600006</t>
  </si>
  <si>
    <t>Hazel, JE; Stewart, AL</t>
  </si>
  <si>
    <t>Hazel, Julia E.; Stewart, Andrew L.</t>
  </si>
  <si>
    <t>Bistability of the Filchner-Ronne Ice Shelf Cavity Circulation and Basal Melt</t>
  </si>
  <si>
    <t>Filchner-Ronne Ice Shelf cavity; regional modeling; ice shelf melt; hysteresis; katabatic winds</t>
  </si>
  <si>
    <t>CIRCUMPOLAR DEEP-WATER; SEA CONTINENTAL-SHELF; WEDDELL SEA; SOUTHERN-OCEAN; BOTTOM WATER; BOUNDARY-CONDITIONS; COASTAL POLYNYAS; MODEL; ANTARCTICA; VARIABILITY</t>
  </si>
  <si>
    <t>Circulation and water mass transformation within the Filchner-Ronne Ice Shelf (FRIS) cavity create precursors to Antarctic bottom water, which closes the global overturning circulation. This water mass transformation is contingent upon a relative low rate of FRIS basal melt, currently around 100-200Gt/yr. Previous studies have indicated that Antarctic climate changes may induce intrusions of warm modified Warm Deep Water (mWDW) and an order-of-magnitude increase in basal melt, and signatures of mWDW have recently been observed along the face of the FRIS. However, it remains unclear how changes in near-Antarctic climate translate mechanistically to changes in mWDW access to the FRIS cavity. In this study a regional model is developed to investigate FRIS circulation dependence on local atmospheric state. Experiments with modified initial cavity conditions but identical atmospheric states yield bistable warm and cold FRIS cavity states, with an order-of-magnitude difference in basal melt rates. Idealized atmospheric perturbation experiments reveal that relatively modest perturbations to the katabatic winds shift the FRIS cavity between warm and cold states, which occur when the FRIS cavity is filled by mWDW or High Salinity Shelf Water (HSSW), respectively. The authors present a conceptual model in which the FRIS cavity state is determined by whether mWDW or HSSW is denser and thus floods the cavity; these states are bistable because the basal melt rate feeds back on the salinity of HSSW. These findings highlight a key role for the katabatic winds in mediating the melt of the FRIS and other Antarctic ice shelves. Plain Language Summary The Filchner-Ronne Ice Shelf (FRIS) is Antarctica's largest floating glacier and is the source of the ocean's densest waters. Previous studies have predicted that warmer waters from offshore may flow beneath the FRIS in the future, elevating its melt rate and suppressing formation of dense waters. In this study, the controls on this warm water inflow are investigated using simulations of the southern Weddell Sea (WS), imposing various perturbations to the atmospheric winds and temperature. The ocean beneath the FRIS is found to be bistable: Depending on its initial conditions, the ocean beneath the FRIS adjusts either to a cold state in which it is filled by waters originating from the WS continental shelf or to a warm state in which it is filled by waters originating from offshore. A switch between warm and cold states can be forced by changing the winds that blow northward over the FRIS; together with FRIS meltwater, these winds influence the density of cold waters formed on the WS continental shelf. These findings highlight a key role for offshore winds in mediating the melt of the FRIS and indicate that existing dense waters beneath ice shelves may buffer against future intrusions of warm water.</t>
  </si>
  <si>
    <t>[Hazel, Julia E.; Stewart, Andrew L.] Univ Calif Los Angeles, Dept Atmospher &amp; Ocean Sci, Los Angeles, CA 90095 USA</t>
  </si>
  <si>
    <t>University of California System; University of California Los Angeles</t>
  </si>
  <si>
    <t>Hazel, JE (corresponding author), Univ Calif Los Angeles, Dept Atmospher &amp; Ocean Sci, Los Angeles, CA 90095 USA.</t>
  </si>
  <si>
    <t>jhazel@atmos.ucla.edu</t>
  </si>
  <si>
    <t>Stewart, Andrew/0000-0001-5861-4070</t>
  </si>
  <si>
    <t>National Science Foundation (NSF) [ANT-1543388, OCE-1751386]; National Aeronautics and Space Administration (NASA) ROSES Physical Oceanography program [80NSSC19K1192]; NSF [ACI-1548562]</t>
  </si>
  <si>
    <t>National Science Foundation (NSF)(National Science Foundation (NSF)); National Aeronautics and Space Administration (NASA) ROSES Physical Oceanography program; NSF(National Science Foundation (NSF))</t>
  </si>
  <si>
    <t>All new data presented in this study are output from model simulations using the publicly available Massachusetts Institute of Technology general circulation model (MITgcm), which is available online (via https://mitgcm.org/).Matlab scripts used to generate, run, and analyze these simulations are available online (via https://doi.org/10.5281/zenodo.3529796).This material is based in part upon work supported by the National Science Foundation (NSF) under Grants ANT-1543388 and OCE-1751386 and by the National Aeronautics and Space Administration (NASA) ROSES Physical Oceanography program under Grant 80NSSC19K1192. This work used the Extreme Science and Engineering Discovery Environment (XSEDE, Towns et al., 2014), which is supported by NSF Grant ACI-1548562. The authors thank Tiago Dotto and Tore Hattermann for sharing available observational data sets used for model evaluation purposes. The authors additionally thank Andy Thompson, Jim McWilliams, and Marcelo Chamecki for various discussions that improved this study. Finally, the authors thank Hartmut Hellmer and an anonymous reviewer for many constructive comments that substantially improved themanuscript.</t>
  </si>
  <si>
    <t>e2019JC015848</t>
  </si>
  <si>
    <t>10.1029/2019JC015848</t>
  </si>
  <si>
    <t>WOS:000534476600011</t>
  </si>
  <si>
    <t>Hutchinson, K; Deshayes, J; Sallee, JB; Dowdeswell, JA; de Lavergne, C; Ansorge, I; Luyt, H; Henry, T; Fawcett, SE</t>
  </si>
  <si>
    <t>Hutchinson, Katherine; Deshayes, Julie; Sallee, Jean-Baptiste; Dowdeswell, Julian A.; de Lavergne, Casimir; Ansorge, Isabelle; Luyt, Hermann; Henry, Tahlia; Fawcett, Sarah E.</t>
  </si>
  <si>
    <t>Water Mass Characteristics and Distribution Adjacent to Larsen C Ice Shelf, Antarctica</t>
  </si>
  <si>
    <t>water mass; mixing; transformation; Southern Ocean; observations; Weddell Sea</t>
  </si>
  <si>
    <t>BOTTOM WATER; DEEP</t>
  </si>
  <si>
    <t>The physical oceanographic environment, water mass characteristics, and distribution in the area adjacent to Larsen C Ice Shelf (LCIS) are investigated using hydrographic data collected during the 2019 Weddell Sea Expedition. The results shed light on the ocean conditions adjacent to a thinning LCIS, on a continental shelf that is a source region for Weddell Sea Deep Water (WSDW), a precursor of the globally important Antarctic Bottom Water. Modified Warm Deep Water (MWDW), a water mass of circumpolar origin, is identified on the continental shelf and is observed to mix with Ice Shelf Water (ISW) and High Salinity Shelf Water (HSSW), both source waters of WSDW. A source water type decomposition analysis reveals high levels of mixing in the area, with much spatial variability. Heat content anomalies indicate an introduction of heat, presumed to be associated with MWDW, into the area via Jason Trough. Furthermore, candidate parent sources for ISW are identified in the region, indicating the potential for a flow of continental shelf waters into the ice shelf cavity; however, the impact on LCIS cannot be surmised from the available observations. ISW and HSSW are observed to make dominant contributions to the densest layers within Jason Trough, where waters are likely en route to feed the deep layers of the Antarctic Slope Current. This cross-shelf flux of water masses links the region of the Weddell Sea adjacent to northern LCIS to global ocean circulation and Bottom Water characteristics via its contribution to ISW and HSSW, and hence WSDW properties. Plain Language Summary A voyage to the Antarctic Weddell Sea in 2019 has enabled a diagnosis of the water mass characteristics adjacent to the northern sector of Larsen C Ice Shelf (LCIS). This region is of interest due to its contribution to the properties of the principal source waters of Antarctic Bottom Water (AABW), a water mass that constitutes the deep limb of the global ocean circulation system. LCIS has experienced considerable variability in thickness and extent during the satelite observational period, yet the role of the ocean in these changes remains unclear. It is, therefore, necessary that we improve our understanding of the ocean region adjacent to LCIS. Hydrographic results presented here reveal the presence of a warm water mass in the area, termed Modified Warm Deep Water (MWDW), which has its origins in the Antarctic Circumpolar Current. MWDW appears to thoroughly mix with the local shelf waters such as Ice Shelf Water (ISW) and High Salinity Shelf Water (HSSW), both precursors of AABW. An alteration of water properties on the continental shelf could have important implications for future regional and global ocean circulation, meaning that knowledge regarding the water masses in this area is highly relevant.</t>
  </si>
  <si>
    <t>[Hutchinson, Katherine; Ansorge, Isabelle; Luyt, Hermann; Henry, Tahlia; Fawcett, Sarah E.] Univ Cape Town, Dept Oceanog, Rondebosch, South Africa; [Hutchinson, Katherine; Deshayes, Julie; Sallee, Jean-Baptiste; de Lavergne, Casimir] Sorbonne Univ, LOCEAN Lab, CNRS, IRD,MNHN, Paris, France; [Dowdeswell, Julian A.] Univ Cambridge, Scott Polar Res Inst, Cambridge, England; [Henry, Tahlia] Nelson Mandela Univ, Port Elizabeth, South Africa</t>
  </si>
  <si>
    <t>University of Cape Town; Institut de Recherche pour le Developpement (IRD); Sorbonne Universite; Museum National d'Histoire Naturelle (MNHN); Centre National de la Recherche Scientifique (CNRS); University of Cambridge; Nelson Mandela University</t>
  </si>
  <si>
    <t>Hutchinson, K (corresponding author), Univ Cape Town, Dept Oceanog, Rondebosch, South Africa.;Hutchinson, K (corresponding author), Sorbonne Univ, LOCEAN Lab, CNRS, IRD,MNHN, Paris, France.</t>
  </si>
  <si>
    <t>kath.hutchinson@gmail.com</t>
  </si>
  <si>
    <t>SALLEE, Jean baptiste/HDO-5355-2022; ANSORGE, ISABELLE/AAY-7396-2020; Deshayes, Julie/A-7643-2011; SALLEE, Jean baptiste/A-5837-2010</t>
  </si>
  <si>
    <t>Luyt, Hermann/0000-0001-9382-4997; Henry, Tahlia/0000-0002-7370-2957; Ansorge, Isabelle/0000-0001-7071-8147; de Lavergne, Casimir/0000-0001-9267-7390; Dowdeswell, Julian/0000-0003-1369-9482; SALLEE, Jean baptiste/0000-0002-6109-5176; Hutchinson, Katherine/0000-0002-3472-8273; Deshayes, Julie/0000-0002-1462-686X; Fawcett, Sarah/0000-0002-0878-6496</t>
  </si>
  <si>
    <t>Flotilla Foundation; Weddell Sea Expedition 2019; South African National Antarctic Programme (SANAP), iAtlantic Horizon 2020 [818123]; Centre National de la Recherche Scientifique (CNRS) through the European Union's Horizon 2020 research and innovation program [821926]; European Union's Horizon 2020 research and innovation program [637770]; SANAP [105539, 110735]; University of Cape Town Vice-Chancellor's Future Leaders 2030 Fund; BIOGRIP (South African Department of Science and Innovation); European Research Council (ERC) [637770] Funding Source: European Research Council (ERC)</t>
  </si>
  <si>
    <t>Flotilla Foundation; Weddell Sea Expedition 2019; South African National Antarctic Programme (SANAP), iAtlantic Horizon 2020; Centre National de la Recherche Scientifique (CNRS) through the European Union's Horizon 2020 research and innovation program; European Union's Horizon 2020 research and innovation program; SANAP; University of Cape Town Vice-Chancellor's Future Leaders 2030 Fund; BIOGRIP (South African Department of Science and Innovation); European Research Council (ERC)(European Research Council (ERC)Spanish Government)</t>
  </si>
  <si>
    <t>The authors would like to thank two anonymous reviewers for comments and suggestions that improved this manuscript. We would also like to thank the Flotilla Foundation and the Weddell Sea Expedition 2019 for financial support and for providing the opportunity to collect the data presented in this paper. We would like to acknowledge the captain, officers, and crew of the R/V SA Agulhas II for their immense efforts in navigating us to and aiding us in sampling one of the most remote regions of our planet, as well as John Shears for his leadership of the expedition. KH would like to extend her gratitude to Frazer Christie and Christine Batchelor for discussions during the expedition and to Keith Nicholls for providing the JR71 CTD data and engaging in discussions on the data differences. Further thanks go to Raquel Flynn for assistance with the oxygen concentration measurements and Sibylle Techene for her help with coding of the OMP analysis. KH is funded by the South African National Antarctic Programme (SANAP), iAtlantic Horizon 2020 (grant agreement 818123), and the Centre National de la Recherche Scientifique (CNRS) through the European Union's Horizon 2020 research and innovation program (grant agreement 821926; IMMERSE project). JBS has received funding from the European Union's Horizon 2020 research and innovation program (grant agreement 637770). SEF acknowledges support from SANAP (grants 105539 and 110735), the University of Cape Town Vice-Chancellor's Future Leaders 2030 Fund, and BIOGRIP (South African Department of Science and Innovation). The CTD data are available at https://doi.org/10.5281/zenodo.3357972 and the IBSCO bathymetric data are available at https://doi.org/10.1002/grl.50413.</t>
  </si>
  <si>
    <t>e2019JC015855</t>
  </si>
  <si>
    <t>10.1029/2019JC015855</t>
  </si>
  <si>
    <t>WOS:000534476600008</t>
  </si>
  <si>
    <t>Mooney, MK; Forsyth, C; Rae, IJ; Chisham, G; Coxon, JC; Marsh, MS; Jackson, DR; Bingham, S; Hubert, B</t>
  </si>
  <si>
    <t>Mooney, M. K.; Forsyth, C.; Rae, I. J.; Chisham, G.; Coxon, J. C.; Marsh, M. S.; Jackson, D. R.; Bingham, S.; Hubert, B.</t>
  </si>
  <si>
    <t>Examining Local Time Variations in the Gains and Losses of Open Magnetic Flux During Substorms</t>
  </si>
  <si>
    <t>FIELD LINE BOUNDARY; SUPERPOSED EPOCH ANALYSIS; WESTWARD TRAVELING SURGE; IMAGE SPACECRAFT; AURORAL BOUNDARY; LATITUDE; ONSET; FUV; CONVECTION; EVOLUTION</t>
  </si>
  <si>
    <t>The open magnetic flux content of the magnetosphere varies during substorms as a result of dayside and nightside reconnection. The open flux can be calculated from the area of the polar cap, delineated by the open-closed field line boundary (OCB). This study presents a superposed epoch analysis of the location of the OCB and the change in the magnetic flux content in individual nightside MLT sectors during substorm growth, expansion, and recovery phases. Far ultraviolet (FUV) observations from the IMAGE satellite are used to derive a proxy of the OCB location. In the hour prior to substorm onset, the total nightside flux content increases by up to 0.12 GWb on average, resulting in an equatorward expansion of the OCB. Following substorm onset, the OCB contracts toward the pole as the open magnetic flux content decreases by up to 0.14 GWb on average, but the rate of decrease of the total nightside open flux content differs by 5-66% between the three IMAGE far ultraviolet instruments. The OCB does not contract poleward uniformly in all nightside magnetic local time (MLT) sectors after substorm onset. Close to the substorm onset MLT sector, the OCB contracts immediately following substorm onset; however, the OCB in more dawnward and duskward MLT sectors continues to expand equatorward for up to 120 minutes after substorm onset. Despite the continued increase in flux in these sectors after substorm onset, the total nightside flux content decreases immediately at substorm onset, indicating that the nightside reconnection rate exceeds the dayside rate following substorm onset.</t>
  </si>
  <si>
    <t>[Mooney, M. K.; Forsyth, C.; Rae, I. J.] Univ Coll London, Mullard Space Sci Lab, Dorking, Surrey, England; [Mooney, M. K.; Marsh, M. S.; Jackson, D. R.; Bingham, S.] Met Off, Exeter, Devon, England; [Chisham, G.] British Antarctic Survey, Cambridge, England; [Coxon, J. C.] Univ Southampton, Dept Phys &amp; Astron, Southampton, Hants, England; [Hubert, B.] Lab Planetary &amp; Atmospher Phys, Liege, Belgium</t>
  </si>
  <si>
    <t>University of London; University College London; Met Office - UK; UK Research &amp; Innovation (UKRI); Natural Environment Research Council (NERC); NERC British Antarctic Survey; University of Southampton</t>
  </si>
  <si>
    <t>Mooney, MK (corresponding author), Univ Coll London, Mullard Space Sci Lab, Dorking, Surrey, England.;Mooney, MK (corresponding author), Met Off, Exeter, Devon, England.</t>
  </si>
  <si>
    <t>m.mooney.16@ucl.ac.uk</t>
  </si>
  <si>
    <t>Rae, Jonathan/D-8132-2013; Coxon, John/AAN-9355-2021; Marsh, Michael/AAK-4994-2021; Forsyth, Colin/E-4159-2010</t>
  </si>
  <si>
    <t>Rae, Jonathan/0000-0002-2637-4786; Coxon, John/0000-0002-0166-6854; Marsh, Michael/0000-0003-2765-0874; Jackson, David/0000-0001-6387-6876; Forsyth, Colin/0000-0002-0026-8395; Bingham, Suzy/0000-0002-6977-0885; Chisham, Gareth/0000-0003-1151-5934; Mooney, Michaela/0000-0001-8892-3675</t>
  </si>
  <si>
    <t>U.K. Natural Environment Research Council; NERC Independent Research Fellowship [NE/N014480/2]; STFC Consolidated Grant [ST/R000719/1]; NERC [NE/P017150/1, NE/N014480/1, bas0100031, 1926376] Funding Source: UKRI; STFC [ST/R000719/1] Funding Source: UKRI</t>
  </si>
  <si>
    <t>U.K. Natural Environment Research Council(UK Research &amp; Innovation (UKRI)Natural Environment Research Council (NERC)); NERC Independent Research Fellowship(UK Research &amp; Innovation (UKRI)Natural Environment Research Council (NERC)); STFC Consolidated Grant(UK Research &amp; Innovation (UKRI)Science &amp; Technology Facilities Council (STFC)); NERC(UK Research &amp; Innovation (UKRI)Natural Environment Research Council (NERC)); STFC(UK Research &amp; Innovation (UKRI)Science &amp; Technology Facilities Council (STFC))</t>
  </si>
  <si>
    <t>M. K. M.'s studentship is funded by the U.K. Natural Environment Research Council. C. F. is funded by a NERC Independent Research Fellowship NE/N014480/2. J. C. C. was supported on STFC Consolidated Grant ST/R000719/1. Auroral boundary data were derived and provided by the British Antarctic Survey based on IMAGE satellite data (https://www.bas.ac.uk/project/image-auroral-boundary-data/).The authors would like to thank the NASA Space Physics Data Facility and National Space Science Data Center. The IMAGE FUV data are provided courtesy of the instrument PI Stephen Mende (University of California, Berkeley). We thank the PI, the IMAGE mission, and the IMAGE FUV team for data usage and processing tools.</t>
  </si>
  <si>
    <t>e2019JA027369</t>
  </si>
  <si>
    <t>10.1029/2019JA027369</t>
  </si>
  <si>
    <t>LT1JO</t>
  </si>
  <si>
    <t>WOS:000536831100005</t>
  </si>
  <si>
    <t>Halberstadt, ARW; Gleason, CJ; Moussavi, MS; Pope, A; Trusel, LD; DeConto, RM</t>
  </si>
  <si>
    <t>Halberstadt, Anna Ruth W.; Gleason, Colin J.; Moussavi, Mahsa S.; Pope, Allen; Trusel, Luke D.; DeConto, Robert M.</t>
  </si>
  <si>
    <t>Antarctic Supraglacial Lake Identification Using Landsat-8 Image Classification</t>
  </si>
  <si>
    <t>supraglacial lakes; surface meltwater; supervised classification; Landsat-8; Antarctic ice shelves; ice shelf stability; sea level rise</t>
  </si>
  <si>
    <t>GREENLAND ICE-SHEET; WEST GREENLAND; SEASONAL EVOLUTION; MASS-BALANCE; MODIS IMAGERY; SHELF; SEA; ACCELERATION; DRAINAGE; MELTWATER</t>
  </si>
  <si>
    <t>Surface meltwater generated on ice shelves fringing the Antarctic Ice Sheet can drive ice-shelf collapse, leading to ice sheet mass loss and contributing to global sea level rise. A quantitative assessment of supraglacial lake evolution is required to understand the influence of Antarctic surface meltwater on ice-sheet and ice-shelf stability. Cloud computing platforms have made the required remote sensing analysis computationally trivial, yet a careful evaluation of image processing techniques for pan-Antarctic lake mapping has yet to be performed. This work paves the way for automating lake identification at a continental scale throughout the satellite observational record via a thorough methodological analysis. We deploy a suite of different trained supervised classifiers to map and quantify supraglacial lake areas from multispectral Landsat-8 scenes, using training data generated via manual interpretation of the results from k-means clustering. Best results are obtained using training datasets that comprise spectrally diverse unsupervised clusters from multiple regions and that include rock and cloud shadow classes. We successfully apply our trained supervised classifiers across two ice shelves with different supraglacial lake characteristics above a threshold sun elevation of 20 degrees, achieving classification accuracies of over 90% when compared to manually generated validation datasets. The application of our trained classifiers produces a seasonal pattern of lake evolution. Cloud shadowed areas hinder large-scale application of our classifiers, as in previous work. Our results show that caution is required before deploying 'off the shelf' algorithms for lake mapping in Antarctica, and suggest that careful scrutiny of training data and desired output classes is essential for accurate results. Our supervised classification technique provides an alternative and independent method of lake identification to inform the development of a continent-wide supraglacial lake mapping product.</t>
  </si>
  <si>
    <t>[Halberstadt, Anna Ruth W.; DeConto, Robert M.] Univ Massachusetts, Dept Geosci, Amherst, MA 01003 USA; [Gleason, Colin J.] Univ Massachusetts, Dept Civil &amp; Environm Engn, Amherst, MA 01003 USA; [Moussavi, Mahsa S.; Pope, Allen] Natl Snow &amp; Ice Data Ctr, Boulder, CO 80303 USA; [Moussavi, Mahsa S.; Pope, Allen] Univ Colorado, Cooperat Inst Res Environm Sci, Boulder, CO 80309 USA; [Trusel, Luke D.] Penn State Univ, Dept Geog, University Pk, PA 16801 USA</t>
  </si>
  <si>
    <t>University of Massachusetts System; University of Massachusetts Amherst; University of Massachusetts System; University of Massachusetts Amherst; University of Colorado System; University of Colorado Boulder; Pennsylvania Commonwealth System of Higher Education (PCSHE); Pennsylvania State University; Pennsylvania State University - University Park</t>
  </si>
  <si>
    <t>Halberstadt, ARW (corresponding author), Univ Massachusetts, Dept Geosci, Amherst, MA 01003 USA.</t>
  </si>
  <si>
    <t>ahalberstadt@umass.edu; cjgleason@umass.edu; mahsa.moussavi@nsidc.org; allen.pope@nsidc.org; trusel@psu.edu; deconto@geo.umass.edu</t>
  </si>
  <si>
    <t>Halberstadt, Anna Ruth/JPW-9990-2023; Trusel, Luke D/E-2578-2013; Moussavi, Mahsa S./B-4051-2016</t>
  </si>
  <si>
    <t>Pope, Allen/0000-0001-9699-7500; Halberstadt, Anna Ruth/0000-0003-2582-7074; Trusel, Luke/0000-0002-7792-6173</t>
  </si>
  <si>
    <t>NSF GEO Grant [1643733, 1643715]; NASA Sea Level Science Team [80NSSC17K0698]; National Snow and Ice Data Center, Cooperative Institute for Research in Environmental Sciences, University of Colorado Boulder</t>
  </si>
  <si>
    <t>NSF GEO Grant; NASA Sea Level Science Team; National Snow and Ice Data Center, Cooperative Institute for Research in Environmental Sciences, University of Colorado Boulder</t>
  </si>
  <si>
    <t>AP and MM were funded by NSF GEO Grant 1643715. LDT was funded by NSF GEO Grant 1643733. Publication of this article was partially funded by grant 80NSSC17K0698 to the NASA Sea Level Science Team, and by the National Snow and Ice Data Center, Cooperative Institute for Research in Environmental Sciences, University of Colorado Boulder.</t>
  </si>
  <si>
    <t>10.3390/rs12081327</t>
  </si>
  <si>
    <t>LP9II</t>
  </si>
  <si>
    <t>WOS:000534628800100</t>
  </si>
  <si>
    <t>Zwolak, K; Wigley, R; Bohan, A; Zarayskaya, Y; Bazhenova, E; Dorshow, W; Sumiyoshi, M; Sattiabaruth, S; Roperez, J; Proctor, A; Wallace, C; Sade, H; Ketter, T; Simpson, B; Tinmouth, N; Falconer, R; Ryzhov, I; Abou-Mahmoud, ME</t>
  </si>
  <si>
    <t>Zwolak, Karolina; Wigley, Rochelle; Bohan, Aileen; Zarayskaya, Yulia; Bazhenova, Evgenia; Dorshow, Wetherbee; Sumiyoshi, Masanao; Sattiabaruth, Seeboruth; Roperez, Jaya; Proctor, Alison; Wallace, Craig; Sade, Hadar; Ketter, Tomer; Simpson, Benjamin; Tinmouth, Neil; Falconer, Robin; Ryzhov, Ivan; Abou-Mahmoud, Mohamed Elsaied</t>
  </si>
  <si>
    <t>The Autonomous Underwater Vehicle Integrated with the Unmanned Surface Vessel Mapping the Southern Ionian Sea. The Winning Technology Solution of the Shell Ocean Discovery XPRIZE</t>
  </si>
  <si>
    <t>autonomous underwater vehicle; unmanned surface vessel; multibeam echosounder; interferometric sonar; mapping resolution; measurement accuracy; GEBCO-Nippon Foundation Alumni Team; Shell Ocean Discovery XPRIZE; bathymetry; HISAS 1032; EM 2040; EM 304; HUGIN; SEA-KIT</t>
  </si>
  <si>
    <t>The methods of data collection, processing, and assessment of the quality of the results of a survey conducted at the Southern Ionian Sea off the Messinian Peninsula, Greece are presented. Data were collected by the GEBCO-Nippon Foundation Alumni Team, competing in the Shell Ocean Discovery XPRIZE, during the Final Round of the competition. Data acquisition was conducted by the means of unmanned vehicles only. The mapping system was composed of a single deep water AUV (Autonomous Underwater Vehicle), equipped with a high-resolution synthetic aperture sonar HISAS 1032 and multibeam echosounder EM 2040, partnered with a USV (Unmanned Surface Vessel). The USV provided positioning data as well as mapping the seafloor from the surface, using a hull-mounted multibeam echosounder EM 304. Bathymetry and imagery data were collected for 24 h and then processed for 48 h, with the extensive use of cloud technology and automatic data processing. Finally, all datasets were combined to generate a 5-m resolution bathymetric surface, as an example of the deep-water mapping capabilities of the unmanned vehicles' cooperation and their sensors' integration.</t>
  </si>
  <si>
    <t>[Zwolak, Karolina] Polish Naval Acad, Fac Nav &amp; Naval Weapon, Dept Nav &amp; Marine Hydrog, PL-81127 Gdynia, Poland; [Wigley, Rochelle; Roperez, Jaya; Ketter, Tomer] Univ New Hampshire, Ctr Coastal &amp; Ocean Mapping, Durham, NH 03824 USA; [Bohan, Aileen] Geol Survey Ireland, INFOMAR, Dublin D04 K7X4, Ireland; [Zarayskaya, Yulia] Russian Acad Sci, Geol Inst, Moscow 119017, Russia; [Bazhenova, Evgenia] Natl Inst Water &amp; Atmospher Res, Wellington 6241, New Zealand; [Dorshow, Wetherbee] Earth Analyt Inc, Santa Fe, NM 87501 USA; [Sumiyoshi, Masanao] Hydrog &amp; Oceanog Dept Japan Coast Guard, Tokyo 1350064, Japan; [Sattiabaruth, Seeboruth] Minist Housing &amp; Land, Hydrog Unit, Ebene 72202, Mauritius; [Proctor, Alison] Ocean Floor Geophys, Burnaby, BC V5J 5J3, Canada; [Wallace, Craig] Kongsberg Maritime AS Subsea, N-3183 Horten, Norway; [Sade, Hadar] Yam Yafo Marine Projects, IL-7570232 Rishon Leziyyon, Israel; [Simpson, Benjamin] Hushcraft Ltd, Tollesbury CM9 8SE, Maldon, England; [Tinmouth, Neil] SEA KIT Int, Tollesbury CM9 8SE, Maldon, England; [Falconer, Robin] Robin Falconer Associates Ltd, Wellington 6241, New Zealand; [Ryzhov, Ivan] Fed State Budgetary Inst Arctic &amp; Antarctic Res I, St Petersburg 199397, Russia; [Abou-Mahmoud, Mohamed Elsaied] Univ Matrouh, Fac Petr &amp; Min Sci, Petr Geol Dept, Matrouh 51511, Egypt</t>
  </si>
  <si>
    <t>University System Of New Hampshire; University of New Hampshire; Geological Institute, Russian Academy of Sciences; Russian Academy of Sciences; National Institute of Water &amp; Atmospheric Research (NIWA) - New Zealand</t>
  </si>
  <si>
    <t>Zwolak, K (corresponding author), Polish Naval Acad, Fac Nav &amp; Naval Weapon, Dept Nav &amp; Marine Hydrog, PL-81127 Gdynia, Poland.</t>
  </si>
  <si>
    <t>k.zwolak@amw.gdynia.pl; rochelle@ccom.unh.edu; aileenbohan@gmail.com; geozar@yandex.ru; evgenia.bazhenova@niwa.co.nz; wdorshow@earthanalytic.com; sumi44masa@gmail.com; shailesh_chem@yahoo.com; jayaroperez@gmail.com; alison.proctor@oceanfloorgeophysics.com; craig.wallace@km.kongsberg.com; hsade@yam-yafo.com; tketter@ccom.unh.edu; ben@hushcraft.com; neil@seakit.com; robinfalconerassociates@gmail.com; ryzhov@aari.ru; MohamedElsaied@mau.edu.eg</t>
  </si>
  <si>
    <t>Elsaied, Mohamed/AAZ-9004-2021; Zarayskaya, Yulia/AAM-9028-2021; Bazhenova, Evgenia/G-1505-2015; Zwolak, Karolina/U-7920-2018</t>
  </si>
  <si>
    <t>Elsaied, Mohamed/0000-0003-4062-5905; Zarayskaya, Yulia/0000-0002-9385-2135; Ketter, Tomer/0000-0003-3438-8560; Bazhenova, Evgenia/0000-0002-8092-702X; Zwolak, Karolina/0000-0002-5540-4710; Wigley, Rochelle/0000-0003-2792-5663</t>
  </si>
  <si>
    <t>Nippon Foundation</t>
  </si>
  <si>
    <t>Nippon Foundation(Nippon Foundation)</t>
  </si>
  <si>
    <t>This research was funded by the Nippon Foundation and conducted under the supervision of the University of New Hamphire.</t>
  </si>
  <si>
    <t>10.3390/rs12081344</t>
  </si>
  <si>
    <t>WOS:000534628800117</t>
  </si>
  <si>
    <t>Umasuthan, N; Xue, X; Caballero-Solares, A; Kumar, S; Westcott, JD; Chen, ZY; Fast, MD; Skugor, S; Nowak, BF; Taylor, RG; Rise, ML</t>
  </si>
  <si>
    <t>Umasuthan, Navaneethaiyer; Xue, Xi; Caballero-Solares, Albert; Kumar, Surendra; Westcott, Jillian D.; Chen, Zhiyu; Fast, Mark D.; Skugor, Stanko; Nowak, Barbara F.; Taylor, Richard G.; Rise, Matthew L.</t>
  </si>
  <si>
    <t>Transcriptomic Profiling in Fins of Atlantic Salmon Parasitized with Sea Lice: Evidence for an Early Imbalance Between Chalimus-Induced Immunomodulation and the Host's Defense Response</t>
  </si>
  <si>
    <t>INTERNATIONAL JOURNAL OF MOLECULAR SCIENCES</t>
  </si>
  <si>
    <t>Lepeophtheirus salmonis; chalimus; Salmo salar; fin transcriptome; immunomodulation; anti-sea lice response; 44K microarray; immunogenomics</t>
  </si>
  <si>
    <t>C-TYPE LECTIN; LOUSE LEPEOPHTHEIRUS-SALMONIS; TROUT ONCORHYNCHUS-MYKISS; ACUTE-PHASE RESPONSE; INNATE IMMUNITY; RAINBOW-TROUT; EXPERIMENTAL-INFECTION; AEROMONAS-SALMONICIDA; PATTERN-RECOGNITION; MINIMUM INFORMATION</t>
  </si>
  <si>
    <t>Parasitic sea lice (e.g., Lepeophtheirus salmonis) cause costly outbreaks in salmon farming. Molecular insights into parasite-induced host responses will provide the basis for improved management strategies. We investigated the early transcriptomic responses in pelvic fins of Atlantic salmon parasitized with chalimus I stage sea lice. Fin samples collected from non-infected (i.e., pre-infected) control (PRE) and at chalimus-attachment sites (ATT) and adjacent to chalimus-attachment sites (ADJ) from infected fish were used in profiling global gene expression using 44K microarrays. We identified 6568 differentially expressed probes (DEPs, FDR &lt; 5%) that included 1928 shared DEPs between ATT and ADJ compared to PRE. The ATT versus ADJ comparison revealed 90 DEPs, all of which were upregulated in ATT samples. Gene ontology/pathway term network analyses revealed profound changes in physiological processes, including extracellular matrix (ECM) degradation, tissue repair/remodeling and wound healing, immunity and defense, chemotaxis and signaling, antiviral response, and redox homeostasis in infected fins. The QPCR analysis of 37 microarray-identified transcripts representing these functional themes served to confirm the microarray results with a significant positive correlation (p &lt; 0.0001). Most immune/defense-relevant transcripts were downregulated in both ATT and ADJ sites compared to PRE, suggesting that chalimus exerts immunosuppressive effects in the salmon's fins. The comparison between ATT and ADJ sites demonstrated the upregulation of a suite of immune-relevant transcripts, evidencing the salmon's attempt to mount an anti-lice response. We hypothesize that an imbalance between immunomodulation caused by chalimus during the early phase of infection and weak defense response manifested by Atlantic salmon makes it a susceptible host for L. salmonis.</t>
  </si>
  <si>
    <t>[Umasuthan, Navaneethaiyer; Xue, Xi; Caballero-Solares, Albert; Kumar, Surendra; Rise, Matthew L.] Mem Univ Newfoundland, Dept Ocean Sci, St John, NF A1C 5S7, Canada; [Westcott, Jillian D.; Chen, Zhiyu] Mem Univ Newfoundland, Fisheries &amp; Marine Inst, POB 490, St John, NF A1C 5R3, Canada; [Fast, Mark D.] Univ Prince Edward Isl, Atlantic Vet Coll, Dept Pathol &amp; Microbiol, Charlottetown, PE C1A 4P3, Canada; [Skugor, Stanko] Sea Lice Res Ctr SLRC, Cargill Aqua Nutr, Cargill, Hanaveien 17, N-4327 Sandnes, Norway; [Nowak, Barbara F.] Univ Tasmania, Inst Marine &amp; Antarctic Studies, Locked Bag 1370, Launceston, Tas 7250, Australia; [Taylor, Richard G.] Cargill Anim Nutr, 10383 15th Ave NW, Elk River, MN 55330 USA</t>
  </si>
  <si>
    <t>Memorial University Newfoundland; Memorial University Newfoundland; University of Prince Edward Island; University of Tasmania; Cargill</t>
  </si>
  <si>
    <t>Umasuthan, N; Rise, ML (corresponding author), Mem Univ Newfoundland, Dept Ocean Sci, St John, NF A1C 5S7, Canada.</t>
  </si>
  <si>
    <t>navaumasuthan@gmail.com; xi.xue@mun.ca; acaballeroso@mun.ca; surendrak@mun.ca; jillian.westcott@mi.mun.ca; zc5118@mun.ca; mfast@upei.ca; stanko_skugor@cargill.com; b.nowak@utas.edu.au; richard_taylor@cargill.com; mrise@mun.ca</t>
  </si>
  <si>
    <t>Caballero-Solares, Albert/AAB-2419-2020; Kumar, Surendra/C-9238-2011; Nowak, Barbara/J-7261-2014</t>
  </si>
  <si>
    <t>Caballero-Solares, Albert/0000-0001-7693-0739; Kumar, Surendra/0000-0001-5396-5509; Nowak, Barbara/0000-0002-0347-643X; Xue, Xi/0000-0001-5621-1681</t>
  </si>
  <si>
    <t>Government of Canada through Genome Canada [6607]; Genome Atlantic; Government of Newfoundland and Labrador through the Department of Tourism, Culture, Industry and Innovation [5401-1019-108]; Mitacs; Natural Sciences and Engineering Research Council of Canada (NSERC) [341304-2012]; Ocean Frontier Institute (OFI); Canada First Research Excellence Fund</t>
  </si>
  <si>
    <t>Government of Canada through Genome Canada(Genome Canada); Genome Atlantic; Government of Newfoundland and Labrador through the Department of Tourism, Culture, Industry and Innovation; Mitacs; Natural Sciences and Engineering Research Council of Canada (NSERC)(Natural Sciences and Engineering Research Council of Canada (NSERC)); Ocean Frontier Institute (OFI); Canada First Research Excellence Fund</t>
  </si>
  <si>
    <t>This study was conducted as part of the Integrated Pathogen Management of Co-infection in Atlantic Salmon (IPMC) project (Genomic Applications Partnership Program, GAPP #6607), funded by the Government of Canada through Genome Canada and Genome Atlantic. The project was also funded by the Government of Newfoundland and Labrador through the Department of Tourism, Culture, Industry and Innovation (Leverage R&amp;D award #5401-1019-108); Mitacs, through the Mitacs Accelerate program, and with the collaboration of Cargill Innovation (formerly EWOS Innovation). Additional funding to M.L.R. was provided by a Natural Sciences and Engineering Research Council of Canada (NSERC) Discovery Grant (341304-2012) and by the Ocean Frontier Institute (OFI). Salary (SK) in the present study was provided by the OFI, through an award from the Canada First Research Excellence Fund.</t>
  </si>
  <si>
    <t>1422-0067</t>
  </si>
  <si>
    <t>INT J MOL SCI</t>
  </si>
  <si>
    <t>Int. J. Mol. Sci.</t>
  </si>
  <si>
    <t>10.3390/ijms21072417</t>
  </si>
  <si>
    <t>LR3DN</t>
  </si>
  <si>
    <t>WOS:000535574200159</t>
  </si>
  <si>
    <t>Benites, M; Hein, JR; Mizell, K; Blackburn, T; Jovane, L</t>
  </si>
  <si>
    <t>Benites, Mariana; Hein, James R.; Mizell, Kira; Blackburn, Terrence; Jovane, Luigi</t>
  </si>
  <si>
    <t>Genesis and Evolution of Ferromanganese Crusts from the Summit of Rio Grande Rise, Southwest Atlantic Ocean</t>
  </si>
  <si>
    <t>ferromanganese crusts; phosphatization; Rio Grande Rise; critical metals</t>
  </si>
  <si>
    <t>RARE-EARTH-ELEMENTS; FE-MN CRUSTS; CENTRAL PACIFIC; COBALT-RICH; NE ATLANTIC; MARINE GEOCHEMISTRY; CRYSTAL-CHEMISTRY; DISSOLVED ZINC; INDIAN-OCEAN; SEAMOUNT</t>
  </si>
  <si>
    <t>The Rio Grande Rise (RGR) is a large elevation in the Atlantic Ocean and known to host potential mineral resources of ferromanganese crusts (Fe-Mn), but no investigation into their general characteristics have been made in detail. Here, we investigate the chemical and mineralogical composition, growth rates and ages of initiation, and phosphatization of relatively shallow-water (650-825 m) Fe-Mn crusts dredged from the summit of RGR by using computed tomography, X-ray diffraction, Sr-87/Sr-86 ratios, U-Th isotopes, and various analytical techniques to determine their chemical composition. Fe-Mn crusts from RGR have two distinct generations. The older one has an estimated age of initiation around 48-55 Ma and was extensively affected by post-depositional processes under suboxic conditions resulting in phosphatization during the Miocene (from 20 to 6.8 Ma). As a result, the older generation shows characteristics of diagenetic Fe-Mn deposits, such as low Fe/Mn ratios (mean 0.52), high Mn, Ni, and Li contents and the presence of a 10 angstrom phyllomanganate, combined with the highest P content among crusts (up to 7.7 wt %). The younger generation is typical of hydrogenetic crusts formed under oxic conditions, with a mean Fe/Mn ratio of 0.75 and mean Co content of 0.66 wt %, and has the highest mean contents of Bi, Nb, Ni, Te, Rh, Ru, and Pt among crusts formed elsewhere. The regeneration of nutrients from local biological productivity in the water column is the main source of metals to crusts, providing mainly metals that regenerate rapidly in the water column and are made available at relatively shallow water depths (Ni, As, V, and Cd), at the expense of metals of slower regeneration (Si and Cu). Additionally, important contributions of nutrients may derive from various water masses, especially the South Atlantic Mode Water and Antarctic Intermediate Water (AAIW). Bulk Fe-Mn crusts from the summit of RGR plateau are generally depleted in metals considered of greatest economic interest in crusts like Co, REE, Mo, Te, and Zr, but are the most enriched in the critical metals Ni and Li compared to other crusts. Further investigations are warranted on Fe-Mn crusts from deeper-water depths along the RGR plateau and surrounding areas, which would less likely be affected by phosphatization.</t>
  </si>
  <si>
    <t>[Benites, Mariana; Jovane, Luigi] Univ Sao Paulo, Inst Oceanog, Praca Oceanog 191, BR-05508120 Sao Paulo, SP, Brazil; [Hein, James R.; Mizell, Kira] US Geol Survey, PCMSC, 2885 Mission St, Santa Cruz, CA 95060 USA; [Blackburn, Terrence] Univ Calif Santa Cruz, Dept Earth Sci, 1156 High St EMS A108, Santa Cruz, CA 95064 USA</t>
  </si>
  <si>
    <t>Universidade de Sao Paulo; United States Department of the Interior; United States Geological Survey; University of California System; University of California Santa Cruz</t>
  </si>
  <si>
    <t>Benites, M (corresponding author), Univ Sao Paulo, Inst Oceanog, Praca Oceanog 191, BR-05508120 Sao Paulo, SP, Brazil.</t>
  </si>
  <si>
    <t>mariana.benites@usp.br; jhein@usgs.gov; kmizell@usgs.gov; terryb@ucsc.edu; jovane@usp.br</t>
  </si>
  <si>
    <t>Jovane, Luigi/AAH-5438-2020</t>
  </si>
  <si>
    <t>Jovane, Luigi/0000-0003-4348-4714; Blackburn, Terrence/0000-0003-0029-0709; Mizell, Kira/0000-0002-5066-787X; Benites, Mariana/0000-0002-3269-6896</t>
  </si>
  <si>
    <t>CNPq [141918/2018-7]; FAPESP [2018/05114-8]</t>
  </si>
  <si>
    <t>CNPq(Conselho Nacional de Desenvolvimento Cientifico e Tecnologico (CNPQ)); FAPESP(Fundacao de Amparo a Pesquisa do Estado de Sao Paulo (FAPESP))</t>
  </si>
  <si>
    <t>M.B. thanks the Ph.D. scholarships from CNPq process 141918/2018-7 and FAPESP process 2018/05114-8, and the USGS Pacific Coastal and Marine Science Center in Santa Cruz CA USA for hosting while working on the manuscript. We thank the RV Alpha Crucis crew (Instituto Oceanografico da Universidade de SAo Paulo, Brazil) for support during sample and data collection. We thank three anonymous reviewers that provided many helpful comments and suggestions.</t>
  </si>
  <si>
    <t>10.3390/min10040349</t>
  </si>
  <si>
    <t>LR3GI</t>
  </si>
  <si>
    <t>WOS:000535581500057</t>
  </si>
  <si>
    <t>Huang, YT; Bian, C; Liu, ZQ; Wang, LL; Xue, CH; Huang, HL; Yi, YH; You, XX; Song, W; Mao, XZ; Song, LS; Shi, Q</t>
  </si>
  <si>
    <t>Huang, Yuting; Bian, Chao; Liu, Zhaoqun; Wang, Lingling; Xue, Changhu; Huang, Hongliang; Yi, Yunhai; You, Xinxin; Song, Wei; Mao, Xiangzhao; Song, Linsheng; Shi, Qiong</t>
  </si>
  <si>
    <t>The First Genome Survey of the Antarctic Krill (Euphausia superba) Provides a Valuable Genetic Resource for Polar Biomedical Research</t>
  </si>
  <si>
    <t>Antarctic krill (Euphausia superba); genome survey; mitochondrial genome; whiteleg shrimp (Penaeus vannamei); antimicrobial peptide (AMP); antihypertensive peptide (AHTP)</t>
  </si>
  <si>
    <t>ENZYME-INHIBITORY PEPTIDES; CHINESE MITTEN CRAB; ANTIMICROBIAL PEPTIDE; SHRIMP; PURIFICATION; CRUSTACEA; ALIGNMENT; TOOL; POPULATIONS; GENERATION</t>
  </si>
  <si>
    <t>The world-famous Antarctic krill (Euphausia superba) plays a fundamental role in the Antarctic food chain. It resides in cold environments with the most abundant biomass to support the Antarctic ecology and fisheries. Here, we performed the first genome survey of the Antarctic krill, with genomic evidence for its estimated genome size of 42.1 gigabases (Gb). Such a large genome, however, is beyond our present capability to obtain a good assembly, although our sequencing data are a valuable genetic resource for subsequent polar biomedical research. We extracted 13 typical protein-coding gene sequences of the mitochondrial genome and analyzed simple sequence repeats (SSRs), which are useful for species identification and origin determination. Meanwhile, we conducted a high-throughput comparative identification of putative antimicrobial peptides (AMPs) and antihypertensive peptides (AHTPs) from whole-body transcriptomes of the Antarctic krill and its well-known counterpart, the whiteleg shrimp (Penaeus vannamei; resident in warm waters). Related data revealed that AMPs/AMP precursors and AHTPs were generally conserved, with interesting variations between the two crustacean species. In summary, as the first report of estimated genome size of the Antarctic krill, our present genome survey data provide a foundation for further biological research into this polar species. Our preliminary investigations on bioactive peptides will bring a new perspective for the in-depth development of novel marine drugs.</t>
  </si>
  <si>
    <t>[Huang, Yuting; Liu, Zhaoqun; Wang, Lingling; Song, Linsheng; Shi, Qiong] Dalian Ocean Univ, Liaoning Key Lab Marine Anim Immunol, Dalian 116023, Peoples R China; [Huang, Yuting; Bian, Chao; Yi, Yunhai; You, Xinxin; Shi, Qiong] BGI Acad Marine Sci, Shenzhen Key Lab Marine Genom, Guangdong Prov Key Lab Mol Breeding Marine Econ A, BGI Marine,BGI, Shenzhen 518083, Peoples R China; [Huang, Yuting; Bian, Chao; Yi, Yunhai; You, Xinxin; Shi, Qiong] Univ Chinese Acad Sci, BGI Educ Ctr, Shenzhen 518083, Peoples R China; [Xue, Changhu; Mao, Xiangzhao] Ocean Univ China, Qingdao 266100, Peoples R China; [Huang, Hongliang; Song, Wei] Chinese Acad Fishery Sci, East China Sea Fisheries Res Inst, Shanghai 200090, Peoples R China</t>
  </si>
  <si>
    <t>Dalian Ocean University; Beijing Genomics Institute (BGI); Chinese Academy of Sciences; University of Chinese Academy of Sciences, CAS; Ocean University of China; Chinese Academy of Fishery Sciences; East China Sea Fisheries Research Institute, CAFS</t>
  </si>
  <si>
    <t>Song, LS; Shi, Q (corresponding author), Dalian Ocean Univ, Liaoning Key Lab Marine Anim Immunol, Dalian 116023, Peoples R China.;Shi, Q (corresponding author), BGI Acad Marine Sci, Shenzhen Key Lab Marine Genom, Guangdong Prov Key Lab Mol Breeding Marine Econ A, BGI Marine,BGI, Shenzhen 518083, Peoples R China.;Shi, Q (corresponding author), Univ Chinese Acad Sci, BGI Educ Ctr, Shenzhen 518083, Peoples R China.</t>
  </si>
  <si>
    <t>huangyuting@genomics.cn; bianchao@genomics.cn; liuzhaoqun@dlou.edu.cn; wanglingling@dlou.edu.cn; xuech@ouc.edu.cn; ecshhl@163.com; yiyunhai@genomics.cn; youxinxin@genomics.cn; songw@ecsf.ac.cn; xzhmao@ouc.edu.cn; lshsong@dlou.edu.cn; shiqiong@genomics.cn</t>
  </si>
  <si>
    <t>ma, long/JHU-2289-2023; wu, jun/ISB-8607-2023; Wang, Xuezhen/IUN-6267-2023; wang, yue/ISA-4119-2023</t>
  </si>
  <si>
    <t>Mao, Xiangzhao/0000-0002-6315-1338; Yi, Yunhai/0000-0002-3516-6700; Shi, Qiong/0000-0002-6358-976X; Bian, Chao/0000-0001-9904-721X</t>
  </si>
  <si>
    <t>China National Key RD Program [2018YFC0310802]; Shenzhen Dapang Special Program for Industrial Development [KY20180205, PT201901-08]; Shenzhen Special Project for High-Level Talents [SZYSGZZ-2018001]</t>
  </si>
  <si>
    <t>China National Key RD Program; Shenzhen Dapang Special Program for Industrial Development; Shenzhen Special Project for High-Level Talents</t>
  </si>
  <si>
    <t>The work was supported by China National Key R&amp;D Program (No. 2018YFC0310802), Shenzhen Dapang Special Program for Industrial Development (Nos. KY20180205 and PT201901-08), and Shenzhen Special Project for High-Level Talents (No. SZYSGZZ-2018001).</t>
  </si>
  <si>
    <t>10.3390/md18040185</t>
  </si>
  <si>
    <t>LO8XP</t>
  </si>
  <si>
    <t>WOS:000533909300014</t>
  </si>
  <si>
    <t>Zhang, QC; Li, F; Zhang, SK; Li, WH</t>
  </si>
  <si>
    <t>Zhang, Qingchuan; Li, Fei; Zhang, Shengkai; Li, Wenhao</t>
  </si>
  <si>
    <t>Modeling and Forecasting the GPS Zenith Troposphere Delay in West Antarctica Based on Different Blind Source Separation Methods and Deep Learning</t>
  </si>
  <si>
    <t>GPS; ZTD; ICA; PCA; deep learning</t>
  </si>
  <si>
    <t>COMPONENT ANALYSIS; SYSTEM</t>
  </si>
  <si>
    <t>Tropospheric delay is an important error source in global positioning systems (GPS), and the water vapor retrieved from the tropospheric delay is widely used in meteorological research such as climate analysis and weather forecasting. Most zenith tropospheric delay (ZTD) models are presently used as positioning corrections, and few models are used for the estimation of water vapor, especially in Antarctica. Through two blind source separation algorithms (principal component analysis (PCA) and independent component analysis (ICA)), a back-propagation (BP) neural network and a deep learning technique (long short-term memory (LSTM) network), we establish an hourly high-accuracy ZTD model for GPS meteorology using the GPS-ZTD from 52 GPS stations in West Antarctica. Our results show that under the condition in which the principal components (PCs) and independent components (ICs) remain fixed after decomposition, the mean accuracy of the models for West Antarctica using PCA or ICA are better than 10 mm. Compared with the ZTDs from the nonmodeling stations, the mean root mean square (RMS) of the PCA and ICA models are 9.3 and 8.9 mm, respectively, and the correlation coefficients between the GPS-ZTD and model-ZTDs all exceed 90%. The accuracy of the ICA model is slightly higher than that of the PCA model, and the ICs of the ICA model show more consistent spatial responses. The six-hour forecast is the best among the forecast results, with a mean correlation coefficient of 90.6% and a mean RMS of 7.2 mm using GPS-ZTD. The long-term forecast result is significantly inaccurate, as the correlation coefficient between the 24-h forecast and GPS-ZTD is only 63.2%. Generally modest results have been achieved (HSS &lt;= 0.38). Furthermore, the forecast accuracy in coastal areas is lower than that in inland areas. Our study confirms that the combined use of ICA and deep learning in ZTD modeling can effectively restore the original signals, and short-term forecasting can be effectively used in GPS meteorology. However, further development of the technology is necessary.</t>
  </si>
  <si>
    <t>[Zhang, Qingchuan; Li, Fei; Zhang, Shengkai; Li, Wenhao] Wuhan Univ, Chinese Antarctic Ctr Surveying &amp; Mapping, 129 Luoyu Rd, Wuhan 430079, Peoples R China</t>
  </si>
  <si>
    <t>Li, F (corresponding author), Wuhan Univ, Chinese Antarctic Ctr Surveying &amp; Mapping, 129 Luoyu Rd, Wuhan 430079, Peoples R China.</t>
  </si>
  <si>
    <t>zqc@whu.edu.cn; fli@whu.edu.cn; zskai@whu.edu.cn; wh_li@whu.edu.cn</t>
  </si>
  <si>
    <t>Zhang, Shengkai/0000-0001-7436-2504</t>
  </si>
  <si>
    <t>National Key Research and Development Program of China [2017YFA0603104]; State Key Program of National Natural Science Foundation of China [41531069]</t>
  </si>
  <si>
    <t>National Key Research and Development Program of China; State Key Program of National Natural Science Foundation of China(National Natural Science Foundation of China (NSFC))</t>
  </si>
  <si>
    <t>This research was funded by the National Key Research and Development Program of China, grant number 2017YFA0603104 and the State Key Program of National Natural Science Foundation of China, grant number 41531069.</t>
  </si>
  <si>
    <t>10.3390/s20082343</t>
  </si>
  <si>
    <t>LO0VA</t>
  </si>
  <si>
    <t>WOS:000533346400185</t>
  </si>
  <si>
    <t>Jones, G; Harvey, M; King, S; Schneider, A; Wright, S; Fortescue, D; Swan, H; Maher, DT</t>
  </si>
  <si>
    <t>Jones, Graham; Harvey, Mike; King, Stacey; Schneider, Anke; Wright, Simon; Fortescue, Darren; Swan, Hilton; Maher, Damien T.</t>
  </si>
  <si>
    <t>Varying Biological Activity and Wind Stress Affect the DMS Response during the SAGE Iron Enrichment Experiment</t>
  </si>
  <si>
    <t>dimethylsulfide; iron enrichment; subantarctic; microzooplankton grazing</t>
  </si>
  <si>
    <t>SUBTROPICAL CONVERGENCE REGION; DIMETHYL SULFIDE; SOUTHERN-OCEAN; PHOTOSYNTHETIC PIGMENTS; PHYTOPLANKTON BLOOM; DIMETHYLSULFONIOPROPIONATE; DIMETHYLSULPHONIOPROPIONATE; FERTILIZATION; LIMITATION; WINTER</t>
  </si>
  <si>
    <t>Surface dissolved dimethylsulfide (DMS) and depth-integrated dimethylsulfoniopropionate (DMSP) measurements were made from March to April 2004 during the SOLAS Air-Sea Gas Exchange Experiment (SAGE), a multiple iron enrichment experiment in subantarctic waters SE of New Zealand. During the first two iron enrichments, chl a and DMS production were constrained, but during the third enrichment, large pulses of DMS occurred in the fertilised IN patch, compared with the unfertilised OUT patch. During the third and fourth iron infusions, total chl a concentrations doubled from 0.52 to 1.02 mu g/L. Hapto8s and prasinophytes accounted for 50%, and 20%, respectively, of total chl a. The large pulses of DMS during the third iron enrichment occurred during high dissolved DMSP concentrations and wind strength; changes in dinoflagellate, haptophyte, and cyanobacteria biomass; and increased microzooplankton grazing that exerted a top down control on phytoplankton production. A further fourth iron enrichment did cause surface waters to increase in DMS, but the effect was not as great as that recorded in the third enrichment. Differences in the biological response between SAGE and several other iron enrichment experiments were concluded to reflect microzooplankton grazing activities and the microbial loop dominance, resulting from mixing of the MLD during storm activity and high winds during iron enrichment.</t>
  </si>
  <si>
    <t>[Jones, Graham; King, Stacey; Fortescue, Darren; Swan, Hilton] Southern Cross Univ, Sch Environm Sci &amp; Engn, Ctr Coastal Biogeochem, Lismore, NSW 2480, Australia; [Harvey, Mike] Natl Inst Water &amp; Atmospher Res, Wellington 6241, New Zealand; [Schneider, Anke] Carl von Ossietzky Univ Oldenburg, Inst Marine Chem, D-26122 Oldenburg, Germany; [Wright, Simon] Australian Antarctic Div, Kingston, Tas 7050, Australia; [Wright, Simon] Antarctic Climate &amp; Ecosyst CRC, Kingston, Tas 7050, Australia; [Maher, Damien T.] Southern Cross Univ, Southern Cross Geosci, Lismore, NSW 2480, Australia</t>
  </si>
  <si>
    <t>Southern Cross University; National Institute of Water &amp; Atmospheric Research (NIWA) - New Zealand; Carl von Ossietzky Universitat Oldenburg; Australian Antarctic Division; University of Tasmania; Southern Cross University</t>
  </si>
  <si>
    <t>Jones, G (corresponding author), Southern Cross Univ, Sch Environm Sci &amp; Engn, Ctr Coastal Biogeochem, Lismore, NSW 2480, Australia.</t>
  </si>
  <si>
    <t>graham.jones@scu.edu.au; Mike.Harvey@niwa.co.nz; sking0683@aol.com; aschneider@geoman.de; simon.wright@aad.gov.au; darren.fortescue@gmail.com; hilton.swan515@gmail.com; damien.maher@scu.edu.au</t>
  </si>
  <si>
    <t>SWAN, Hilton B/B-1426-2013; Maher, Damien/E-3443-2012; Harvey, Mike/A-5354-2010</t>
  </si>
  <si>
    <t>SWAN, Hilton B/0000-0002-1608-3977; Maher, Damien/0000-0003-1899-005X; Harvey, Mike/0000-0002-0979-0227</t>
  </si>
  <si>
    <t>New Zealand Foundation for Research, Science, and Technology (FRST) programs [C01X0204]; NIWA Strategic Science Investment Fund programme Ocean-Climate Interactions; Southern Cross University; DVCs Office of Research; Australian Antarctic Science project AAS 40 at the Australian Antarctic Division (AAD); Australian Government's Cooperative Research Centre's Program through the Antarctic Climate and Ecosystems Cooperative Research Centre (ACE CRC)</t>
  </si>
  <si>
    <t>New Zealand Foundation for Research, Science, and Technology (FRST) programs; NIWA Strategic Science Investment Fund programme Ocean-Climate Interactions; Southern Cross University; DVCs Office of Research; Australian Antarctic Science project AAS 40 at the Australian Antarctic Division (AAD); Australian Government's Cooperative Research Centre's Program through the Antarctic Climate and Ecosystems Cooperative Research Centre (ACE CRC)(Australian GovernmentDepartment of Industry, Innovation and ScienceCooperative Research Centres (CRC) Programme)</t>
  </si>
  <si>
    <t>This research was funded through the New Zealand Foundation for Research, Science, and Technology (FRST) programs (C01X0204). Analysis was completed under NIWA Strategic Science Investment Fund programme Ocean-Climate Interactions (2019-20 SCI). G. Jones's involvement was supported by Southern Cross University and seed funding from Professor Peter Bavistock of the DVCs Office of Research. S.Wright was supported by the Australian Antarctic Science project AAS 40 at the Australian Antarctic Division (AAD) and the Australian Government's Cooperative Research Centre's Program through the Antarctic Climate and Ecosystems Cooperative Research Centre (ACE CRC).</t>
  </si>
  <si>
    <t>10.3390/jmse8040268</t>
  </si>
  <si>
    <t>LN9VA</t>
  </si>
  <si>
    <t>WOS:000533277500043</t>
  </si>
  <si>
    <t>Hirose, Y; Shiozaki, T; Otani, M; Kudoh, S; Imura, S; Eki, T; Harada, N</t>
  </si>
  <si>
    <t>Hirose, Yuu; Shiozaki, Takuhei; Otani, Masahiro; Kudoh, Sakae; Imura, Satoshi; Eki, Toshihiko; Harada, Naomi</t>
  </si>
  <si>
    <t>Investigating Algal Communities in Lacustrine and Hydro-Terrestrial Environments of East Antarctica Using Deep Amplicon Sequencing</t>
  </si>
  <si>
    <t>algae; Antarctica; lacustrine; hydro-terrestrial; Cyanobacteria; microbiome; Tardigrade</t>
  </si>
  <si>
    <t>FRESH-WATER LAKES; MAT COMMUNITIES; MOSS PILLARS; DIVERSITY; CYANOBACTERIA; BIOGEOGRAPHY; SKARVSNES; POLAR; AREA</t>
  </si>
  <si>
    <t>Antarctica has one of the most extreme environments on Earth, with low temperatures and low nutrient levels. Antarctica's organisms live primarily in the coastal, ice-free areas which cover approximately 0.18% of the continent's surface. Members of Cyanobacteria and eukaryotic algae are important primary producers in Antarctica since they can synthesize organic compounds from carbon dioxide and water using solar energy. However, community structures of photosynthetic algae in Antarctica have not yet been fully explored at molecular level. In this study, we collected diverse algal samples in lacustrine and hydro-terrestrial environments of Langhovde and Skarvsnes, which are two ice-free regions in East Antarctica. We performed deep amplicon sequencing of both 16S ribosomal ribonucleic acid (rRNA) and 18S rRNA genes, and we explored the distribution of sequence variants (SVs) of these genes at single nucleotide difference resolution. SVs of filamentous Cyanobacteria genera, including Leptolyngbya, Pseudanabaena, Phormidium, Nodosilinea, Geitlerinama, and Tychonema, were identified in most of the samples, whereas Phormidesmis SVs were distributed in fewer samples. We also detected unicellular, multicellular or heterocyst forming Cyanobacteria strains, but in relatively small abundance. For SVs of eukaryotic algae, Chlorophyta, Cryptophyta, and Ochrophyta were widely distributed among the collected samples. In addition, there was a red colored bloom of eukaryotic alga, Geminigera cryophile (Cryptophyta), in the Langhovde coastal area. Eukaryotic SVs of Acutuncus antarcticus and/or Diphascon pingue of Tardigrada were dominant among most of the samples. Our data revealed the detailed structures of the algal communities in Langhovde and Skarvsnes. This will contribute to our understanding of Antarctic ecosystems and support further research into this subject.</t>
  </si>
  <si>
    <t>[Hirose, Yuu; Eki, Toshihiko] Toyohashi Univ Technol, Dept Appl Chem &amp; Life Sci, Toyohashi, Aichi 4418580, Japan; [Shiozaki, Takuhei; Harada, Naomi] Japan Agcy Marine Earth Sci &amp; Technol, Earth Surface Syst Res Ctr, Yokosuka, Kanagawa 2370061, Japan; [Shiozaki, Takuhei] Univ Tokyo, Atmosphere &amp; Ocean Res Inst, Chiba 2778564, Japan; [Otani, Masahiro] Niigata Univ, Fac Agr, Niigata 9502181, Japan; [Kudoh, Sakae; Imura, Satoshi] Natl Inst Polar Res, Corp Res Org Informat &amp; Syst, Tokyo 1908518, Japan; [Kudoh, Sakae; Imura, Satoshi] Grad Univ Adv Studies, Dept Polar Sci, SOKENDAI, Tokyo 1908518, Japan</t>
  </si>
  <si>
    <t>Toyohashi University of Technology; Japan Agency for Marine-Earth Science &amp; Technology (JAMSTEC); University of Tokyo; Niigata University; Research Organization of Information &amp; Systems (ROIS); National Institute of Polar Research (NIPR) - Japan; Graduate University for Advanced Studies - Japan</t>
  </si>
  <si>
    <t>Hirose, Y (corresponding author), Toyohashi Univ Technol, Dept Appl Chem &amp; Life Sci, Toyohashi, Aichi 4418580, Japan.</t>
  </si>
  <si>
    <t>hirose@chem.tut.ac.jp; shiozaki@aori.u-tokyo.ac.jp; otani@agr.niigata-u.ac.jp; kudoh.sakae@gmail.com; imura@nipr.ac.jp; eki@chem.tut.ac.jp; haradan@jamstec.go.jp</t>
  </si>
  <si>
    <t>Imura, Satoshi/0000-0002-6803-6996; Hirose, Yuu/0000-0003-1116-8979; Harada, Naomi/0000-0002-2725-7346; Shiozaki, Takuhei/0000-0002-5160-3472</t>
  </si>
  <si>
    <t>Japan Society for the Promotion of Science (JSPS) [15H05712]; Grants-in-Aid for Scientific Research [20H04985]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</si>
  <si>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</si>
  <si>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research was supported by Grant-in-Aid for Scientific Research (S) (Grant number 15H05712) to N.H. from Japan Society for the Promotion of Science (JSPS).</t>
  </si>
  <si>
    <t>10.3390/microorganisms8040497</t>
  </si>
  <si>
    <t>LO3DX</t>
  </si>
  <si>
    <t>WOS:000533510400063</t>
  </si>
  <si>
    <t>Eom, J; Rim, H</t>
  </si>
  <si>
    <t>Eom, Jooyoung; Rim, Hyoungrea</t>
  </si>
  <si>
    <t>Recovery of Mass Changes in Antarctic Ice-Sheet based on the Regional Climate Model, RACMO</t>
  </si>
  <si>
    <t>ECONOMIC AND ENVIRONMENTAL GEOLOGY</t>
  </si>
  <si>
    <t>Korean</t>
  </si>
  <si>
    <t>Antarctic ice-sheet; GRACE; SMB; climate change; global warming</t>
  </si>
  <si>
    <t>GRACE DATA; GREENLAND; SURFACE; ACCELERATION; IMPACT</t>
  </si>
  <si>
    <t>Mass change in the Antarctic Ice Sheet(AIS) is the most important indicator of changes in Earth's climate system including global mean sea level rise that are largely affected by ongoing global warming. In this study, AIS mass variations are examined with satellite gravity data and outputs from a regional climate model. The analysis of gravity data shows that along the coastal region the Western AIS has experienced a continuous and significant ice loss while a slight increasing in the Eastern AIS during the study period (2002.08-2016.08). The temporal and spatial variations in ice mass changes are recovered by a regional climate model, but the recovered amplitudes are much smaller than those of observations. This under-estimation is remarkably resolved by modifying a base flow field for the ice discharge. The recovered estimates based on the ice-flow field can explain about 97% of the rate of mass change in observations before 2009. This implies that changes in ice flow dynamics along the coast line plays a pivotal role in regulating long-term budget of ice mass in AIS.</t>
  </si>
  <si>
    <t>[Eom, Jooyoung] Kyungpook Natl Univ, Dept Earth Sci Educ, Daegu 41566, South Korea; [Rim, Hyoungrea] Pusan Natl Univ, Dept Earth Sci Educ, Busan 46241, South Korea</t>
  </si>
  <si>
    <t>Kyungpook National University; Pusan National University</t>
  </si>
  <si>
    <t>Rim, H (corresponding author), Pusan Natl Univ, Dept Earth Sci Educ, Busan 46241, South Korea.</t>
  </si>
  <si>
    <t>brim2017@pusan.ac.kr</t>
  </si>
  <si>
    <t>Kyungpook National University Research Fund</t>
  </si>
  <si>
    <t>This research was supported by Kyungpook National University Research Fund, 2018.</t>
  </si>
  <si>
    <t>KOREA SOC ECONOMIC &amp; ENVIRONMENTAL GEOLOGY</t>
  </si>
  <si>
    <t>YONSEI UNIV, 134 SINCHON-DONG, SEODAEMUN-GU, SEOUL, 120-749, SOUTH KOREA</t>
  </si>
  <si>
    <t>1225-7281</t>
  </si>
  <si>
    <t>2288-7962</t>
  </si>
  <si>
    <t>ECON ENVIRON GEOL</t>
  </si>
  <si>
    <t>Econ. Environ. Geol.</t>
  </si>
  <si>
    <t>10.9719/EEG.2020.53.2.147</t>
  </si>
  <si>
    <t>LN2JP</t>
  </si>
  <si>
    <t>WOS:000532770200003</t>
  </si>
  <si>
    <t>Cosentino, NJ; Gaiero, DM; Torre, G; Pasquini, AI; Coppo, R; Arce, JM; Velez, G</t>
  </si>
  <si>
    <t>Cosentino, Nicolas J.; Gaiero, Diego M.; Torre, Gabriela; Pasquini, Andrea, I; Coppo, Renata; Arce, Juan M.; Velez, Georgina</t>
  </si>
  <si>
    <t>Atmospheric dust dynamics in southern South America: A 14-year modern dust record in the loessic Pampean region</t>
  </si>
  <si>
    <t>HOLOCENE</t>
  </si>
  <si>
    <t>cross-spectral analysis; dust flux; grain size; modern dust; Pampas; South America</t>
  </si>
  <si>
    <t>AEOLIAN DUST; SIZE-DISTRIBUTION; GRAIN-SIZE; ICE-CORE; CLIMATE VARIABILITY; POWER SPECTRA; CENTRAL ANDES; EOLIAN DUST; DEPOSITION; TRANSPORT</t>
  </si>
  <si>
    <t>Mineral aerosols profoundly impact global climate. Modeling of the dust cycle is the main tool used to gauge this effect. However, the scarcity of in situ modern dust flux measurements is the main reason why validation of existing models is hampered. We present the first long-term (14-year) record of dust flux in the Pampas, southern South America, home to the largest loess deposit in the Southern Hemisphere. Measured 14-year mean deposition (40 g m(-2) year(-1)) and horizontal (362 g m(-2) year(-1)) fluxes imply that current models underestimate the power of the central Pampas as a dust sink. Based on cross-spectral analysis, both wet and, to a lesser extent, dry deposition are found to play significant roles in atmospheric dust extraction. Dust is sourced regionally from the South American Arid Diagonal and from the shores of Mar Chiquita lake (~260 km), which we find to be the main contributor of dust particles &gt;30 mu m. Cross-spectral and satellite image analyses show that surface wind speed and precipitation at the Puna-Altiplano Plateau are controlling factors for horizontal dust flux in the Pampas. El Nino Southern Oscillation probably plays a role in controlling interannual horizontal dust flux periodicities. Finally, preliminary comparisons between modern vertical dust fluxes and loess accumulation rates point to the Pampas as a more powerful dust sink during the last deglaciation and Antarctic Cold Reversal (18-12.5 ka).</t>
  </si>
  <si>
    <t>[Cosentino, Nicolas J.; Gaiero, Diego M.; Torre, Gabriela; Pasquini, Andrea, I; Coppo, Renata] Univ Nacl Cordoba, Fac Ciencias Exactas Fis &amp; Nat, Cordoba, Argentina; [Cosentino, Nicolas J.; Gaiero, Diego M.; Torre, Gabriela; Pasquini, Andrea, I; Coppo, Renata] Univ Nacl Cordoba, Consejo Nacl Invest Cient &amp; Tecnol CONICET, Ctr Invest Ciencias Tierra CICTERRA, Ave Velez Sarsfield 1611,Edificio CICTERRA, Cordoba, Argentina; [Arce, Juan M.; Velez, Georgina] INTA, Buenos Aires, DF, Argentina</t>
  </si>
  <si>
    <t>National University of Cordoba; Consejo Nacional de Investigaciones Cientificas y Tecnicas (CONICET); National University of Cordoba; Instituto Nacional de Tecnologia Agropecuaria (INTA)</t>
  </si>
  <si>
    <t>Cosentino, NJ (corresponding author), Univ Nacl Cordoba, Consejo Nacl Invest Cient &amp; Tecnol CONICET, Ctr Invest Ciencias Tierra CICTERRA, Ave Velez Sarsfield 1611,Edificio CICTERRA, Cordoba, Argentina.</t>
  </si>
  <si>
    <t>ncosentino83@gmail.com</t>
  </si>
  <si>
    <t>IPO, PAGES/JXY-7546-2024</t>
  </si>
  <si>
    <t>Cosentino, Nicolas Juan/0000-0001-9023-2726; Torre, Gabriela/0000-0002-1985-1775; Gaiero, Diego Marcelo/0000-0003-1029-2265</t>
  </si>
  <si>
    <t>0959-6836</t>
  </si>
  <si>
    <t>1477-0911</t>
  </si>
  <si>
    <t>Holocene</t>
  </si>
  <si>
    <t>10.1177/0959683619875198</t>
  </si>
  <si>
    <t>LM7GU</t>
  </si>
  <si>
    <t>WOS:000532417500008</t>
  </si>
  <si>
    <t>van Dorst, J; Wilkins, D; King, CK; Spedding, T; Hince, G; Zhang, E; Crane, S; Ferrari, B</t>
  </si>
  <si>
    <t>van Dorst, Josie; Wilkins, Daniel; King, Catherine K.; Spedding, Tim; Hince, Greg; Zhang, Eden; Crane, Sally; Ferrari, Belinda</t>
  </si>
  <si>
    <t>Applying microbial indicators of hydrocarbon toxicity to contaminated sites undergoing bioremediation on subantarctic Macquarie Island</t>
  </si>
  <si>
    <t>Ecotoxicology; Microbial ecology; Polar soil; Hydrocarbons; Bioremediation</t>
  </si>
  <si>
    <t>BACTERIAL COMMUNITIES; SOIL; BIODEGRADATION; SENSITIVITY; DIVERSITY</t>
  </si>
  <si>
    <t>Microorganisms are useful biological indicators of toxicity and play a key role in the functioning of healthy soils. In this study, we investigated the residual toxicity of hydrocarbons in aged contaminated soils and determined the extent of microbial community recovery during in-situ bioremediation at subantarctic Macquarie Island. Previously identified microbial indicators of hydrocarbon toxicity were used to understand interactions between hydrocarbon concentrations, soil physicochemical parameters and the microbial community. Despite the complexity of the field sites, which included active fuel storage areas with high levels of soil heterogeneity, multiple spill events and variable fuel sources, we observed consistent microbial community traits associated with exposure to high concentrations of hydrocarbons. These included; reductions in alpha diversity, inhibition of nitrification potential and a reduction in the ratio of oligotrophic to copiotrophic species. These observed responses and the sensitivity of microbial communities in the field, were comparable to sensitivity estimates obtained in a previous lab-based mesocosm study with hydrocarbon spiked soils. This study provides a valuable and often missing link between the quite disparate conditions of controlled lab-based spiking experiments and the complexity presented by 'real-world' contaminated field sites. Crown Copyright (C) 2019 Published by Elsevier Ltd. All rights reserved.</t>
  </si>
  <si>
    <t>[van Dorst, Josie; Zhang, Eden; Crane, Sally; Ferrari, Belinda] UNSW Sydney, Sch Biotechnol &amp; Biomol Sci, Sydney, NSW, Australia; [Wilkins, Daniel; King, Catherine K.; Spedding, Tim; Hince, Greg] Australian Antarctic Div, Antarctic Conservat &amp; Management, Kingston, Tas, Australia</t>
  </si>
  <si>
    <t>University of New South Wales Sydney; Australian Antarctic Division</t>
  </si>
  <si>
    <t>Ferrari, B (corresponding author), UNSW Sydney, Sch Biotechnol &amp; Biomol Sci, Sydney, NSW, Australia.</t>
  </si>
  <si>
    <t>b.ferrari@unsw.edu.au</t>
  </si>
  <si>
    <t>Ferrari, Belinda/AAI-3022-2020; Wilkins, Daniel/AAF-3959-2020; King, Catherine/G-7059-2017</t>
  </si>
  <si>
    <t>Ferrari, Belinda/0000-0001-5043-3726; King, Catherine/0000-0003-3356-0381; Spedding, Tim/0000-0002-4023-2469; Wilkins, Daniel/0000-0003-2081-483X; van Dorst, Josie/0000-0002-9353-8787</t>
  </si>
  <si>
    <t>Australian Antarctic Science [1163, 4036]</t>
  </si>
  <si>
    <t>Australian Antarctic Science</t>
  </si>
  <si>
    <t>The authors would like to thank all the individuals from the Australian Antarctic Division who were involved in the installation of the remediation infrastructure at Macquarie Island and sample collection over the remediation period. We would also like to thank our funding sources including Australian Antarctic Science grants #1163 and #4036 (Remediation of Petroleum Contaminants in the Antarctic and Subantarctic).</t>
  </si>
  <si>
    <t>10.1016/j.envpol.2019.113780</t>
  </si>
  <si>
    <t>LH1FH</t>
  </si>
  <si>
    <t>WOS:000528534600042</t>
  </si>
  <si>
    <t>Galvao, JCM; Vieira, R; da Rosa, KK; Petsch, C; Ferreira, F; de Oliveira, AS; Simoes, JC</t>
  </si>
  <si>
    <t>Medeiros Galvao, Janayna Cynthia; Vieira, Rosemary; da Rosa, Katia Kellem; Petsch, Carina; Ferreira, Fabricio; de Oliveira, Allan Sandes; Simoes, Jefferson Cardia</t>
  </si>
  <si>
    <t>ANALYSIS OF SHALLOW LAKE SEDIMENTS IN THE FILDES PENINSULA, KING GEORGE ISLAND, MARITIME ANTARCTICA</t>
  </si>
  <si>
    <t>REVISTA BRASILEIRA DE GEOMORFOLOGIA</t>
  </si>
  <si>
    <t>Antarctica; Chemical Weathering; Lakes; Sedimentology</t>
  </si>
  <si>
    <t>SOUTH-SHETLAND-ISLANDS; LIVINGSTON-ISLAND; BYERS PENINSULA; ICE CAP; GEOCHEMISTRY; VARIABILITY; HISTORY; SOILS; PEDOGENESIS; DEPOSITION</t>
  </si>
  <si>
    <t>The work analyzes the deglaciated area of Fildes Peninsula, King George Island, Maritime Antarctica, based upon the interpretation of shallow lacustrine sediment. CAMSIZE analyzer obtained the particle size distribution of sand fractions, and the silt samples were analyzed by the Malvern laser light scattering granulometer. The concentrations of major elements were determined by Energy-dispersive X-ray Spectroscopy, in &lt;0,062 mm particle-size distribution. The mineralogical composition was determined by X-ray diffraction using the Brucker D8 Advance x-ray diffractometer. Chemical Index of Alteration and Plagioclase Index of Alteration were applied. Si was the most abundant chemical element in the samples, followed by Al, Fe, Ca, Mg, Ti and K. Chemical Index of Alteration and Plagioclase Index of Alteration indicated moderates values between 56.0-73.8, and 56.5-68.3, respectively, and increase towards the southern sector of the peninsula, early deglaciated and exposed to the weathering processes. X-ray diffraction reveals the presence of minerals belonging to the volcanic rocks: andesine and olivine. Principal Component Analysis and Cluster Analysis results suggest the sediments are related to the local basaltic rocks. It is also observed the influence of depositional processes on the granulometric and morphoscopic characteristics of the sediments. The climatic and topographic conditions play an important role in the composition and concentration of the elements in the lake sediments since moderate Chemical Index of Alteration and Plagioclase Index of Alteration are indicated.</t>
  </si>
  <si>
    <t>[Medeiros Galvao, Janayna Cynthia; Vieira, Rosemary; Ferreira, Fabricio; de Oliveira, Allan Sandes] Univ Fed Fluminense, Niteroi, RJ, Brazil; [da Rosa, Katia Kellem; Simoes, Jefferson Cardia] Univ Fed Rio Grande do Sul, Porto Alegre, RS, Brazil; [Petsch, Carina] Univ Fed Santa Maria, Santa Maria, RS, Brazil</t>
  </si>
  <si>
    <t>Universidade Federal Fluminense; Universidade Federal do Rio Grande do Sul; Universidade Federal de Santa Maria (UFSM)</t>
  </si>
  <si>
    <t>Galvao, JCM (corresponding author), Univ Fed Fluminense, Niteroi, RJ, Brazil.</t>
  </si>
  <si>
    <t>mega.geociencias@gmail.com; rosemaryvieira@id.uff.br; katia.rosa@ufrgs.br; carinapetsch@gmail.com; ferreiraforams@gmail.com; allansandes@id.uff.br; jefferson.simoes@ufrgs.br</t>
  </si>
  <si>
    <t>Simoes, Jefferson Cardia/D-7232-2013; Ferreira, Fabricio/ABC-3867-2020; da Rosa, Kátia Kellem/AAO-8367-2020</t>
  </si>
  <si>
    <t>Simoes, Jefferson Cardia/0000-0001-5555-3401; Ferreira, Fabricio/0000-0001-9811-4409; da Rosa, Kátia Kellem/0000-0003-0977-9658; Vieira, Rosemary/0000-0003-0312-2890; Petsch, Carina/0000-0002-1079-0080; Medeiros Galvao, Janayna Cynthia/0000-0001-9362-2543</t>
  </si>
  <si>
    <t>Brazilian National Research and Technology Council (CNPq); Brazilian National Institute for Cryospheric Sciences; Chilean staff at the Escudero Station</t>
  </si>
  <si>
    <t>Brazilian National Research and Technology Council (CNPq)(Conselho Nacional de Desenvolvimento Cientifico e Tecnologico (CNPQ)); Brazilian National Institute for Cryospheric Sciences; Chilean staff at the Escudero Station</t>
  </si>
  <si>
    <t>The authors thank the Brazilian National Research and Technology Council (CNPq) and Brazilian National Institute for Cryospheric Sciences for financing this research, and the Brazilian Antarctic Program for the logistics during the expedition. The authors also thank the Chilean staff at the Escudero Station during the summer of 2012/2013 for its support and, particularly, Dr. Ricardo Jana of the Antarctic Chilean Institute.</t>
  </si>
  <si>
    <t>UNIAO GEOMORFOLOGIA BRASILEIRA</t>
  </si>
  <si>
    <t>UBERLANDIA, BRAZIL</t>
  </si>
  <si>
    <t>UNIV FEDERAL UBERLANDIA, AV JOAO NAVES AVILA 2160, UBERLANDIA, BRAZIL, 00000, BRAZIL</t>
  </si>
  <si>
    <t>1519-1540</t>
  </si>
  <si>
    <t>2236-5664</t>
  </si>
  <si>
    <t>REV BRAS GEOMORFOL</t>
  </si>
  <si>
    <t>Rev. Bras. Geomorfol.</t>
  </si>
  <si>
    <t>10.20502/rbg.v21i2.1738</t>
  </si>
  <si>
    <t>LK5KJ</t>
  </si>
  <si>
    <t>WOS:000530904800001</t>
  </si>
  <si>
    <t>Voight, JR; Kurth, JA; Strauss, RE; Strugnell, JM; Allcock, AL</t>
  </si>
  <si>
    <t>Voight, Janet R.; Kurth, Jessica A.; Strauss, Richard E.; Strugnell, Jan M.; Allcock, A. Louise</t>
  </si>
  <si>
    <t>A depth cline in deep-sea octopods (Cephalopoda: Graneledone) in the northeast Pacific Ocean</t>
  </si>
  <si>
    <t>BULLETIN OF MARINE SCIENCE</t>
  </si>
  <si>
    <t>Cephalopod-International-Advisory-Council (CIAC) Conference</t>
  </si>
  <si>
    <t>St Petersburg, FL</t>
  </si>
  <si>
    <t>SPECIMENS; SYSTEMATICS; MORPHOLOGY; MOLLUSCA; EGGS; DIET</t>
  </si>
  <si>
    <t>Bathyal octopods of the genus Graneledone Joubin, 1918 in the northeast Pacific differ dramatically in skin texture. To test the hypothesis that these differences are associated with geography, we quantified the skin warts and tubercles of 50 specimens collected between 36 degrees N and 46 degrees N from 1116 to 2850 m depth. Using Principal Component Analysis (PCA), we analyzed the numbers of mantle and head warts, mantle and web tubercles, arm suckers, and inner and outer gill lamellae, adding head width as a size proxy. We used Canonical Correlation Analysis to explicitly test the relationship of morphology to depth and latitude. Sequences of 12S rRNA, 16S rRNA, and COI genes from 12 individuals quantified genetic divergence. PCA revealed correlated variation in head width, arm suckers, and gill lamella counts opposed by skin texture on PC1; PC2 showed correlated variation in skin texture opposed by gill lamella counts. Both components correlate with depth and latitude but, as most shallow specimens came from southern localities, the correlation with latitude may be artefactual. This relationship is corroborated by the canonical correlations. Octopods from greater depths are smaller than those from shallower depths, have rougher skin texture, and fewer suckers and gill lamellae. Clades of shallow and deep octopods show 0.8% genetic divergence in COI (Kimura two-parameter distance), not inconsistent with intraspecific differentiation. We conclude that the variation is likely clinal with depth. The observed morphological differences may result from differences in food availability and oxygen saturation with depth.</t>
  </si>
  <si>
    <t>[Voight, Janet R.] Field Museum Nat Hist, Integrat Res Ctr, Chicago, IL 60605 USA; [Kurth, Jessica A.] Penn State Univ, Dept Entomol, University Pk, PA 16802 USA; [Strauss, Richard E.] Texas Tech Univ, Dept Biol Sci, Lubbock, TX 79409 USA; [Strugnell, Jan M.] James Cook Univ, Ctr Sustainable Trop Fisheries &amp; Aquaculture, Townsville, Qld 4810, Australia; [Allcock, A. Louise] Natl Univ Ireland Galway, Ryan Inst, Univ Rd, Galway, Ireland</t>
  </si>
  <si>
    <t>Field Museum of Natural History (Chicago); Pennsylvania Commonwealth System of Higher Education (PCSHE); Pennsylvania State University; Pennsylvania State University - University Park; Texas Tech University System; Texas Tech University; James Cook University; Ollscoil na Gaillimhe-University of Galway</t>
  </si>
  <si>
    <t>Voight, JR (corresponding author), Field Museum Nat Hist, Integrat Res Ctr, Chicago, IL 60605 USA.</t>
  </si>
  <si>
    <t>JVoight@fieldmuseum.org</t>
  </si>
  <si>
    <t>Allcock, Louise/A-7359-2012; Strugnell, Jan M/P-9921-2016</t>
  </si>
  <si>
    <t>Allcock, Louise/0000-0002-4806-0040;</t>
  </si>
  <si>
    <t>NSF [OCE93-14632]; Field Museum's Department of Zoology's Marshall Field Fund; National Science Foundation Division of Environmental Biology award [0103690]; Lloyd's Tercentenary Fellowship; Antarctic Science Bursary; West Coast National Undersea Research Program award; Direct For Biological Sciences; Division Of Environmental Biology [0103690] Funding Source: National Science Foundation</t>
  </si>
  <si>
    <t>NSF(National Science Foundation (NSF)); Field Museum's Department of Zoology's Marshall Field Fund; National Science Foundation Division of Environmental Biology award(National Science Foundation (NSF)); Lloyd's Tercentenary Fellowship; Antarctic Science Bursary; West Coast National Undersea Research Program award; Direct For Biological Sciences; Division Of Environmental Biology(National Science Foundation (NSF)NSF - Directorate for Biological Sciences (BIO))</t>
  </si>
  <si>
    <t>Specimens collected by RA Lutz, A Grehan, and M Mottl (NSF grant OCE93-14632), W Wakefield and RA Zierenberg and at sea with the help of J Siebenaller (Louisiana State University), K Becker (University of Miami), J Cowen (University of Hawaii), the captains and crews of the R/V's Wecoma, Western Flyer, and Atlantis and the pilots of the Alvin, Jason and Tiburon form the basis of this study. T Gosliner and N Voss allowed study of specimens in their care which were invaluable. The Field Museum's Department of Zoology's Marshall Field Fund, a West Coast National Undersea Research Program award, and National Science Foundation Division of Environmental Biology award 0103690 to JR Voight funded specimen collection. JM Strugnell was supported by a Lloyd's Tercentenary Fellowship and an Antarctic Science Bursary. JD Maddox and D Reid made helpful comments on the text. Illustrations by L Kanellos and photographs by D Le and J Weinstein enhanced the paper.</t>
  </si>
  <si>
    <t>ROSENSTIEL SCH MAR ATMOS SCI</t>
  </si>
  <si>
    <t>MIAMI</t>
  </si>
  <si>
    <t>4600 RICKENBACKER CAUSEWAY, MIAMI, FL 33149 USA</t>
  </si>
  <si>
    <t>0007-4977</t>
  </si>
  <si>
    <t>1553-6955</t>
  </si>
  <si>
    <t>B MAR SCI</t>
  </si>
  <si>
    <t>Bull. Mar. Sci.</t>
  </si>
  <si>
    <t>10.5343/bms.2019.0039</t>
  </si>
  <si>
    <t>LK0QA</t>
  </si>
  <si>
    <t>WOS:000530563100007</t>
  </si>
  <si>
    <t>Nicolas, M; Martinent, G; Suedfeld, P; Gaudino, M</t>
  </si>
  <si>
    <t>Nicolas, Michel; Martinent, Guillaume; Suedfeld, Peter; Gaudino, Marvin</t>
  </si>
  <si>
    <t>The data on psychological adaptation during polar winter-overs in Sub Antarctic and Antarctic stations</t>
  </si>
  <si>
    <t>Emotional changes; Extreme environment; Isolated and confined environment; Occupational investment; Physical fatigue; Polar stations; Psychological adaptation; Social relationships</t>
  </si>
  <si>
    <t>VERSION</t>
  </si>
  <si>
    <t>The data presented in this article relate to the research article entitled assessing psychological adaptation during polar winterovers: The isolated and confined environments questionnaire (ICE-Q) [1]. These data were acquired in order to develop a standardized instrument e the ICE-Q e designed to assess psychological adaptation within isolated, confined, and extreme environments. A total of 140 winterers from several sub-Antarctic (Amsterdam, Crozet, Kerguelen) and Antarctic (Concordia, Terre Adelie) stations voluntarily participated. Data were collected by multiple self-report questionnaires including a wide variety of well-known and validated questionnaires to record the winterers' responses to polar stations. Data were gathered across two or three winter seasons within each of the 5 polar stations to ensure sufficiently large sample. From four to seven measurement time along a one-year period were proposed to the participants, resulting in 479 momentary assessments. Results of exploratory factor analyses, confirmatory factor analyses, exploratory structural equation modelling, reliability analyses, and test-retest provided strong evidence for the construct validity of the ICE-Q (19eitem 4-factor questionnaire). The four factors were social, emotional, occupational and physical. Future studies would examine the dynamic of psychological adaptation in isolated, confined and/or extreme environments during polar missions. (c) 2020 The Authors. Published by Elsevier Inc. This is an open access article under the CC BY license (http://creativecommons. org/licenses/by/4.0/).</t>
  </si>
  <si>
    <t>[Nicolas, Michel; Gaudino, Marvin] Univ Bourgogne Franche Comte, Lab Psy DREPI EA 7458, Dijon, France; [Martinent, Guillaume] Univ Claude Bernard Lyon 1, Univ Lyon, Lab Vulnerabil &amp; Innovat Sport, Lyon, France; [Suedfeld, Peter] Univ British Columbia, Dept Psychol, Vancouver, BC, Canada</t>
  </si>
  <si>
    <t>Universite de Bourgogne; Universite Claude Bernard Lyon 1; University of British Columbia</t>
  </si>
  <si>
    <t>Nicolas, M (corresponding author), Univ Bourgogne Franche Comte, Lab Psy DREPI EA 7458, Dijon, France.</t>
  </si>
  <si>
    <t>michel.nicolas@u-bourgogne.fr</t>
  </si>
  <si>
    <t>NICOLAS, Michel/AAZ-6390-2021</t>
  </si>
  <si>
    <t>NICOLAS, Michel/0000-0001-7206-671X</t>
  </si>
  <si>
    <t>region of Bourgogne Franche-Comte, France; Centre National d'Etudes Spatiales, France; university of Bourgogne Franche-Comte, France</t>
  </si>
  <si>
    <t>region of Bourgogne Franche-Comte, France; Centre National d'Etudes Spatiales, France(Centre National D'etudes Spatiales); university of Bourgogne Franche-Comte, France</t>
  </si>
  <si>
    <t>We would like to thank the participants who completed, and the physicians who administered this research protocol during several wintering, the French Polar Institute Paul Emile Victor, the European space agency and the Canadian space agency. The work reported in this paper was funded by research grants from the university and the region of Bourgogne Franche-Comte, and the Centre National d'Etudes Spatiales, France.</t>
  </si>
  <si>
    <t>10.1016/j.dib.2020.105324</t>
  </si>
  <si>
    <t>LI3GR</t>
  </si>
  <si>
    <t>WOS:000529373000022</t>
  </si>
  <si>
    <t>Lovecchio, JP; Rohais, S; Joseph, P; Bolatti, ND; Ramos, VA</t>
  </si>
  <si>
    <t>Lovecchio, Juan Pablo; Rohais, Sebastien; Joseph, Philippe; Bolatti, Nestor D.; Ramos, Victor A.</t>
  </si>
  <si>
    <t>Mesozoic rifting evolution of SW Gondwana: A poly-phased, subduction-related, extensional history responsible for basin formation along the Argentinean Atlantic margin</t>
  </si>
  <si>
    <t>Jurassic; Cretaceous; Rifting; Gondwana; South Atlantic; Karoo</t>
  </si>
  <si>
    <t>AFRICAN CONTINENTAL-MARGIN; SOUTHERN SOUTH-AMERICA; NORTH-SCOTIA-RIDGE; BACK-ARC BASIN; BREAK-UP; TECTONIC EVOLUTION; FALKLAND ISLANDS; SOUTHWESTERN GONDWANA; HYDROCARBON EXPLORATION; ANTARCTIC PENINSULA</t>
  </si>
  <si>
    <t>The opening of the South Atlantic in the Early Cretaceous was the final stage of the complex rifting history of SW Gondwana. In this contribution we reassess the chronology of Mesozoic basin formation in southern South America and Africa and integrate it in the long-term breakup history of SW Gondwana. Triassic rifting is characterized by intracontinental rifting in Africa (Karoo I phase), and retro-arc extension on the SW-margin of Gondwana. In the Early Jurassic, the impingement of the Karoo plume triggered rifting in Eastern Africa, producing the Karoo II basins (and the Colorado and Salado basins on the Argentinean shelf). East Africa rifting ultimately lead the breakup of Eastern from Western Gondwana in the Middle Jurassic. In Patagonia, the Austral, Malvinas and other related basins formed in association with the synextensional emplacement of the Chon Aike magmatic province in the Patagonian retro-arc. In the Late Jurassic the Rocas Verdes back-arc basin opened in southern Patagonia, while oblique rifting in the core of the Late Paleozoic Gondwanides orogen produced the Outeniqua and Rawson/Valdes basins. The South Atlantic Rift initiated in the Early Cretaceous associated with present-day E-W extension. Rifting occurred diachronically from south to north, initiating in the previously thinned Rawson/Valdes-Outeniqua segment. A precursor oblique rift system and a larger degree of extension in this segment could explain the lack of Seaward Dipping Reflectors (SDR) south of the Colorado-Cape fracture zones. Rifting and SDR emplacement occurred progressively to the north along different rift segments, producing strongly asymmetric conjugate margins.</t>
  </si>
  <si>
    <t>[Lovecchio, Juan Pablo; Bolatti, Nestor D.] YPF SA Explorat, Macacha Guemes 515, RA-1106 Buenos Aires, DF, Argentina; [Rohais, Sebastien; Joseph, Philippe] IFP Energies Nouvelles, Direct Georessources, 1-4 Ave Bois Preau, F-92852 Rueil Malmaison, France; [Ramos, Victor A.] Consejo Nacl Invest Cient &amp; Tecn, IDEAN, UBA, Intendente Guiraldes 2160, RA-1428 Buenos Aires, DF, Argentina</t>
  </si>
  <si>
    <t>IFP Energies Nouvelles; University of Buenos Aires; Consejo Nacional de Investigaciones Cientificas y Tecnicas (CONICET)</t>
  </si>
  <si>
    <t>Lovecchio, JP (corresponding author), YPF SA Explorat, Macacha Guemes 515, RA-1106 Buenos Aires, DF, Argentina.</t>
  </si>
  <si>
    <t>juan.lovecchio@ypf.com</t>
  </si>
  <si>
    <t>10.1016/j.earscirev.2020.103138</t>
  </si>
  <si>
    <t>LH8UD</t>
  </si>
  <si>
    <t>WOS:000529058200015</t>
  </si>
  <si>
    <t>Palacios, D; Stokes, CR; Phillips, FM; Clague, JJ; Alcalá-Reygosa, J; Andrés, N; Angel, I; Blard, PH; Briner, JP; Hall, BL; Dahms, D; Hein, AS; Jomelli, V; Mark, BG; Martini, MA; Moreno, P; Riedel, J; Sagredo, E; Stansell, ND; Vázquez-Selem, L; Vuille, M; Ward, DJ</t>
  </si>
  <si>
    <t>Palacios, David; Stokes, Chris R.; Phillips, Fred M.; Clague, John J.; Alcala-Reygosa, Jesus; Andres, Nuria; Angel, Isandra; Blard, Pierre-Henri; Briner, Jason P.; Hall, Brenda L.; Dahms, Dennis; Hein, Andrew S.; Jomelli, Vincent; Mark, Bryan G.; Martini, Mateo A.; Moreno, Patricio; Riedel, Jon; Sagredo, Esteban; Stansell, Nathan D.; Vazquez-Selem, Lorenzo; Vuille, Mathias; Ward, Dylan J.</t>
  </si>
  <si>
    <t>The deglaciation of the Americas during the Last Glacial Termination</t>
  </si>
  <si>
    <t>Deglaciation; Termination-I; Americas; Late Pleistocene; Glacial Chronology</t>
  </si>
  <si>
    <t>LAURENTIDE ICE-SHEET; SOUTHERNMOST SOUTH-AMERICA; LATE PLEISTOCENE GLACIATION; ANTARCTIC COLD REVERSAL; YOUNGER-DRYAS-AGE; WIND RIVER RANGE; TIERRA-DEL-FUEGO; SOUTHWESTERN BRITISH-COLUMBIA; LATE QUATERNARY STRATIGRAPHY; EQUILIBRIUM-LINE ALTITUDES</t>
  </si>
  <si>
    <t>This paper reviews current understanding of deglaciation in North, Central and South America from the Last Glacial Maximum to the beginning of the Holocene. Together with paleoclimatic and paleoceanographic data, we compare and contrast the pace of deglaciation and the response of glaciers to major climate events. During the Global Last Glacial Maximum (GLGM, 26.5-19 ka), average temperatures decreased 4 degrees to 8 degrees C in the Americas, but precipitation varied strongly throughout this large region. Many glaciers in North and Central America achieved their maximum extent during the GLGM, whereas others advanced even farther during the subsequent Heinrich Stadial 1 (HS-1). Glaciers in the Andes also expanded during the GLGM, but that advance was not the largest, except on Tierra del Fuego. HS-1 (17.5-14.6 ka) was a time of general glacier thickening and advance throughout most of North and Central America, and in the tropical Andes; however, glaciers in the temperate and subpolar Andes thinned and retreated during this period. During the Bolling-Allerod interstadial (B-A, 14.6-12.9 ka), glaciers retreated throughout North and Central America and, in some cases, completely disappeared. Many glaciers advanced during the Antarctic Cold Reversal (ACR, 14.6-12.9 ka) in the tropical Andes and Patagonia. There were small advances of glaciers in North America, Central America and in northern South America (Venezuela) during the Younger Dryas (12.9-11.7 ka), but glaciers in central and southern South America retreated during this period, except on the Altiplano where advances were driven by an increase in precipitation. Taken together, we suggest that there was a climate compensation effect, or `seesaw', between the hemispheres, which affected not only marine currents and atmospheric circulation, but also the behavior of glaciers. This seesaw is consistent with the opposing behavior of many glaciers in the Northern and Southern Hemispheres.</t>
  </si>
  <si>
    <t>[Palacios, David; Andres, Nuria] Univ Complutense Madrid, Dept Geog, Madrid 28040, Spain; [Stokes, Chris R.] Univ Durham, Dept Geog, Durham DH1 3LE, England; [Phillips, Fred M.] New Mexico Inst Min &amp; Technol, Earth &amp; Environm Sci Dept, 801 Leroy Pl, Socorro, NM 87801 USA; [Clague, John J.] Simon Fraser Univ, Dept Earth Sci, 8888 Univ Dr, Burnaby, BC V5A 1S6, Canada; [Alcala-Reygosa, Jesus] Univ Nacl Autonoma Mexico, Fac Filosofia &amp; Letras, Ciudad Univ, Ciudad De Mexico 04510, Mexico; [Angel, Isandra] Univ Simon Bolivar, Dept Ciencias Tierra, Caracas 1081, Venezuela; [Blard, Pierre-Henri] Univ Lorraine, CRPG, CNRS, UMR 7358, 15 Rue Notre Dame Pauvres, F-54500 Vandoeuvre Les Nancy, France; [Blard, Pierre-Henri] Univ Libre Bruxelles, Lab Glaciol, DGES IGEOS, B-1050 Brussels, Belgium; [Briner, Jason P.] Univ Buffalo, Dept Geol, Buffalo, NY 14260 USA; [Hall, Brenda L.] Univ Maine, Dept Earth Sci, Orono, ME 04469 USA; [Hall, Brenda L.] Univ Maine, Climate Change Inst, Orono, ME 04469 USA; [Dahms, Dennis] Univ Northern Iowa, Dept Geog, Cedar Falls, IA 50614 USA; [Hein, Andrew S.] Univ Edinburgh, Sch GeoSci, Drummond St, Edinburgh EH8 9XP, Midlothian, Scotland; [Jomelli, Vincent] Univ Paris 1 Pantheon Sorbonne, CNRS, Lab Geog Phys, F-92195 Meudon, France; [Mark, Bryan G.] Ohio State Univ, Byrd Polar &amp; Climate Res Ctr, 108 Scott Hall 1090 Carmack Rd, Columbus, OH 43210 USA; [Martini, Mateo A.] Univ Chile, Millennium Nucleus Paleoclimate, Palmeras 3425, Nunoa, Chile; [Martini, Mateo A.] Pontificia Univ Catolica Chile, Inst Geog, Ave Vicuna Mackenna 4860, Macul 7820436, Chile; [Martini, Mateo A.] UNC, Fac Ciencias Exactas Fis &amp; Nat, CONICET, Ctr Invest Ciencias Tierra, Velez Sarsfled 1611,X5016GCA, Cordoba, Argentina; [Moreno, Patricio] Millennium Nucleus Paleoclimate, Inst Ecol &amp; Biodivers, Ctr Climate Res &amp; Resilience, Nunoa, Chile; [Moreno, Patricio] Univ Chile, Dept Ecol Sci, Palmeras 3425, Santiago, Chile; [Riedel, Jon] Natl Pk Serv, North Cascades Natl Pk, Sedrowoolley, WA USA; [Sagredo, Esteban] Pontificia Univ Catolica Chile, Millennium Nucleus Paleoclimate, Santiago, Chile; [Sagredo, Esteban] Pontificia Univ Catolica Chile, Inst Geog, Santiago, Chile; [Stansell, Nathan D.] Northern Illinois Univ, Geol &amp; Environm Geosci, De Kalb, IL 60115 USA; [Vazquez-Selem, Lorenzo] Univ Nacl Autonoma Mexico, Inst Geog, Ciudad De Mexico 04510, Mexico; [Vuille, Mathias] SUNY Albany, Dept Atmospher &amp; Environm Sci, Albany, NY 12222 USA; [Ward, Dylan J.] Univ Cincinnati, Dept Geol, Cincinnati, OH 45224 USA</t>
  </si>
  <si>
    <t>Complutense University of Madrid; Durham University; New Mexico Institute of Mining Technology; Simon Fraser University; Universidad Nacional Autonoma de Mexico; Simon Bolivar University; Centre National de la Recherche Scientifique (CNRS); CNRS - National Institute for Earth Sciences &amp; Astronomy (INSU); Universite de Lorraine; Universite Libre de Bruxelles; State University of New York (SUNY) System; State University of New York (SUNY) Buffalo; University of Maine System; University of Maine Orono; University of Maine System; University of Maine Orono; University of Northern Iowa; University of Edinburgh; Universite Paris-Est-Creteil-Val-de-Marne (UPEC); Centre National de la Recherche Scientifique (CNRS); University System of Ohio; Ohio State University; Universidad de Chile; Pontificia Universidad Catolica de Chile; Consejo Nacional de Investigaciones Cientificas y Tecnicas (CONICET); National University of Cordoba; Universidad de Chile; United States Department of the Interior; Pontificia Universidad Catolica de Chile; Pontificia Universidad Catolica de Chile; Northern Illinois University; Universidad Nacional Autonoma de Mexico; State University of New York (SUNY) System; State University of New York (SUNY) Albany; University System of Ohio; University of Cincinnati</t>
  </si>
  <si>
    <t>Palacios, D (corresponding author), Univ Complutense Madrid, Dept Geog, Madrid 28040, Spain.</t>
  </si>
  <si>
    <t>Martini, Mateo/ABF-3602-2020; jomelli, vincent/AAO-9488-2020; Vazquez-Selem, Lorenzo/F-9329-2019; briner, jason/JDM-4641-2023; Mark, Bryan/AAD-6137-2022; Mark, Bryan G./HMD-9537-2023; Stokes, Chris R/A-1957-2011; Hein, Andrew/JWO-3756-2024; Ward, Dylan/HME-2007-2023; PALACIOS, DAVID/H-3737-2015; BLARD, Pierre-Henri/ABB-9401-2021; Vuille, Mathias/S-3906-2019; Vuille, Mathias/O-8128-2019; SAGREDO, ESTEBAN/B-7280-2016; Moreno, Patricio/D-2317-2012; Andres, Nuria/C-7146-2015</t>
  </si>
  <si>
    <t>Martini, Mateo/0000-0003-1704-9313; jomelli, vincent/0000-0002-4512-5216; Vazquez-Selem, Lorenzo/0000-0001-7798-6187; Mark, Bryan G./0000-0002-4500-7957; Ward, Dylan/0000-0002-5741-7830; Vuille, Mathias/0000-0002-9736-4518; SAGREDO, ESTEBAN/0000-0002-4494-5423; Moreno, Patricio/0000-0002-1333-6238; Andres, Nuria/0000-0002-4362-1195</t>
  </si>
  <si>
    <t>Spanish Ministry of Economy and Competitiveness [CGL2015-65813-R]</t>
  </si>
  <si>
    <t>Spanish Ministry of Economy and Competitiveness(Spanish Government)</t>
  </si>
  <si>
    <t>This paper was supported by Project CGL2015-65813-R (Spanish Ministry of Economy and Competitiveness). David Palacios thanks the Institute of Alpine and Arctic Research, at the University of Colorado, for providing the facilities to coordinate this work during his Fulbright Grant stay there in 2019. We thank Eric Leonard and Joe Licciardi for corrections of some sections of the text, and two anonymous reviewers for their valuable suggestions that have greatly improved the paper.</t>
  </si>
  <si>
    <t>10.1016/j.earscirev.2020.103113</t>
  </si>
  <si>
    <t>WOS:000529058200023</t>
  </si>
  <si>
    <t>Lee, YM; Jin, YK; Shin, SC</t>
  </si>
  <si>
    <t>Lee, Yung Mi; Jin, Young Keun; Shin, Seung Chul</t>
  </si>
  <si>
    <t>Complete genome sequence of Antarcticibacterium flavum JBO1H24T from an Antarctic marine sediment</t>
  </si>
  <si>
    <t>Antarcticibacterium flavum; Genome sequence; Marine sediment; Ross Sea; Antarctica</t>
  </si>
  <si>
    <t>SP-NOV.; FAMILY FLAVOBACTERIACEAE; ANNOTATION; SEA</t>
  </si>
  <si>
    <t>Antarcticibacterium flavum JB01H24(T) was isolated from a marine sediment of the Ross Sea, Antarctica. Whole-genome sequencing of the strain Antarcticibacterium flavum JB01H24(T) was achieved using PacBio RS II platform. The resulting complete genome comprised of one closed, complete chromosome of 4,319,074 base pairs with a 40.87% G + C content, where genomic analyses demonstrated that it is constituted mostly by putative ORFs with unknown functions, representing a novel genetic feature. It is the first complete genome sequence of the Antarcticibacterium strain.</t>
  </si>
  <si>
    <t>[Lee, Yung Mi] Korea Polar Res Inst, Div Polar Life Sci, 26 Songdomirae Ro, Incheon 21990, South Korea; [Jin, Young Keun] Korea Polar Res Inst, Div Polar Earth Syst Sci, 26 Songdomirae Ro, Incheon 21990, South Korea; [Shin, Seung Chul] Korea Polar Res Inst, Unit Polar Genom, 26 Songdomirae Ro, Incheon 21990, South Korea</t>
  </si>
  <si>
    <t>Korea Polar Research Institute (KOPRI); Korea Polar Research Institute (KOPRI); Korea Polar Research Institute (KOPRI)</t>
  </si>
  <si>
    <t>Shin, SC (corresponding author), Korea Polar Res Inst, Unit Polar Genom, 26 Songdomirae Ro, Incheon 21990, South Korea.</t>
  </si>
  <si>
    <t>ssc@kopri.re.kr</t>
  </si>
  <si>
    <t>Korea Polar Research Institute; Korea Institute of Marine Science and Technology Promotion [20160247]</t>
  </si>
  <si>
    <t>Korea Polar Research Institute(Korea Polar Research Institute of Marine Research Placement (KOPRI)); Korea Institute of Marine Science and Technology Promotion</t>
  </si>
  <si>
    <t>This work was supported by the Korea Polar Research Institute (grant no. PM19050) and Korea Institute of Marine Science and Technology Promotion (grant no. 20160247).</t>
  </si>
  <si>
    <t>10.1016/j.margen.2019.100695</t>
  </si>
  <si>
    <t>LI9SU</t>
  </si>
  <si>
    <t>WOS:000529816900004</t>
  </si>
  <si>
    <t>Hahn-Woernle, L; Powell, B; Lundesgaard, O; van Wessem, M</t>
  </si>
  <si>
    <t>Hahn-Woernle, Lisa; Powell, Brian; Lundesgaard, Oyvind; van Wessem, Melchior</t>
  </si>
  <si>
    <t>Sensitivity of the summer upper ocean heat content in a Western Antarctic Peninsula fjord</t>
  </si>
  <si>
    <t>Antarctic fjord; Western Antarctic Peninsula; Modeling; Summer upper ocean heat content; Adjoint sensitivity; Climate sensitivity</t>
  </si>
  <si>
    <t>GENERAL-CIRCULATION MODEL; NORTHERN MARGUERITE BAY; INTERANNUAL VARIABILITY; PHYTOPLANKTON BIOMASS; NUMERICAL-MODEL; CLIMATE-CHANGE; MASS-BALANCE; ADJOINT; SEA; SURFACE</t>
  </si>
  <si>
    <t>On the Western Antarctic Peninsula (WAP), fjords make up most of the interface between the ocean and the cryosphere, and they are hotspots of biological productivity and biodiversity. Changes in the summer upper ocean (50 m) heat content, H, of a fjord could directly affect primary productivity and melting of icebergs and glacial fronts. Using the adjoint of a high-resolution Regional Ocean Model System model, we quantify the key drivers controlling changes in H to understand the summertime characteristics and potential climatic impacts. Results show that the summertime warming is mainly driven by the surface heat flux, and can be enhanced by inward along-fjord winds or northeastward winds along Gerlache strait. Opposite wind perturbations lead to a reduction of H. We learned that the sensitivity to the along-strait winds relates to the exchange of heat between the fjord and the strait, with the strait being a major heat source for the fjord in the unperturbed conditions. The sensitivity analysis of the most influential regional water masses identifies upper ocean waters from the north ( &lt; 200 m) as the dominant driver. We also find that two possible consequences of climate change, warming air temperature and increasing meltwater input could have opposing effects on H. The additional meltwater leads to a cooling of the fjord that is mainly caused by a reduced import of heat from the strait. It follows that future increases of meltwater input (e.g. increased runoff) could play a crucial role for the fjord's upper ocean physics and potentially its ecosystem.</t>
  </si>
  <si>
    <t>[Hahn-Woernle, Lisa; Powell, Brian; Lundesgaard, Oyvind] Univ Hawaii Manoa, Sch Ocean &amp; Earth Sci &amp; Technol, Dept Oceanog, Honolulu, HI 96822 USA; [Lundesgaard, Oyvind] Norwegian Polar Res Inst, Tromso, Norway; [van Wessem, Melchior] Univ Utrecht, Inst Marine &amp; Atmospher Res Utrecht, Utrecht, Netherlands</t>
  </si>
  <si>
    <t>University of Hawaii System; University of Hawaii Manoa; Norwegian Polar Institute; Utrecht University</t>
  </si>
  <si>
    <t>Hahn-Woernle, L (corresponding author), Univ Hawaii Manoa, Sch Ocean &amp; Earth Sci &amp; Technol, Dept Oceanog, Honolulu, HI 96822 USA.</t>
  </si>
  <si>
    <t>l.hahnwoernle@gmail.com</t>
  </si>
  <si>
    <t>Foss, Oyvind/0000-0002-3410-8904; Hahn-Woernle, Lisa/0000-0002-5945-589X</t>
  </si>
  <si>
    <t>National Science Foundation [OPP 1443680]; National Science Foundation</t>
  </si>
  <si>
    <t>National Science Foundation(National Science Foundation (NSF)); National Science Foundation(National Science Foundation (NSF))</t>
  </si>
  <si>
    <t>This research was supported by the National Science Foundation under awards OPP 1443680 to C. Smith, B. Powell and M. Merrifield. We thank USAP personnel, captains, crews, and project scientists on the Gould and Palmer, without whom this research would not have been possible. We thank Katherine (Kate) S. Hedstrom and the ROMS community for their support. We would like to acknowledge high-performance computing support from Cheyenne (doi:10.5065/D6RX99HX) provided by NCAR's Computational and Information Systems Laboratory, sponsored by the National Science Foundation. We would also like to thank Martin Truffer for useful discussions during the work on this manuscript. This paper has highly benefitted from the constructive and insightful comments of two anonymous reviewers, for which we are very thankful. This is SOEST publication number 10908.</t>
  </si>
  <si>
    <t>10.1016/j.pocean.2020.102287</t>
  </si>
  <si>
    <t>LH5DG</t>
  </si>
  <si>
    <t>WOS:000528805100003</t>
  </si>
  <si>
    <t>Monteiro, T; Kerr, R; Orselli, IBM; Lencina-Avila, JM</t>
  </si>
  <si>
    <t>Monteiro, Thiago; Kerr, Rodrigo; Orselli, Iole B. M.; Lencina-Avila, Jannine M.</t>
  </si>
  <si>
    <t>Towards an intensified summer CO2 sink behaviour in the Southern Ocean coastal regions</t>
  </si>
  <si>
    <t>Carbon cycle; Carbonate system; Antarctica; Biogeochemistry; Austral summer</t>
  </si>
  <si>
    <t>NORTHERN ANTARCTIC PENINSULA; CARBONATE SYSTEM PROPERTIES; SEA-ICE; GERLACHE STRAIT; GAS-EXCHANGE; DISSOCIATION-CONSTANTS; BRANSFIELD STRAITS; ANTHROPOGENIC CO2; SURFACE OCEAN; WIND-SPEED</t>
  </si>
  <si>
    <t>The Southern Ocean is a globally important carbon sink region. However, the austral coastal zones are usually not considered in global estimations due to their general undersampling and large regional dynamics. Thus, estimations of carbon uptake in the Southern Ocean may differ considerably from current values, i.e., without accounting for coastal regions. Here, we conducted a case study in the Gerlache Strait, an ecologically important Antarctic coastal zone. We show that the net sea-air CO2 flux (FCO2) in the strait may reach the same or greater magnitudes than those in large open sea regions around Antarctica during summer, despite having a much smaller area. A large mean FCO2 of -31 +/- 19 mmol m(-2) d(-1) was observed in the strong CO2 sink years (i.e., FCO2 &lt; -12 mmol m(-2) d(-1)), in contrast to -1 +/- 7 mmol m(-2) d(-1 )in CO(2 )near-equilibrium conditions (i.e., CO(2 )sea-air difference approximate to 0). This variability is mainly modulated by phytoplankton activity and likely upwelling processes. We also identified two cycles of variability with 2-year and 4-year periodicities from 1999 to 2017. The 2-year periodicity becomes stronger after 2012, intensifying the strong CO2 sink scenario in the Gerlache Strait. Our findings reinforce the importance of polar coastal zones as CO(2 )sinks during the austral summer and the need to broaden our understanding of the role of these regions at other time scales.</t>
  </si>
  <si>
    <t>[Monteiro, Thiago; Kerr, Rodrigo; Orselli, Iole B. M.; Lencina-Avila, Jannine M.] Univ Fed Rio Grande FURG, Inst Oceanog, Lab Estudos Oceanos &amp; Clima, Av Italia Km 8, BR-96203900 Rio Grande, RS, Brazil; [Monteiro, Thiago; Kerr, Rodrigo; Orselli, Iole B. M.] Univ Fed Rio Grande FURG, Inst Oceanog, Programa Posgrad Oceanol, Av Italia Km 8, BR-96203900 Rio Grande, RS, Brazil; [Monteiro, Thiago; Kerr, Rodrigo; Orselli, Iole B. M.; Lencina-Avila, Jannine M.] Brazilian Ocean Acidificat Network BrOA, BR-96203900 Rio Grande, RS, Brazil</t>
  </si>
  <si>
    <t>Universidade Federal do Rio Grande; Universidade Federal do Rio Grande</t>
  </si>
  <si>
    <t>Monteiro, T; Kerr, R (corresponding author), Inst Oceanog FURG, Ctr Estudos Oceanos &amp; Clima CEOCEAN, Ave Italia Km 8 S-N, Rio Grande, RS, Brazil.</t>
  </si>
  <si>
    <t>thiagomonteiro@furg.br; rodrigokerr@furg.br</t>
  </si>
  <si>
    <t>Avila, Jannine M. Lencina/E-3069-2019; Kerr, Rodrigo/I-2494-2012; Orselli, Iole/AAP-1267-2021; Monteiro, Thiago/AAJ-7902-2020</t>
  </si>
  <si>
    <t>Avila, Jannine M. Lencina/0000-0001-5800-2760; Kerr, Rodrigo/0000-0002-2632-3137; Monteiro, Thiago/0000-0001-7643-0646; Orselli, Iole/0000-0003-2991-292X</t>
  </si>
  <si>
    <t>Brazilian Ministry of the Environment (MMA); Brazilian Ministry of Science, Technology, Innovation and Communication (MCTIC); Council for Research and Scientific Development of Brazil (CNPq); National Institute of Science and Tecnology of the Cryosphere (INCT CRIOSFERA; CNPq) [573720/2008-8, 465680/2014-3]; NAUTILUS (CNPq) [405869/2013-4]; INTERBIOTA (CNPq) [407889/2013-2]; PROVOCCAR (CNPq) [442628/2018-8]; ECOPELAGOS (CNPq) [442637/2018-7]; CAPES/CMAR2 (CAPES) [23038.001421/201430]; CAPES [88882.182300/2018-01, 888881.195000/2018-01, 88887.283965/2018-00, 88887.362782/2019-00, 23038.001421/2014-30]; CNPq [302604/2015-4, 304937/2018-5]</t>
  </si>
  <si>
    <t>Brazilian Ministry of the Environment (MMA); Brazilian Ministry of Science, Technology, Innovation and Communication (MCTIC); Council for Research and Scientific Development of Brazil (CNPq)(Conselho Nacional de Desenvolvimento Cientifico e Tecnologico (CNPQ)Fundacao de Apoio a Pesquisa do Distrito Federal (FAPDF)); National Institute of Science and Tecnology of the Cryosphere (INCT CRIOSFERA; CNPq)(Conselho Nacional de Desenvolvimento Cientifico e Tecnologico (CNPQ)); NAUTILUS (CNPq)(Conselho Nacional de Desenvolvimento Cientifico e Tecnologico (CNPQ)); INTERBIOTA (CNPq)(Conselho Nacional de Desenvolvimento Cientifico e Tecnologico (CNPQ)Fundacao de Apoio a Pesquisa do Distrito Federal (FAPDF)); PROVOCCAR (CNPq)(Conselho Nacional de Desenvolvimento Cientifico e Tecnologico (CNPQ)); ECOPELAGOS (CNPq)(Conselho Nacional de Desenvolvimento Cientifico e Tecnologico (CNPQ)); CAPES/CMAR2 (CAPES)(Coordenacao de Aperfeicoamento de Pessoal de Nivel Superior (CAPES)); CAPES(Coordenacao de Aperfeicoamento de Pessoal de Nivel Superior (CAPES)); CNPq(Conselho Nacional de Desenvolvimento Cientifico e Tecnologico (CNPQ))</t>
  </si>
  <si>
    <t>This study provides a contribution to the activities of the Brazilian Ocean Acidification Network (BrOA; www.broa.furg.br) and the Brazilian High Latitude Oceanography Group (GOAL; www.goal.furg.br), which is part of the Brazilian Antarctic Program (PROANTAR). GOAL has been funded by and/or has received logistical support from the Brazilian Ministry of the Environment (MMA), the Brazilian Ministry of Science, Technology, Innovation and Communication (MCTIC), the Council for Research and Scientific Development of Brazil (CNPq), the National Institute of Science and Tecnology of the Cryosphere (INCT CRIOSFERA; CNPq grants No. 573720/2008-8 and 465680/2014-3), NAUTILUS (CNPq grant No. 405869/2013-4), INTERBIOTA (CNPq grant No. 407889/2013-2), PROVOCCAR (CNPq grant No. 442628/2018-8), ECOPELAGOS (CNPq grant No. 442637/2018-7), and CAPES/CMAR2 (CAPES grant No. 23038.001421/201430) projects. Financial support: T.M. (MSc. grant No. 88882.182300/2018-01 from CAPES), R.K. (researcher grants No. 302604/2015-4 and 304937/2018-5 from CNPq, and 888881.195000/2018-01 from CAPES), I.B.M.O. (PhD grant No. 23038.001421/2014-30 from CAPES) and J.M.L.A. (Postdoc grants No. 88887.283965/2018-00 and 88887.362782/2019-00 from CAPES). We thank the resources provided by CAPES to support the Postgraduate Program in Oceanology. We appreciate the availability of high-quality data from the SOCATv6, WOD2013 and Palmer Station datasets. We thank all researchers and students from LEOC/FURG for their contributions to cruise planning and sampling. We also thank the Brazilian Navy, especially the crew onboard the RV Almirante Maximiano, for providing logistical and sampling support during the NAUTILUS cruises. We thank Felippe Galdino for helping obtain the satellite data. We are grateful for the constructive comments provided by Burke Hales, Claire Mahaffey and one anonymous reviewer, who helped improve the manuscript substantially.</t>
  </si>
  <si>
    <t>10.1016/j.pocean.2020.102267</t>
  </si>
  <si>
    <t>WOS:000528805100006</t>
  </si>
  <si>
    <t>Pan, BJ; Vernet, M; Manck, L; Forsch, K; Ekern, L; Mascioni, M; Barbeau, KA; Almandoz, GO; Orona, AJ</t>
  </si>
  <si>
    <t>Pan, B. Jack; Vernet, Maria; Manck, Lauren; Forsch, Kiefer; Ekern, Lindsey; Mascioni, Martina; Barbeau, Katherine A.; Almandoz, Gaston O.; Orona, Alexander J.</t>
  </si>
  <si>
    <t>Environmental drivers of phytoplankton taxonomic composition in an Antarctic fjord</t>
  </si>
  <si>
    <t>Phytoplankton; Marine ecology; Antarctic waters; Ice melting; Nutrients; Western Antarctic Peninsula</t>
  </si>
  <si>
    <t>NORTHERN MARGUERITE BAY; SOUTHERN ANNULAR MODE; ICE-ZONE WEST; SEA-ICE; MARINE-PHYTOPLANKTON; DECADAL VARIABILITY; BRANSFIELD STRAIT; CLASS ABUNDANCES; COASTAL WATERS; SHELF WATERS</t>
  </si>
  <si>
    <t>The impact of ice-ocean interaction on the Southern Ocean is expected to intensify in the future. However, its influence on phytoplankton community composition remains an open question. The Antarctic Peninsula fjords offer an ideal system to understand the effect of ice-ocean forcing on phytoplankton community, providing an extreme in the spatial gradient from the glacio-marine boundary to the Western Antarctic Peninsula (WAP) continental shelf. During two cruises conducted in December 2015 and April 2016 in Andvord Bay, we found that glacial meltwater input altered surface salinity, promoting shallow mixed layers, and enriched surface waters in dissolved iron and nitrate. The three major groups of phytoplankton fueled by glacial input were: cryptophytes, diatoms, and a group of unidentified small flagellates. Prasinophytes and dinoflagellates were also present, in lower concentrations. In December, cryptophytes dominated the phytoplankton community and were correlated with relatively warmer temperatures in the surface layer; in addition, contrary to our hypothesis, no diatom bloom was observed in the fjord in spite of dissolved iron concentration &gt; 1 nM. By April, after the growth season, the overall phytoplankton abundance had decreased by an order of magnitude. Phytoplankton, in particular diatoms, were then limited by daytime length despite abundant macro-nutrient and iron concentrations. Mixed flagellates emerged as the dominant group during April due to the decline of other major taxa. Deep-learning algorithms for predicting the abundance of each major phytoplankton group captured the effects of these environmental factors on the phytoplankton community. Our results show that the fjord has relatively high phytoplankton biomass combined with high macro- and trace nutrient concentrations when compared to the broader WAP region. Based on this study, we confirm that flagellates can be the dominant taxon in Antarctic nearshore waters and we propose that iron concentration alone is insufficient to predict diatom growth. Furthermore, marine terminating glaciers in the WAP can enrich surface waters with nitrate even if the main fjord circulation is not driven by glacier meltwater discharge.</t>
  </si>
  <si>
    <t>[Pan, B. Jack; Vernet, Maria; Ekern, Lindsey] Univ Calif San Diego, Scripps Inst Oceanog, Integrat Oceanog Div, La Jolla, CA 92093 USA; [Manck, Lauren; Forsch, Kiefer; Barbeau, Katherine A.] Univ Calif San Diego, Scripps Inst Oceanog, Geosci Res Div, La Jolla, CA 92093 USA; [Mascioni, Martina; Almandoz, Gaston O.] Univ Nacl La Plata, Div Ficol, Fac Ciencias Nat &amp; Museo, Paseo Bosque S-N,B1900FWA, La Plata, Argentina; [Mascioni, Martina; Almandoz, Gaston O.] Consejo Nacl Invest Cient &amp; Tecn, Godoy Cruz 2290,C1425FQB, RA-2290 Buenos Aires, DF, Argentina; [Orona, Alexander J.] Ocean Mot Technol Inc, San Diego, CA USA</t>
  </si>
  <si>
    <t>University of California System; University of California San Diego; Scripps Institution of Oceanography; University of California System; University of California San Diego; Scripps Institution of Oceanography; National University of La Plata; Museo La Plata; Consejo Nacional de Investigaciones Cientificas y Tecnicas (CONICET)</t>
  </si>
  <si>
    <t>Pan, BJ (corresponding author), Univ Calif San Diego, Scripps Inst Oceanog, Integrat Oceanog Div, La Jolla, CA 92093 USA.</t>
  </si>
  <si>
    <t>b4pan@ucsd.edu</t>
  </si>
  <si>
    <t>Mascioni, Martina/ABE-4177-2020</t>
  </si>
  <si>
    <t>Mascioni, Martina/0000-0002-4994-5289; Almandoz, Gaston O./0000-0001-7931-582X</t>
  </si>
  <si>
    <t>National Science Foundation [PLR -1443705]</t>
  </si>
  <si>
    <t>The authors would like to thank all participating principle investigators and their affiliates during the NSF FjordEco project, Dr. Craig Smith (University of Hawai'i at Manoa), Dr. Mark Merrifield (University of Hawai'i at Manoa), Dr. Brian Powell (University of Hawai'i at Manoa), Dr. Martin Truffer (University of Alaska at Fairbanks), and Dr. Peter Winsor (World Wildlife Fund Arctic). Our sampling efforts also received crucial help from Diana Gutierrez, Angela Klemmedson, and Dr. Lars Thoresen. Invaluable discussions and comments on the manuscript from Dr. Oyvind Lundesgaard (Norwegian Polar Institute), Allison Cusick (Scripps Institution of Oceanography, UCSD), Dr. Rick A. Reynolds (Marine Physical Laboratory, Scripps Institution of Oceanography, UCSD), and anonymous reviewers are acknowledged. The authors would also like to thank the captain and crew of R/V Lawrence M. Gould and RVIB Nathaniel B. Palmer and United States Antarctic Program contractors. This project was supported with funding from the National Science Foundation award PLR -1443705 to Maria Vernet.</t>
  </si>
  <si>
    <t>10.1016/j.pocean.2020.102295</t>
  </si>
  <si>
    <t>WOS:000528805100015</t>
  </si>
  <si>
    <t>Prieto, M; de Pablo, MA; Ramos, M; Jimenez, JJ</t>
  </si>
  <si>
    <t>Prieto, Manuel; de Pablo, Miguel Angel; Ramos, Miguel; Jimenez, Juan Javier</t>
  </si>
  <si>
    <t>Experimental Tests and Performance Evaluation of a VHF Data Transceiver Prototype for Operation in the Antarctic Regions</t>
  </si>
  <si>
    <t>RADIOENGINEERING</t>
  </si>
  <si>
    <t>Data-link; sensor network; APRS; Antarctica; NLOS</t>
  </si>
  <si>
    <t>THAW DEPTH; ISLAND; LAKE</t>
  </si>
  <si>
    <t>This paper presents the study and implementation results of a point to point radio data link carried out by the PERMASNOW project Research Team in the Gabriel de Castilla (GdC) Spanish Antarctic Station (Deception Island, South Shetland archipelago, Antarctica) under challenging Non Line-of Sight (NLOS) conditions. Our final goal is to succeed in the remote data access of the multiple and dispersed measurement stations deployed in the surrounding area of the Antarctic Stations without the use of costly satellite communication systems. For so, a wireless sensor network scheme is proposed in which the key element is the node radio data transceiver characterized in this paper. The main design driver is the harsh Antarctic environmental conditions, which leads to a low power and rugged wireless solution. This study confirms the usefulness of the amateur-radio bands and equipment, which mainly give versatility in frequencies, modulations and power configurations. The terrain topography shows to be the key factor in the short-range segment, notably affecting the propagation conditions. For the long-range segment, the best solution still shows to be a satellite link but promising ionospheric data link has been successfully tested.</t>
  </si>
  <si>
    <t>[Prieto, Manuel] Univ Alcala, Dept Automat, Alcala De Henares, Spain; [de Pablo, Miguel Angel] Univ Alcala, Dept Geol Geog &amp; Medio Ambiente, Alcala De Henares, Spain; [Ramos, Miguel; Jimenez, Juan Javier] Univ Alcala, Dept Fis &amp; Matemat, Alcala De Henares, Spain</t>
  </si>
  <si>
    <t>Universidad de Alcala; Universidad de Alcala; Universidad de Alcala</t>
  </si>
  <si>
    <t>Prieto, M (corresponding author), Univ Alcala, Dept Automat, Alcala De Henares, Spain.</t>
  </si>
  <si>
    <t>manuel.prieto@uah.es; miguelangel.depablo@uah.es</t>
  </si>
  <si>
    <t>Prieto, Manuel/K-8822-2014; De Pablo, Miguel Ángel/J-6442-2014</t>
  </si>
  <si>
    <t>Prieto, Manuel/0000-0003-3050-3445; De Pablo, Miguel Ángel/0000-0002-4496-2741</t>
  </si>
  <si>
    <t>Observatorio de Rayos Cosmicos Antartico project [CTM2016-77325-c2-1-P]; Ministerio de Economia y Competitividad (Spain) [CTM2014-52021-R]</t>
  </si>
  <si>
    <t>Observatorio de Rayos Cosmicos Antartico project; Ministerio de Economia y Competitividad (Spain)(Spanish Government)</t>
  </si>
  <si>
    <t>The authors want to thank the entire army crews of the Gabriel de Castilla Spanish Antarctic Station for their help and support. Our special thanks to the Spanish Polar Program, the Unit of Marine Technology from the Spanish National Research Council, as well as to the Hesperides Research Vessel crews (from Spanish navy) involved on Antarctic Campaigns for making this work possible. Thanks for the interest of Observatorio de Rayos Cosmicos Antartico project (reference CTM2016-77325-c2-1-P). Finally, our gratitude to Mr. Roger Coude VE2DBE for helping us to export the high resolution DEM of Deception Island to the Radio Mobile tool 73!. This research was funded by Ministerio de Economia y Competitividad (Spain), grant number CTM2014-52021-R.</t>
  </si>
  <si>
    <t>SPOLECNOST PRO RADIOELEKTRONICKE INZENYRSTVI</t>
  </si>
  <si>
    <t>PRAHA</t>
  </si>
  <si>
    <t>CZECH TECHNICAL UNIVERSITY, DEPT OF ELECTROMAGNETIC FIELD, TECHNICKA 2, PRAHA, CZ-16627, CZECH REPUBLIC</t>
  </si>
  <si>
    <t>1210-2512</t>
  </si>
  <si>
    <t>Radioengineering</t>
  </si>
  <si>
    <t>10.13164/re.2020.0132</t>
  </si>
  <si>
    <t>Engineering, Electrical &amp; Electronic</t>
  </si>
  <si>
    <t>LJ2ZU</t>
  </si>
  <si>
    <t>WOS:000530038600016</t>
  </si>
  <si>
    <t>Vignon, É; Picard, G; Durán-Alarcón, C; Alexander, SP; Gallée, H; Berne, A</t>
  </si>
  <si>
    <t>Vignon, Etienne; Picard, Ghislain; Duran-Alarcon, Claudio; Alexander, Simon P.; Gallee, Hubert; Berne, Alexis</t>
  </si>
  <si>
    <t>Gravity Wave Excitation during the Coastal Transition of an Extreme Katabatic Flow in Antarctica</t>
  </si>
  <si>
    <t>JOURNAL OF THE ATMOSPHERIC SCIENCES</t>
  </si>
  <si>
    <t>Antarctica; Gravity waves; Katabatic winds</t>
  </si>
  <si>
    <t>ADELIE-LAND; EAST ANTARCTICA; DUMONT DURVILLE; BOUNDARY-LAYER; MOMENTUM FLUX; COATS LAND; PART II; WIND; SURFACE; LEE</t>
  </si>
  <si>
    <t>The offshore extent of Antarctic katabatic winds exerts a strong control on the production of sea ice and the formation of polynyas. In this study, we make use of a combination of ground-based remotely sensed and meteorological measurements at Dumont d'Urville (DDU) station, satellite images, and simulations with the Weather Research and Forecasting Model to analyze a major katabatic wind event in Adelie Land. Once well developed over the slope of the ice sheet, the katabatic flow experiences an abrupt transition near the coastal edge consisting of a sharp increase in the boundary layer depth, a sudden decrease in wind speed, and a decrease in Froude number from 3.5 to 0.3. This so-called katabatic jump manifests as a turbulent wall of blowing snow in which updrafts exceed 5 m s(-1). The wall reaches heights of 1000 m and its horizontal extent along the coast is more than 400 km. By destabilizing the boundary layer downstream, the jump favors the trapping of a gravity wave train-with a horizontal wavelength of 10.5 km-that develops in a few hours. The trapped gravity waves exert a drag that considerably slows down the low-level outflow. Moreover, atmospheric rotors form below the first wave crests. The wind speed record measured at DDU in 2017 (58.5 m s(-1)) is due to the vertical advection of momentum by a rotor. A statistical analysis of observations at DDU reveals that katabatic jumps and low-level trapped gravity waves occur frequently over coastal Adelie Land. It emphasizes the important role of such phenomena in the coastal Antarctic dynamics.</t>
  </si>
  <si>
    <t>[Vignon, Etienne; Berne, Alexis] Ecole Polytech Fed Lausanne, Environm Remote Sensing Lab LTE, Lausanne, Switzerland; [Picard, Ghislain; Duran-Alarcon, Claudio; Gallee, Hubert] CNRS, Inst Geosci Environm, UGA, UMR 5001, Grenoble, France; [Alexander, Simon P.] Australian Antarctic Div, Hobart, Tas, Australia</t>
  </si>
  <si>
    <t>Swiss Federal Institutes of Technology Domain; Ecole Polytechnique Federale de Lausanne; Centre National de la Recherche Scientifique (CNRS); CNRS - National Institute for Earth Sciences &amp; Astronomy (INSU); Communaute Universite Grenoble Alpes; Universite Grenoble Alpes (UGA); Australian Antarctic Division</t>
  </si>
  <si>
    <t>Vignon, É (corresponding author), Ecole Polytech Fed Lausanne, Environm Remote Sensing Lab LTE, Lausanne, Switzerland.</t>
  </si>
  <si>
    <t>etienne.vignon@epfl.ch</t>
  </si>
  <si>
    <t>Durán-Alarcón, Claudio/AAU-3888-2020; Picard, Ghislain/D-4246-2013</t>
  </si>
  <si>
    <t>Picard, Ghislain/0000-0003-1475-5853; Duran-Alarcon, Claudio/0000-0001-9559-8161; Berne, Alexis/0000-0003-4977-1204; VIGNON, Etienne/0000-0003-3801-9367; Alexander, Simon/0000-0001-6823-8857</t>
  </si>
  <si>
    <t>Australian Antarctic program [4292, 4387]; French National Research Agency (ANR) [ANR-15-CE01-0003]; EPFLLOSUMEA project; NSF [ANT-1543305]; Agence Nationale de la Recherche (ANR) [ANR-15-CE01-0003] Funding Source: Agence Nationale de la Recherche (ANR)</t>
  </si>
  <si>
    <t>Australian Antarctic program; French National Research Agency (ANR)(Agence Nationale de la Recherche (ANR)Norwegian Agency for Development Cooperation - NORAD); EPFLLOSUMEA project; NSF(National Science Foundation (NSF)); Agence Nationale de la Recherche (ANR)(Agence Nationale de la Recherche (ANR))</t>
  </si>
  <si>
    <t>This work was funded by the EPFLLOSUMEA project. The contribution of S.A. was supported by Projects 4292 and 4387 of the Australian Antarctic program. The contribution of C.D. was supported by the French National Research Agency (ANR; Grant ANR-15-CE01-0003) through the APRES3 project. J. C. King, C. Genthon, O. Traulle, M. Lehning, V. Sharma, F. Gerber, and R. Plougonven are acknowledged for fruitful discussions as well as F. Mariotti for providing the photograph of the snow wall. The authors gratefully thank the University of Wisconsin-Madison Automatic Weather Station Program for operating and maintaining the D85 and D47 stations in collaboration with France and for freely distributing the datasets (NSF Grant ANT-1543305). The authors also thank Meteo France and Pascal Herrera for the acquisition and distribution of meteorological observations and radiosonde data as well as APRES3 program and the French Polar Institute (IPEV) for the deployment and maintenance of the lidar and radars. D17 data are acquired in the framework of the CALVA program (http://www.lmd.jussieu.fr/; cgenthon/SiteCALVA/). We acknowledge The Comprehensive Large Array-data Stewardship System (CLASS) from the National Oceanic and Atmosphere Administration (NOAA) for distributing VIIRS data. We also thank three anonymous referees for their careful evaluation of the manuscript and thoughtful comments.</t>
  </si>
  <si>
    <t>0022-4928</t>
  </si>
  <si>
    <t>1520-0469</t>
  </si>
  <si>
    <t>J ATMOS SCI</t>
  </si>
  <si>
    <t>J. Atmos. Sci.</t>
  </si>
  <si>
    <t>10.1175/JAS-D-19-0264.1</t>
  </si>
  <si>
    <t>LH4KS</t>
  </si>
  <si>
    <t>WOS:000528754800004</t>
  </si>
  <si>
    <t>van den Hoff, J</t>
  </si>
  <si>
    <t>van den Hoff, John</t>
  </si>
  <si>
    <t>ENVIRONMENTAL CONSTRAINTS ON THE BREEDING PHENOLOGY OF GIANT PETRELS MACRONECTES SPP., WITH EMPHASIS ON SOUTHERN GIANT PETRELS M. GIGANTEUS</t>
  </si>
  <si>
    <t>MARINE ORNITHOLOGY</t>
  </si>
  <si>
    <t>temperature; day length; environmental gradients; latitude; phenotype; selection</t>
  </si>
  <si>
    <t>LIFE-HISTORY; ANNUAL CYCLE; EGG TEMPERATURE; HALLI; SEGREGATION; HABITAT; REPRODUCTION; POPULATIONS; METABOLISM; FISHERIES</t>
  </si>
  <si>
    <t>An organism's reproductive phenology is closely connected with environmental variables and resource availability, and an earlier reproduction is generally predicted as temperatures warm. Sibling giant petrels Macronectes spp. have a circumpolar Southern Hemisphere breeding distribution, which provides an opportunity to test predictions of phenological change in breeding stages over large environmental gradients. Mean comparisons confirmed a similar to 50 day separation in egg-laying phenologies for the two species, and linear regression showed that variation in phenology was not linked to latitude when the data were separated by species. There was a significant predictive interaction model for temperature and day length at onset of copulation in Southern Giant Petrels M. giganteus, but plots of the raw data suggested that temperature has little, if any, effect on gonad maturation. While day length was the most important factor related to onset of copulation. temperatures at hatching likely constrained the overall phenology of breeding, especially for populations reproducing at extreme high latitudes.</t>
  </si>
  <si>
    <t>[van den Hoff, John] Australian Antarctic Div, 203 Channel Highway, Kingston, Tas 7050, Australia</t>
  </si>
  <si>
    <t>van den Hoff, J (corresponding author), Australian Antarctic Div, 203 Channel Highway, Kingston, Tas 7050, Australia.</t>
  </si>
  <si>
    <t>john_van@aad.gov.au</t>
  </si>
  <si>
    <t>AFRICAN SEABIRD GROUP</t>
  </si>
  <si>
    <t>RHODES GIFT</t>
  </si>
  <si>
    <t>P. O. BOX 34113, RHODES GIFT, SOUTH AFRICA</t>
  </si>
  <si>
    <t>1018-3337</t>
  </si>
  <si>
    <t>2074-1235</t>
  </si>
  <si>
    <t>MAR ORNITHOL</t>
  </si>
  <si>
    <t>Mar. Ornithol.</t>
  </si>
  <si>
    <t>Marine &amp; Freshwater Biology; Ornithology</t>
  </si>
  <si>
    <t>LG7ZN</t>
  </si>
  <si>
    <t>WOS:000528314200006</t>
  </si>
  <si>
    <t>Hartmann, R; Ebbing, J; Conrad, CP</t>
  </si>
  <si>
    <t>Hartmann, R.; Ebbing, J.; Conrad, C. P.</t>
  </si>
  <si>
    <t>A Multiple 1D Earth Approach (M1DEA) to account for lateral viscosity variations in solutions of the sea level equation: An application for glacial isostatic adjustment by Antarctic deglaciation</t>
  </si>
  <si>
    <t>Sea level change; Uplift rates; GIA modeling; 3D Earth rheology; Antarctic ice loss; Elastic lithosphere; Upper mantle viscosities; Rotational feedback; SELEN</t>
  </si>
  <si>
    <t>RAPID BEDROCK UPLIFT; MODEL; PENINSULA; GPS</t>
  </si>
  <si>
    <t>The pseudo-spectral form of the sea level equation (SLE) requires the approximation of a radially-symmetric visco-elastic Earth. Thus, the resulting predictions of sea level change (SLC) and glacial isostatic adjustment (GIA) often ignore lateral variations in the Earth structure. Here, we assess the capabilities of a Multiple 1D Earth Approach (M1DEA) applied to large-scale ice load components with different Earth structures to account for these variations. In this approach the total SLC and GIA responses result from the superposition of individual responses from each load component, each computed globally assuming locally-appropriate 1D Earth structures. We apply the M1DEA to three separate regions (East Antarctica, West Antarctica, and outside Antarctica) to analyze uplift rates for a range of Earth structures and different ice loads at various distances. We find that the uplift response is mostly sensitive to the local Earth structure, which supports the usefulness of the M1DEA. However, stresses transmitted across rheological boundaries (e.g., producing peripheral bulges) present challenges for the M1DEA, but can be minimized under two conditions: (1) If the considered time period of ice loading for each component is consistent with the relaxation time of the local Earth structure. (2) If the load components can be subdivided according to the scale of the lateral variations in Earth structure. Overall, our results indicate that M1DEA could be a computationally much cheaper alternative to 3D finite element models, but further work is needed to quantify the relative accuracy of both methods for different resolutions, loads, and Earth structure variations.</t>
  </si>
  <si>
    <t>[Hartmann, R.; Ebbing, J.] Univ Kiel, Inst Geosci, Kiel, Germany; [Conrad, C. P.] Univ Oslo, CEED, Oslo, Norway</t>
  </si>
  <si>
    <t>University of Kiel; University of Oslo</t>
  </si>
  <si>
    <t>Hartmann, R (corresponding author), Univ Twente, Phys Fluids Grp, Enschede, Netherlands.</t>
  </si>
  <si>
    <t>r.hartmann@utwente.nl</t>
  </si>
  <si>
    <t>Conrad, Clinton/ABG-4901-2020; Ebbing, Joerg/B-8796-2013; Hartmann, Robert/GPF-7895-2022</t>
  </si>
  <si>
    <t>Ebbing, Joerg/0000-0001-7492-5338; Hartmann, Robert/0000-0002-4860-0449</t>
  </si>
  <si>
    <t>Research Council of Norway's projects [223272, 288449]</t>
  </si>
  <si>
    <t>Research Council of Norway's projects(Research Council of Norway)</t>
  </si>
  <si>
    <t>We thank the editor, Irina Artemieva, and two anonymous reviewers for their critical feedback, which helped to improve the manuscript. Furthermore, we thank Pippa Whitehouse for her kind cooperation in providing her ice model and the following discussion, which clarified issues related to ESL and the important difference between total and effective ice thickness. This work was supported partly by the Research Council of Norway's projects 223272 (Centre of Excellence) and 288449 (CPC).</t>
  </si>
  <si>
    <t>10.1016/j.jog.2020.101695</t>
  </si>
  <si>
    <t>LG3NR</t>
  </si>
  <si>
    <t>WOS:000528012200002</t>
  </si>
  <si>
    <t>Hospitaleche, CA; Reguero, M</t>
  </si>
  <si>
    <t>Acosta Hospitaleche, Carolina; Reguero, Marcelo</t>
  </si>
  <si>
    <t>Additional Pelagornithidae remains from Seymour Island, Antarctica</t>
  </si>
  <si>
    <t>Ypresian; Bartonian; Paleogene; Eocene; Marambio; Odontopterigyformes; Dentary</t>
  </si>
  <si>
    <t>BONY-TOOTHED BIRD; PENINSULA; EOCENE</t>
  </si>
  <si>
    <t>Two incomplete mandibles are assigned to Pelagornithidae given the presence of a well marked neurovascular furrow and the unique bony projections, or pseudo-teeth, along the crista tomialis. Specimens IAA-Pv 175 from Ypresian levels of La Meseta Alloformation (Cucullaea I Allomember), and IAA-Pv 823 from Bartonian beds of the Submeseta Alloformation, in Seymour Island (Antarctic Peninsula, West Antarctica) corresponds to the morpho-type 1, previously proposed for Antarctic pseudo-tooth birds. The intermediate condition of the pseudo-teeth of these specimens reinforces the idea that diet changed from piscivory to molluscivory along the evolutive history of the group.</t>
  </si>
  <si>
    <t>[Acosta Hospitaleche, Carolina; Reguero, Marcelo] Univ Nacl La Plata, CONICET, Fac Ciencias Nat &amp; Museo, Div Paleontol Vertebrados,Museo La Plata, Paseo Bosque S-N,B1900FWA, La Plata, Argentina; [Reguero, Marcelo] Inst Antartico Argentino, 25 MAYO 1143, San Martin, Argentina</t>
  </si>
  <si>
    <t>Consejo Nacional de Investigaciones Cientificas y Tecnicas (CONICET); National University of La Plata; Museo La Plata; Instituto Antartico Argentino</t>
  </si>
  <si>
    <t>Hospitaleche, CA (corresponding author), Univ Nacl La Plata, CONICET, Fac Ciencias Nat &amp; Museo, Div Paleontol Vertebrados,Museo La Plata, Paseo Bosque S-N,B1900FWA, La Plata, Argentina.</t>
  </si>
  <si>
    <t>acostacaro@fcnym.unlp.edu.ar; regui@fcnym.unlp.edu.ar</t>
  </si>
  <si>
    <t>Reguero, Marcelo A./JHS-4893-2023; Acosta Hospitaleche, Carolina/E-5740-2017</t>
  </si>
  <si>
    <t>Acosta Hospitaleche, Carolina/0000-0002-2614-1448</t>
  </si>
  <si>
    <t>Universidad Nacional de La Plata [N838, N812]; Agencia Nacional de Promocion Cientifica y Tecnologica [PICT 2017-0607]; Oceanwide Expeditions, Vlissingen (NL)</t>
  </si>
  <si>
    <t>Universidad Nacional de La Plata(National University of La Plata); Agencia Nacional de Promocion Cientifica y Tecnologica(ANPCyTSpanish Government); Oceanwide Expeditions, Vlissingen (NL)</t>
  </si>
  <si>
    <t>We thank the Instituto Antartico Argentino-Direccion Nacional del Antartico (IAA-DNA) for inviting us to the field trip, and Fuerza Aerea Argentina for the logistic support. We also thank Cecilia Amenabar for access to material. To Universidad Nacional de La Plata (N838 and N812), Consejo Nacional de Investigaciones Cientificas y Tecnologicas, and Agencia Nacional de Promocion Cientifica y Tecnologica (PICT 2017-0607). CAH is particularly grateful to Oceanwide Expeditions, Vlissingen (NL) for financial support. Two anonymous reviewers improved our manuscript.</t>
  </si>
  <si>
    <t>10.1016/j.jsames.2020.102504</t>
  </si>
  <si>
    <t>LG6BC</t>
  </si>
  <si>
    <t>WOS:000528182600002</t>
  </si>
  <si>
    <t>Deelaman, W; Pongpiachan, S; Tipmanee, D; Choochuay, C; Iadtem, N; Suttinun, O; Wang, QY; Xing, L; Li, GH; Han, YM; Hashmi, MZ; Cao, JJ</t>
  </si>
  <si>
    <t>Deelaman, Woranuch; Pongpiachan, Siwatt; Tipmanee, Danai; Choochuay, Chomsri; Iadtem, Natthapong; Suttinun, Oramas; Wang, Qiyuan; Xing, Li; Li, Guohui; Han, Yongming; Hashmi, Muhammad Zaffar; Cao, Junji</t>
  </si>
  <si>
    <t>Source identification of polycyclic aromatic hydrocarbons in terrestrial soils in Chile</t>
  </si>
  <si>
    <t>Polycyclic aromatic hydrocarbons (PAHs); Terrestrial soils; Chile; Diagnostic binary ratio; Hierarchical cluster analysis (HCA); Principal component analysis (PCA)</t>
  </si>
  <si>
    <t>POSITIVE MATRIX FACTORIZATION; SOURCE APPORTIONMENT; RISK-ASSESSMENT; SPATIAL-DISTRIBUTION; DIAGNOSTIC RATIOS; HUMAN EXPOSURE; AIR-POLLUTION; COASTAL AREAS; PAH LEVELS; SEDIMENTS</t>
  </si>
  <si>
    <t>In this study, a combination of the diagnostic binary ratios of PAHs and multivariate descriptive statistics was applied to identify the sources of PAHs in Chilean terrestrial soils. A total of 15 PAHs from the terrestrial soil of 28 locations in three cities of Chile were chemically characterized using gas chromatography mass spectrometry (GC-MS). The total concentrations of twelve likely carcinogenic PAHs were defined as the sum of Phe, An, Fluo, Pyr, B[a]A, Chry, B[b]F, B[k]F, B[a]P, Ind, D [a, h]A and B[g, h, i]P and ranged from 0.0215 to 4.37 mu g with an arithmetic mean of 0.618 +/- 0.911 mu g g(-1). The levels of these PAHs were classified as moderate to high compared to World Soils (WS). All sampling stations were dominated by high molecular weight PAHs, four-ring (39.1%) and five-ring (29.6%) PAHs were the most abundant groups in the terrestrial soils of Chile. The PAH diagnostic ratios suggested that PAHs are primarily of pyrogenic origin. Further multivariate descriptive statistics (i.e., hierarchical cluster analysis (HCA) and principal components analysis (PCA)) identified pyrogenic combustion as the main emission source of PAH contamination in Chilean terrestrial soils.</t>
  </si>
  <si>
    <t>[Deelaman, Woranuch; Choochuay, Chomsri; Iadtem, Natthapong; Suttinun, Oramas] Prince Songkla Univ, Fac Environm Management, Hat Yai Campus, Hat Yai 90112, Thailand; [Pongpiachan, Siwatt] NIDA, NIDA Ctr Res &amp; Dev Disaster Prevent &amp; Management, Sch Social &amp; Environm Dev, 118 Moo 3,Sereethai Rd, Bangkok 10240, Thailand; [Tipmanee, Danai] Prince Songkla Univ, Fac Technol &amp; Environm, Phuket Campus 80 M1 Kathu, Phuket 83120, Thailand; [Wang, Qiyuan; Xing, Li; Li, Guohui; Han, Yongming; Cao, Junji] Chinese Acad Sci IEECAS, Inst Earth Environm, SKLLQG, Xian 710061, Peoples R China; [Wang, Qiyuan; Xing, Li; Li, Guohui; Han, Yongming; Cao, Junji] Chinese Acad Sci IEECAS, Inst Earth Environm, Key Lab Aerosol Chem &amp; Phys, Xian 710061, Peoples R China; [Hashmi, Muhammad Zaffar] COMSATS Univ, Dept Meteorol, Islamabad, Pakistan</t>
  </si>
  <si>
    <t>Prince of Songkla University; National Institute of Development Administration - Thailand; National Institutes of Health (NIH) - USA; NIH National Institute on Drug Abuse (NIDA); Prince of Songkla University; Chinese Academy of Sciences; Institute of Earth Environment, CAS; Chinese Academy of Sciences; Institute of Earth Environment, CAS; COMSATS University Islamabad (CUI)</t>
  </si>
  <si>
    <t>Pongpiachan, S (corresponding author), NIDA, NIDA Ctr Res &amp; Dev Disaster Prevent &amp; Management, Sch Social &amp; Environm Dev, 118 Moo 3,Sereethai Rd, Bangkok 10240, Thailand.</t>
  </si>
  <si>
    <t>pongpiajun@gmail.com</t>
  </si>
  <si>
    <t>Hashmi, Muhammad Zaffar/F-3427-2015; Junji, Cao/D-3259-2014; Wang, Qiyuan/P-8867-2014; Choochuay, Chomsri/AAY-9628-2021</t>
  </si>
  <si>
    <t>Junji, Cao/0000-0003-1000-7241; Choochuay, Chomsri/0000-0002-6321-1951; Pongpiachan, Siwatt/0000-0003-1062-7627</t>
  </si>
  <si>
    <t>Information Technology Foundation under the Initiative of Her Royal Highness Princess Maha Chakri Sirindhorn; Polar Research Project under the Initiatives of Her Royal Highness Princess Maha Chakri Sirindhorn; National Science and Technology Development Agency (NSTDA), Chinese Arctic and Antarctic Administration; T. C. Pharmaceutical Industries Co., Ltd.</t>
  </si>
  <si>
    <t>The authors acknowledge the Information Technology Foundation under the Initiative of Her Royal Highness Princess Maha Chakri Sirindhorn, Polar Research Project under the Initiatives of Her Royal Highness Princess Maha Chakri Sirindhorn, National Science and Technology Development Agency (NSTDA), Chinese Arctic and Antarctic Administration and T. C. Pharmaceutical Industries Co., Ltd. for supporting this study. The authors would like to thank the Faculty of Environmental Management, Prince of Songkla University and the Division of Environmental Science and Technology, Faculty of Science and Technology, Rajamangala University of Technology Phra Nakhon for providing the facility to conduct this study.</t>
  </si>
  <si>
    <t>10.1016/j.jsames.2020.102514</t>
  </si>
  <si>
    <t>WOS:000528182600031</t>
  </si>
  <si>
    <t>Setoyama, E; Kanungo, S</t>
  </si>
  <si>
    <t>Setoyama, Eiichi; Kanungo, Sudeep</t>
  </si>
  <si>
    <t>Mesozoic biochronostratigraphy and paleoenvironment of the South Atlantic: A revised framework based on 20 DSDP and ODP deep-water sites</t>
  </si>
  <si>
    <t>Chronostratigraphy; Deep Sea Drilling Project (DSDP); Ocean Drilling Program (ODP); Paleoenvironment; South Atlantic; Southern Ocean</t>
  </si>
  <si>
    <t>SEA-DRILLING-PROJECT; RIO-GRANDE RISE; CRETACEOUS BLACK SHALES; PLANKTONIC FORAMINIFERAL BIOSTRATIGRAPHY; CENOZOIC CALCAREOUS NANNOFOSSILS; SUB-ANTARCTIC SEDIMENTS; OCEANIC ANOXIC EVENT; FALKLAND PLATEAU; BENTHIC FORAMINIFERS; WALVIS-RIDGE</t>
  </si>
  <si>
    <t>The South American and West African margins of the South Atlantic and the Southern Ocean are characterized by Mesozoic black shales that serve as source rocks of known and unknown petroleum systems. The knowledge of regional chronostratigraphy and paleoenvironment enables the prediction of the stratigraphic and geographic distribution of black shales with precision, as well as the understanding of local heterogeneity in regional- or global-scale oceanographic changes, such as oceanic anoxic events. Through sample re-analyses, this study provides a high-resolution Mesozoic chronostratigraphic and paleoenvironmental framework with the help of new micropaleontological data generated from 17 DSDP and ODP sites (out of 20 study sites), ranging from the Equatorial South Atlantic to the Southern South Atlantic. A series of eight regional Mesozoic unconformities are proposed and correlated to previously known unconformities or seismic reflectors. The regional paleoenvironmental interpretation, which utilizes the standardized chronostratigraphic framework, is herein accomplished for four time-horizons, namely, Middle Jurassic-Valanginian, Hauterivian-Albian, Cenomanian-Turonian, and Coniacian-Maastrichtian. Chronostratigraphic cross-sections and reconstruction maps for the time-horizons show that significant changes in paleoenvironmental parameters, such as bottom-water oxygenation and allochthonous sedimentation, were governed by the tectonic evolution of the South Atlantic margins.</t>
  </si>
  <si>
    <t>[Setoyama, Eiichi; Kanungo, Sudeep] Univ Utah, EGI, 423 Wakara Way,Suite 300, Salt Lake City, UT 84108 USA; [Kanungo, Sudeep] Univ Utah, Dept Geol &amp; Geophys, Salt Lake City, UT 84112 USA</t>
  </si>
  <si>
    <t>Utah System of Higher Education; University of Utah; Utah System of Higher Education; University of Utah</t>
  </si>
  <si>
    <t>Setoyama, E (corresponding author), Univ Utah, EGI, 423 Wakara Way,Suite 300, Salt Lake City, UT 84108 USA.</t>
  </si>
  <si>
    <t>esetoyama@egi.utah.edu; skanungo@egi.utah.edu</t>
  </si>
  <si>
    <t>Setoyama, Eiichi/0000-0001-9972-7055</t>
  </si>
  <si>
    <t>Anadarko Petroleum; BG Group; BHP; CASA Exploration; Chevron; Cobalt; ConocoPhillips; Eni; Equinor; ExxonMobil; Hess; Maersk; Murphy Oil; Nexen; Noble Energy; Repsol; Shell; TOTAL; Tullow Oil; Woodside</t>
  </si>
  <si>
    <t>Anadarko Petroleum; BG Group(Royal Dutch Shell); BHP; CASA Exploration; Chevron; Cobalt; ConocoPhillips; Eni; Equinor; ExxonMobil(Exxon Mobil Corporation); Hess; Maersk; Murphy Oil; Nexen; Noble Energy; Repsol(Spanish Government); Shell(Royal Dutch Shell); TOTAL(Total SA); Tullow Oil; Woodside</t>
  </si>
  <si>
    <t>This research used samples and data provided by the IODP (International Ocean Discovery Program), including the Gulf Coast Repository (USA), Bremen Core Repository (Germany) and Kochi Core Center (Japan). The authors express gratitude to IODP and all their partners for facilitating the research. Funding for this research was provided originally by a consortium of twenty global E&amp;P companies, Anadarko Petroleum, BG Group, BHP, CASA Exploration, Chevron, Cobalt, ConocoPhillips, Eni, Equinor, ExxonMobil, Hess, Maersk, Murphy Oil, Nexen, Noble Energy, Repsol, Shell, TOTAL, Tullow Oil, and Woodside) through the EGI Oceans program. We acknowledge the support of our EGI colleagues (Anne Barrow, Siddharth Gupta, Christopher Kesler, Elinda McKenna, Kyle Mika, Sabita Silwal, and Gosia Skowron) and director, Ray Levey, for helping us with various components of this interdisciplinary project. This manuscript was greatly improved with the helpful comments of two anonymous reviewers.</t>
  </si>
  <si>
    <t>10.1016/j.jsames.2020.102511</t>
  </si>
  <si>
    <t>WOS:000528182600022</t>
  </si>
  <si>
    <t>Bonnet-Lebrun, AS; Manica, A; Rodrigues, ASL</t>
  </si>
  <si>
    <t>Bonnet-Lebrun, Anne-Sophie; Manica, Andrea; Rodrigues, Ana S. L.</t>
  </si>
  <si>
    <t>Effects of urbanization on bird migration</t>
  </si>
  <si>
    <t>Anthropogenic effects; Human population; Partial migration; North American passerines; Residency</t>
  </si>
  <si>
    <t>SPECIES RICHNESS; CLIMATE-CHANGE; PRIMARY PRODUCTIVITY; EVOLUTION; PATTERNS; IMPACT; SEASONALITY; BEHAVIOR; MIGRANT; DRIVER</t>
  </si>
  <si>
    <t>Nearly one in five bird species is migratory, but not all individuals within a migratory species necessarily migrate: in partially migratory species, some do and some do not. Such within-species variability provides a natural experiment for investigating the mechanisms driving bird migration. Previous studies at the species level suggest that migrating provides a way to escape harsh winters, and to secure an increased access to resources, particularly important during the breeding season. Urbanization, by altering local temperatures Cheat island' effect) and resource availability (e.g. through garbage or garden feeders) can buffer the effects of winter harshness and modify breeding-season resource availability, potentially affecting individual migratory strategies. Here, we use ringing data from twelve North American partially migratory bird species to investigate the effects of natural environmental conditions (winter temperature, breeding season resource surplus) and urbanization on the propensity of individuals to migrate. We find strong support for the hypothesis that individuals migrate to avoid harsh winters, with, for eleven species, significantly higher probabilities of residency in areas with milder winters. We also found (significant for five species) that resource surplus in the breeding season reduces the propensity to migrate. Finally, urbanization increased the likelihood that individuals remain year-round in their ranges, avoiding to migrate away from their breeding range (four species) or their wintering areas (eight species), after controlling for climate and resources. Our results thus indicate that bird migratory strategies will respond to global change - in climate and land use - and indeed are already doing so.</t>
  </si>
  <si>
    <t>[Bonnet-Lebrun, Anne-Sophie; Manica, Andrea] Univ Cambridge, Dept Zool, Downing St, Cambridge CB2 3EJ, England; [Bonnet-Lebrun, Anne-Sophie; Rodrigues, Ana S. L.] Univ Paul Valery Montpellier, Univ Montpellier, EPHE, CEFE,UMR 5175,CNRS, F-34293 Montpellier, France</t>
  </si>
  <si>
    <t>University of Cambridge;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t>
  </si>
  <si>
    <t>Bonnet-Lebrun, AS (corresponding author), British Antarctic Survey, Madingley Rd, Cambridge CB3 0ET, England.</t>
  </si>
  <si>
    <t>anne-sophie.bonnet-lebrun@normale.fr</t>
  </si>
  <si>
    <t>Rodrigues, Ana S.L./A-5914-2009; Rodrigues, Ana/GYQ-6273-2022; Bonnet-Lebrun, Anne-Sophie/GYU-2977-2022; Manica, Andrea/N-9013-2019</t>
  </si>
  <si>
    <t>Rodrigues, Ana S.L./0000-0003-4775-0127; Bonnet-Lebrun, Anne-Sophie/0000-0002-7587-615X; Manica, Andrea/0000-0003-1895-450X</t>
  </si>
  <si>
    <t>Saint John's College Benefactors' Scholarship</t>
  </si>
  <si>
    <t>We are grateful to all the volunteers who collected the banding data and to the many employees of the Bird Banding Lab who worked to curate the data. We are grateful to Marius Somveille for insightful discussions on the project, and to Remi Patin for useful comments on early versions of this manuscript. We also thank Will Cresswell and two additional anonymous referees for their help in improving this manuscript. This project was part of A-S Bonnet-Lebrun's PhD at the University of Cambridge, funded by a Saint John's College Benefactors' Scholarship.</t>
  </si>
  <si>
    <t>10.1016/j.biocon.2020.108423</t>
  </si>
  <si>
    <t>LE5VA</t>
  </si>
  <si>
    <t>WOS:000526787400010</t>
  </si>
  <si>
    <t>Correia, T; Regato, M; Almeida, A; Santos, T; Amaral, L; Carvalho, F</t>
  </si>
  <si>
    <t>Correia, Tania; Regato, Mariana; Almeida, Adelaide; Santos, Teresa; Amaral, Leonor; Carvalho, Fatima</t>
  </si>
  <si>
    <t>Manual Treatment of Urban Wastewater by Chemical Precipitation for Production of Hydroponic Nutrient Solutions</t>
  </si>
  <si>
    <t>JOURNAL OF ECOLOGICAL ENGINEERING</t>
  </si>
  <si>
    <t>urban wastewater; antarctica; chemical precipitation; CO2 capture; hydroponics</t>
  </si>
  <si>
    <t>DAVIS STATION; ANTARCTICA; CO2</t>
  </si>
  <si>
    <t>An urban wastewater treatment system was developed in Portugal for posterior in situ feasibility testing at the Bulgarian Antarctic Base, using its domestic wastewater. The aim of this system was to develop a low cost, integrated approach for wastewater treatment and production of nutrient solutions (NS) for hydroponic cultivation of lettuce (Lactuca sativa var. crispa) in Antarctic stations, or any other place where the lack of resources and logistical hardships make the wastewater treatment and reuse impractical. The wastewater treatment system consisted in manual agitation lime chemical precipitation (LCPm) and effluent natural neutralization (NN) by atmospheric CO2 carbonation reactions (with and without air injection). The resulting effluent/NS had macronutrient values (nitrogen and phosphorous) for the hydroponic cultivation of lettuce below the values of commercial NS and a high pH (pH approximate to 8). The treatment achieved a total coliform removal rate of 100%. Before the LCPm treatment system development, several lime-based reagents were tested under different reaction pH and using mechanical agitation, to access their organic matter removal efficiency, as chemical oxygen demand (COD). The best COD removal results obtained were: commercial Ca(OH)(2) (pH 11.5 - 89%), reagent grade Ca(OH)(2) (pH 11.5 - 79%) and CaO (pH 12.0 - 64%).</t>
  </si>
  <si>
    <t>[Correia, Tania; Regato, Mariana; Almeida, Adelaide; Santos, Teresa; Carvalho, Fatima] Polytech Inst Beja, St Pedro Soares IPB Campus, P-7800295 Beja, Portugal; [Almeida, Adelaide; Carvalho, Fatima] FibEnTech Fiber Mat &amp; Environm Technol, St Marques de Avila e Bolama, P-6201001 Covilha, Portugal; [Amaral, Leonor] NOVA Univ Lisbon, NOVA Sch Sci &amp; Technol, CENSE Ctr Environm &amp; Sustainabil Res, Caparica, Portugal</t>
  </si>
  <si>
    <t>Universidade Nova de Lisboa</t>
  </si>
  <si>
    <t>Correia, T (corresponding author), Polytech Inst Beja, St Pedro Soares IPB Campus, P-7800295 Beja, Portugal.</t>
  </si>
  <si>
    <t>tania.correia@ipbeja.com</t>
  </si>
  <si>
    <t>Correia, Tânia/AAW-7446-2020; Carvalho, Maria Nunes/C-1514-2017</t>
  </si>
  <si>
    <t>Correia, Tânia/0000-0003-1508-1002; Santos, Maria Teresa/0000-0001-7948-7357; Amaral, Leonor Miranda Monteiro/0000-0003-1125-1764; Almeida, Adelaide/0000-0001-6612-9411; Nunes de Carvalho, Maria de Fatima/0000-0002-2897-1859</t>
  </si>
  <si>
    <t>Polish National Agency for Academic Exchange; FCT, I.P./MCTES through national funds (PIDDAC); Portuguese Polar Program (PROPOLAR)</t>
  </si>
  <si>
    <t>Polish National Agency for Academic Exchange(Polish National Agency for Academic Exchange (NAWA)); FCT, I.P./MCTES through national funds (PIDDAC); Portuguese Polar Program (PROPOLAR)</t>
  </si>
  <si>
    <t>Publication is funded by the Polish National Agency for Academic Exchange under the International Academic Partnerships Programme from the project Organization of the 9th International Scientific and Technical Conference entitled Environmental Engineering, Photogrammetry, Geoinformatics - Modern Technologies and Development Perspectives.; Project with financial support of FCT, I.P./MCTES through national funds (PIDDAC) and the Portuguese Polar Program (PROPOLAR).</t>
  </si>
  <si>
    <t>POLISH SOC ECOLOGICAL ENGINEERING</t>
  </si>
  <si>
    <t>LUBLIN</t>
  </si>
  <si>
    <t>LUBLIN UNIV TECHNOLOGY, ENVIRONMENTAL ENGINEERING FAC, LUBLIN, 20618, POLAND</t>
  </si>
  <si>
    <t>2299-8993</t>
  </si>
  <si>
    <t>J ECOL ENG</t>
  </si>
  <si>
    <t>J. Ecol. Eng.</t>
  </si>
  <si>
    <t>10.12911/22998993/118286</t>
  </si>
  <si>
    <t>Engineering, Environmental</t>
  </si>
  <si>
    <t>LE6VW</t>
  </si>
  <si>
    <t>WOS:000526862500018</t>
  </si>
  <si>
    <t>Sun, ST; Eisenman, I; Zanna, L; Stewart, AL</t>
  </si>
  <si>
    <t>Sun, Shantong; Eisenman, Ian; Zanna, Laure; Stewart, Andrew L.</t>
  </si>
  <si>
    <t>Surface Constraints on the Depth of the Atlantic Meridional Overturning Circulation: Southern Ocean versus North Atlantic</t>
  </si>
  <si>
    <t>Abyssal circulation; Thermohaline circulation; General circulation models</t>
  </si>
  <si>
    <t>ANTARCTIC CIRCUMPOLAR CURRENT; RESIDUAL CIRCULATION; HEMISPHERE WINDS; HEAT UPTAKE; SEA-ICE; MODEL; SENSITIVITY; WATER; EQUILIBRIUM; STATES</t>
  </si>
  <si>
    <t>Paleoclimate proxy evidence suggests that the Atlantic meridional overturning circulation (AMOC) was about 1000 m shallower at the Last Glacial Maximum (LGM) compared to the present. Yet it remains unresolved what caused this glacial shoaling of the AMOC, and many climate models instead simulate a deeper AMOC under LGM forcing. While some studies suggest that Southern Ocean surface buoyancy forcing controls the AMOC depth, others have suggested alternatively that North Atlantic surface forcing or interior diabatic mixing plays the dominant role. To investigate the key processes that set the AMOC depth, here we carry out a number of MITgcm ocean-only simulations with surface forcing fields specified from the simulation results of three coupled climate models that span much of the range of glacial AMOC depth changes in phase 3 of the Paleoclimate Model Intercomparison Project (PMIP3). We find that the MITgcm simulations successfully reproduce the changes in AMOC depth between glacial and modern conditions simulated in these three PMIP3 models. By varying the restoring time scale in the surface forcing, we show that the AMOC depth is more strongly constrained by the surface density field than the surface buoyancy flux field. Based on these results, we propose a mechanism by which the surface density fields in the high latitudes of both hemispheres are connected to the AMOC depth. We illustrate the mechanism using MITgcm simulations with idealized surface forcing perturbations as well as an idealized conceptual geometric model. These results suggest that the AMOC depth is largely determined by the surface density fields in both the North Atlantic and the Southern Ocean.</t>
  </si>
  <si>
    <t>[Sun, Shantong; Eisenman, Ian] Univ Calif San Diego, Scripps Inst Oceanog, La Jolla, CA 92093 USA; [Zanna, Laure] Univ Oxford, Dept Phys, Oxford, England; [Zanna, Laure] NYU, Courant Inst Math Sci, New York, NY USA; [Stewart, Andrew L.] Univ Calif Los Angeles, Dept Atmospher &amp; Ocean Sci, Los Angeles, CA USA</t>
  </si>
  <si>
    <t>University of California System; University of California San Diego; Scripps Institution of Oceanography; University of Oxford; New York University; University of California System; University of California Los Angeles</t>
  </si>
  <si>
    <t>Sun, ST (corresponding author), Univ Calif San Diego, Scripps Inst Oceanog, La Jolla, CA 92093 USA.</t>
  </si>
  <si>
    <t>shantong@ucsd.edu</t>
  </si>
  <si>
    <t>Sun, Shantong/AAY-2000-2020; Eisenman, Ian/B-9329-2009; Zanna, Laure/L-3169-2019; Sun, Shantong/AAL-8285-2021; Zanna, Laure/HPG-1772-2023</t>
  </si>
  <si>
    <t>Sun, Shantong/0000-0002-6932-5589; Zanna, Laure/0000-0002-8472-4828; Zanna, Laure/0000-0002-8472-4828; Stewart, Andrew/0000-0001-5861-4070</t>
  </si>
  <si>
    <t>National Science Foundation [ANT-1543388, OCE-1751386]</t>
  </si>
  <si>
    <t>Without implying their endorsement, we thank Paola Cessi, Lynne Talley, Shang-Ping Xie, and Andrew Thompson for helpful discussions. S.S. and I.E. are supported by National Science Foundation Grant OPP-1643445. A.L.S. is supported by the National Science Foundation under Grants ANT-1543388 and OCE-1751386.</t>
  </si>
  <si>
    <t>10.1175/JCLI-D-19-0546.1</t>
  </si>
  <si>
    <t>LE2TZ</t>
  </si>
  <si>
    <t>WOS:000526576700001</t>
  </si>
  <si>
    <t>Quagraine, KA; Hewitson, B; Jack, C; Wolski, P; Pinto, I; Lennard, C</t>
  </si>
  <si>
    <t>Quagraine, Kwesi A.; Hewitson, Bruce; Jack, Christopher; Wolski, Piotr; Pinto, Izidine; Lennard, Christopher</t>
  </si>
  <si>
    <t>Using Co-Behavior Analysis to Interrogate the Performance of CMIP5 GCMs over Southern Africa</t>
  </si>
  <si>
    <t>Teleconnections; ENSO; Neural networks; Climate models; Model evaluation; performance</t>
  </si>
  <si>
    <t>SELF-ORGANIZING MAPS; CLIMATE MODEL; PART I; RAINFALL; CIRCULATION; TELECONNECTIONS; PRECIPITATION; VARIABILITY; SIMULATION; ENSEMBLE</t>
  </si>
  <si>
    <t>As established in earlier research, analysis of the combined roles (co-behavior) of multiple climate processes provides useful insights into the drivers of regional climate variability, especially for regions with no singular large-scale circulation control. Here, we extend the previous study in order to examine the performance of eight models from phase 5 of the Coupled Model Intercomparison Project (CMIP5) in representing co-behavior influence on surface expressions over southern Africa. We find that although models broadly simulate observed precipitation responses over southern Africa, they fail to produce statistically strong response signals for an important drought pattern (El Nino co-behaving with positive Antarctic Oscillation during summer) for the region. We also demonstrate that the models show statistically strong temperature response signals to co-behavior that agree well with observed responses over the region. The multimodel ensemble mean although consistent with observations shows a larger spread. By elucidating the performance of models in representing observed co-behavior of climate processes, we are able to evaluate models while establishing important information for understanding of climate variability.</t>
  </si>
  <si>
    <t>[Quagraine, Kwesi A.; Hewitson, Bruce; Jack, Christopher; Wolski, Piotr; Pinto, Izidine; Lennard, Christopher] Univ Cape Town, Dept Environm &amp; Geog Sci, Climate Syst Anal Grp, Cape Town, South Africa</t>
  </si>
  <si>
    <t>Quagraine, KA (corresponding author), Univ Cape Town, Dept Environm &amp; Geog Sci, Climate Syst Anal Grp, Cape Town, South Africa.</t>
  </si>
  <si>
    <t>kwesi@csag.uct.ac.za</t>
  </si>
  <si>
    <t>Pinto, Izidine/AAF-5999-2020; Wolski, Piotr/J-9133-2014; Lennard, Chris/C-2120-2014; Quagraine, Kwesi A/GWZ-2782-2022; Hewitson, Bruce/B-3295-2014</t>
  </si>
  <si>
    <t>Pinto, Izidine/0000-0002-9919-4559; Wolski, Piotr/0000-0002-6120-6593; Lennard, Chris/0000-0001-6085-0320; Quagraine, Kwesi A/0000-0002-7887-6040; Hewitson, Bruce/0000-0001-7546-4430</t>
  </si>
  <si>
    <t>Future Resilience for African CiTies and Lands (FRACTAL) project part of Future Climate for Africa (FCFA) Consortium - U.K. Department for International Development (DFID) [NE/M020347/1]; NaturalEnvironment Research Council (NERC); University of Cape Town; Research CouncilsU.K. (RCUK); National Research Foundation (NRF) of South Africa; NERC [NE/M020347/1] Funding Source: UKRI</t>
  </si>
  <si>
    <t>Future Resilience for African CiTies and Lands (FRACTAL) project part of Future Climate for Africa (FCFA) Consortium - U.K. Department for International Development (DFID); NaturalEnvironment Research Council (NERC)(UK Research &amp; Innovation (UKRI)Natural Environment Research Council (NERC)); University of Cape Town; Research CouncilsU.K. (RCUK)(UK Research &amp; Innovation (UKRI)); National Research Foundation (NRF) of South Africa(National Research Foundation - South Africa); NERC(UK Research &amp; Innovation (UKRI)Natural Environment Research Council (NERC))</t>
  </si>
  <si>
    <t>This work was conducted under the Future Resilience for African CiTies and Lands (FRACTAL) project (Grant NE/M020347/1), which is part of Future Climate for Africa (FCFA) Consortium funded by the U.K. Department for International Development (DFID) and NaturalEnvironment Research Council (NERC). The authors are grateful to Grigory Nikulin at Rossby Centre, Swedish Meteorological and Hydrological Institute, Sweden, for the provision and use of the Tropical Rain Belt index. The first author is grateful to the University of Cape Town for funding assistance. Additionally, the first author is thankful to AfricanClimate andDevelopment Initiative (ACDI) of University of Cape Town, Tyndall Centre for Climate Change and Climatic Research Unit (CRU) under the Newton PhD Partnering Scheme funded by Research CouncilsU.K. (RCUK) and the National Research Foundation (NRF) of South Africa. We acknowledge the World Climate Research Programme's Working Group on Coupled Modeling, which is responsible for Coupled Model Intercomparison Project (CMIP), and we thank the climate modeling groups (listed in Table 1 of this paper) for producing and making available their model output. We are grateful for helpful comments and suggestions by the anonymous reviewers toward improving the manuscript.</t>
  </si>
  <si>
    <t>10.1175/JCLI-D-19-0472.1</t>
  </si>
  <si>
    <t>LE4VY</t>
  </si>
  <si>
    <t>WOS:000526718900002</t>
  </si>
  <si>
    <t>Jin, WT; Li, F; Yan, JG; Andert, TP; Ye, M; Yang, X; Hao, WF; Barriot, JP</t>
  </si>
  <si>
    <t>Jin, W. T.; Li, F.; Yan, J. G.; Andert, T. P.; Ye, M.; Yang, X.; Hao, W. F.; Barriot, J. P.</t>
  </si>
  <si>
    <t>A simulated global GM estimate of the asteroid 469219 Kamo'oalewa for China's future asteroid mission</t>
  </si>
  <si>
    <t>gravitation; methods: numerical; celestial mechanics; ephemerides; planets and satellites: fundamental parameters</t>
  </si>
  <si>
    <t>GRAVITY-FIELD; MASS; FLYBY</t>
  </si>
  <si>
    <t>Chinawill launch in the forthcoming years a sample return mission called ZhengHe, to asteroid 469219 Kamo'oalewa (provisional designation 2016HO3) and comet 133P/Elst-Pizarro. The mission will consist of an orbiter and a nano-lander. One of ZhengHe's investigations is the radio science experiment, whose main objective is the asteroid GM estimate. In this paper, we conduct full numerical simulations of the radio science experiment using the wudogs software package, developed by Wuhan University. In addition to two-way Doppler measurements, we also include one-way on-board distance measurements. A list of parameters including the spacecraft initial conditions and the global asteroid GM are solved using a weighted least-squares fit. The simulation results indicate that the GM solution is very sensitive to the ephemeris error. We need an accuracy within 2 km on the ephemeris of the asteroid to achieve a reliable estimate of GM.</t>
  </si>
  <si>
    <t>[Jin, W. T.; Li, F.; Yan, J. G.; Ye, M.; Yang, X.; Barriot, J. P.] Wuhan Univ, State Key Lab Informat Engn Surveying Mapping &amp; R, 129 Luoyu Rd, Wuhan 430070, Peoples R China; [Jin, W. T.; Andert, T. P.] Univ Bundeswehr Munchen, Inst Space Technol &amp; Space Applicat, D-85579 Neubiberg, Germany; [Li, F.; Hao, W. F.] Wuhan Univ, Chinese Antarctic Ctr Surveying &amp; Mapping, 129 Luoyu Rd, Wuhan 430079, Peoples R China; [Ye, M.; Barriot, J. P.] Univ French Polynesia, Observ Geodes Tahiti, BP 6570, F-98702 Tahiti, French Polynesi, France</t>
  </si>
  <si>
    <t>Wuhan University; Bundeswehr University Munich; Wuhan University</t>
  </si>
  <si>
    <t>Li, F; Yan, JG (corresponding author), Wuhan Univ, State Key Lab Informat Engn Surveying Mapping &amp; R, 129 Luoyu Rd, Wuhan 430070, Peoples R China.;Li, F (corresponding author), Wuhan Univ, Chinese Antarctic Ctr Surveying &amp; Mapping, 129 Luoyu Rd, Wuhan 430079, Peoples R China.</t>
  </si>
  <si>
    <t>fli@whu.edu.cn; jgyan@whu.edu.cn</t>
  </si>
  <si>
    <t>Barriot, Jean-Pierre/AAD-6709-2021</t>
  </si>
  <si>
    <t>Barriot, Jean-Pierre/0000-0002-2112-9685</t>
  </si>
  <si>
    <t>National Natural Science Foundation of China [41864001, U1831132]; Open Funding of Macau University of Science and Technology [FDCT 119/2017/A3]; Innovation Group of Natural Fund of Hubei Province [2018CFA087]; China Scholarship Council (CSC); Deutsches Zentrum fur Luft-und Raumfahrt (DLR), Bonn-Oberkassel [50QM1704, 50QM1901]; DAR grant in planetology from the French Space Agency (CNES)</t>
  </si>
  <si>
    <t>National Natural Science Foundation of China(National Natural Science Foundation of China (NSFC)); Open Funding of Macau University of Science and Technology; Innovation Group of Natural Fund of Hubei Province; China Scholarship Council (CSC)(China Scholarship Council); Deutsches Zentrum fur Luft-und Raumfahrt (DLR), Bonn-Oberkassel(Helmholtz AssociationGerman Aerospace Centre (DLR)); DAR grant in planetology from the French Space Agency (CNES)</t>
  </si>
  <si>
    <t>The authors are particularly thankful to the Rosetta radio science team for providing Lutetia fly-by data. This research is supported by grant of the National Natural Science Foundation of China (41864001, U1831132), the Open Funding of Macau University of Science and Technology (FDCT 119/2017/A3), Innovation Group of Natural Fund of Hubei Province (2018CFA087), and State Scholarship Fund from China Scholarship Council (CSC). TA is funded by Deutsches Zentrum fur Luft-und Raumfahrt (DLR), Bonn-Oberkassel, under the grant 50QM1704 and 50QM1901. JPB was funded by a DAR grant in planetology from the French Space Agency (CNES).</t>
  </si>
  <si>
    <t>10.1093/mnras/staa384</t>
  </si>
  <si>
    <t>LD4YF</t>
  </si>
  <si>
    <t>WOS:000526035600068</t>
  </si>
  <si>
    <t>Delord, K; Kato, A; Tarroux, A; Orgeret, F; Cotté, C; Ropert-Coudert, Y; Cherel, Y; Descamps, S</t>
  </si>
  <si>
    <t>Delord, K.; Kato, A.; Tarroux, A.; Orgeret, F.; Cotte, C.; Ropert-Coudert, Y.; Cherel, Y.; Descamps, S.</t>
  </si>
  <si>
    <t>Antarctic petrels 'on the ice rocks': wintering strategy of an Antarctic seabird</t>
  </si>
  <si>
    <t>geolocation; austral winter distribution; sea-ice concentration; iceberg; activity pattern; lunar cycle</t>
  </si>
  <si>
    <t>SEA-ICE; STABLE-ISOTOPES; SOUTHERN-OCEAN; CLIMATE-CHANGE; POPULATION-DYNAMICS; ICEBERGS; VARIABILITY; IMPACT; TURNOVER; BEHAVIOR</t>
  </si>
  <si>
    <t>There is a paucity of information on the foraging ecology, especially individual use of sea-ice features and icebergs, over the non-breeding season in many seabird species. Using geolocators and stable isotopes, we defined the movements, distribution and diet of adult Antarctic petrels Thalassoica antarctica from the largest known breeding colony, the inland Svarthamaren, Antarctica. More specifically, we examined how sea-ice concentration and free-drifting icebergs affect the distribution of Antarctic petrels. After breeding, birds moved north to the marginal ice zone (MIZ) in the Weddell sector of the Southern Ocean, following its northward extension during freeze-up in April, and they wintered there in April-August. There, the birds stayed predominantly out of the water (60-80% of the time) suggesting they use icebergs as platforms to stand on and/or to rest. Feather delta N-15 values encompassed one full trophic level, indicating that birds fed on various proportions of crustaceans and fish/squid, most likely Antarctic krill Euphausia superba and the myctophid fish Electrona antarctica and/or the squid Psychroteuthis glacialis. Birds showed strong affinity for the open waters of the northern boundary of the MIZ, an important iceberg transit area, which offers roosting opportunities and rich prey fields. The strong association of Antarctic petrels with sea-ice cycle and icebergs suggests the species can serve, year-round, as a sentinel of environmental changes for this remote region.</t>
  </si>
  <si>
    <t>[Delord, K.; Kato, A.; Orgeret, F.; Ropert-Coudert, Y.; Cherel, Y.] La Rochelle Univ, CNRS, UMR 7372, Ctr Etud Biol Chize, F-79360 Villiers En Bois, France; [Tarroux, A.] Norwegian Inst Nat Res, Fram Ctr, N-9296 Tromso, Norway; [Tarroux, A.; Descamps, S.] Norwegian Polar Res Inst, Fram Ctr, N-9296 Tromso, Norway; [Orgeret, F.] Nelson Mandela Univ, Dept Zool, Port Elizabeth, South Africa; [Cotte, C.] Univ Paris 06, Lab Oceanog &amp; Climat Expt &amp; Approches Numer, Inst Pierre Simon Lapl, CNRS, Paris, France; [Cotte, C.] Univ Paris 06, Sorbonne Univ, UPMC, LOCEAN Lab,CNRS,IRD,MNHN, Paris, France</t>
  </si>
  <si>
    <t>Centre National de la Recherche Scientifique (CNRS); CNRS - Institute of Ecology &amp; Environment (INEE); Norwegian Institute Nature Research; Norwegian Polar Institute; Nelson Mandela University; Centre National de la Recherche Scientifique (CNRS); Sorbonne Universite; Museum National d'Histoire Naturelle (MNHN); Universite Paris Cite; Institut de Recherche pour le Developpement (IRD); Sorbonne Universite; Museum National d'Histoire Naturelle (MNHN); Centre National de la Recherche Scientifique (CNRS)</t>
  </si>
  <si>
    <t>Delord, K (corresponding author), La Rochelle Univ, CNRS, UMR 7372, Ctr Etud Biol Chize, F-79360 Villiers En Bois, France.</t>
  </si>
  <si>
    <t>karine.delord@cebc.cnrs.fr</t>
  </si>
  <si>
    <t>Cotté, Cédric/AAX-6120-2021; Cotté, Cédric/Z-3243-2019; Tarroux, Arnaud/AAE-5173-2021; Cotte, Cedric/C-3296-2013</t>
  </si>
  <si>
    <t>Cotté, Cédric/0000-0002-8307-6435; Cotté, Cédric/0000-0002-8307-6435; Tarroux, Arnaud/0000-0001-8306-6694; Ropert-Coudert, Yan/0000-0001-6494-5300; Kato, Akiko/0000-0002-8947-3634; Delord, Karine/0000-0001-6720-951X; Cherel, Yves/0000-0001-9469-9489</t>
  </si>
  <si>
    <t>Norwegian research council (NARE programme); BNP Paribas Foundation [2017-00000006497]</t>
  </si>
  <si>
    <t>Norwegian research council (NARE programme); BNP Paribas Foundation</t>
  </si>
  <si>
    <t>Funding was provided by the Norwegian research council (NARE programme). This study is a contribution to programme SENSEI (grant agreement no. 2017-00000006497 to C. Barbraud and Y.R.-C.) funded by the BNP Paribas Foundation.</t>
  </si>
  <si>
    <t>APR 1</t>
  </si>
  <si>
    <t>10.1098/rsos.191429</t>
  </si>
  <si>
    <t>LE1ZN</t>
  </si>
  <si>
    <t>WOS:000526523000003</t>
  </si>
  <si>
    <t>Thomas, ZA; Jones, RT; Turney, CSM; Golledge, N; Fogwill, C; Bradshaw, CJA; Menviel, L; McKay, NP; Bird, M; Palmer, J; Kershaw, P; Wilmshurst, J; Muscheler, R</t>
  </si>
  <si>
    <t>Thomas, Zoe A.; Jones, Richard T.; Turney, Chris S. M.; Golledge, Nicholas; Fogwill, Christopher; Bradshaw, Corey J. A.; Menviel, Laurie; McKay, Nicholas P.; Bird, Michael; Palmer, Jonathan; Kershaw, Peter; Wilmshurst, Janet; Muscheler, Raimund</t>
  </si>
  <si>
    <t>Tipping elements and amplified polar warming during the Last Interglacial</t>
  </si>
  <si>
    <t>ANTARCTIC ICE-SHEET; SEA-LEVEL RISE; SOUTHERN ANNULAR MODE; LAND-SURFACE CHANGES; ARCTIC AMPLIFICATION; PERMAFROST CARBON; LAKE BAIKAL; ATMOSPHERIC CH4; GLACIAL CYCLES; CLIMATE-CHANGE</t>
  </si>
  <si>
    <t>Irreversible shifts of large-scale components of the Earth system (so-called 'tipping elements') on policy-relevant timescales are a major source of uncertainty for projecting the impacts of future climate change. The high latitudes are particularly vulnerable to positive feedbacks that amplify change through atmosphere-ocean-ice interactions. Unfortunately, the short instrumental record does not capture the full range of past or projected climate scenarios (a situation particularly acute in the high latitudes). Natural archives from past periods warmer than present day, however, can be used to explore drivers and responses to forcing, and provide data against which to test models, thereby offering insights into the future. The Last Interglacial (129-116,000 years before present) - the warmest interglacial of the last 800,000 years - was the most recent period during which global temperatures were comparable with low-end 21st Century projections (up to 2 degrees C warmer, with temperature increase amplified over polar latitudes), providing a potentially useful analogue for future change. Substantial environmental changes happened during this time. Here we synthesise the nature and timing of potential high-latitude tipping elements during the Last Interglacial, including sea ice, extent of the boreal forest, permafrost, ocean circulation, and ice sheets/ sea level. We also review the thresholds and feedbacks that likely operated through this period. Notably, substantial ice mass loss from Greenland, the West Antarctic, and possibly sectors of the East Antarctic drove a 6-9 m rise in global sea level. This was accompanied by reduced summer sea-ice extent, poleward-extended boreal forest, and reduced areas of permafrost. Despite current chronological uncertainties, we find that tipping elements in the high latitudes all experienced rapid and abrupt change (within 1-2 millennia of each other) across both hemispheres, while recovery to prior conditions took place over multi-millennia. Our synthesis demonstrates important feedback loops between tipping elements, amplifying polar and global change during the Last Interglacial. The high sensitivity and tight interconnections between polar tipping elements suggests that they could exhibit similar thresholds of vulnerability in the future, particularly if the aspirations of the Paris Agreement are not met. (C) 2020 Elsevier Ltd. All rights reserved.</t>
  </si>
  <si>
    <t>[Thomas, Zoe A.; Turney, Chris S. M.; Menviel, Laurie; Palmer, Jonathan] Univ New South Wales, Sch Biol Earth &amp; Environm Sci, Palaeontol Geobiol &amp; Earth Archives PANGEA Res Ct, Sydney, NSW 2052, Australia; [Thomas, Zoe A.; Turney, Chris S. M.; Bradshaw, Corey J. A.; Bird, Michael; Palmer, Jonathan] ARC Ctr Excellence Australian Biodivers &amp; Heritag, Sydney, NSW, Australia; [Thomas, Zoe A.; Turney, Chris S. M.; Palmer, Jonathan] Univ New South Wales, Chronos 14 Carbon Cycle Facil, Sydney, NSW 2052, Australia; [Jones, Richard T.] Univ Exeter, Coll Life &amp; Environm Sci, Sch Geog, Exeter, Devon, England; [Golledge, Nicholas] Victoria Univ Wellington, Antarctic Res Ctr, Wellington 6140, New Zealand; [Golledge, Nicholas] GNS Sci, Lower Hutt 5011, New Zealand; [Fogwill, Christopher] Keefe Univ, Sch Geog Geol &amp; Environm, Newcastle Under Lyme, England; [Bradshaw, Corey J. A.] Flinders Univ S Australia, Coll Sci &amp; Engn, Global Ecol, GPO Box 2100, Adelaide, SA 5001, Australia; [Menviel, Laurie] Univ New South Wales, Climate Change Res Ctr, Sydney, NSW, Australia; [McKay, Nicholas P.] No Arizona Univ, Sch Earth &amp; Sustainabil, Flagstaff, AZ 86011 USA; [Bird, Michael] James Cook Univ, Sch Earth &amp; Environm Sci, Cairns, Qld, Australia; [Bird, Michael] James Cook Univ, Ctr Trop Environm &amp; Sustainabil Sci, Cairns, Qld, Australia; [Kershaw, Peter] Monash Univ, Sch Earth Atmosphere &amp; Environm, Melbourne, Vic 3800, Australia; [Wilmshurst, Janet] Long Term Ecol Lab, Landcare Res, Lincoln, New Zealand; [Wilmshurst, Janet] Univ Auckland, Sch Environm, Private Bag 92019, Auckland 1142, New Zealand; [Muscheler, Raimund] Lund Univ, Dept Geol, Quaternary Sci, Solvegatan 12, S-22362 Lund, Sweden</t>
  </si>
  <si>
    <t>University of New South Wales Sydney; University of New South Wales Sydney; University of Exeter; Victoria University Wellington; GNS Science - New Zealand; Flinders University South Australia; University of New South Wales Sydney; Northern Arizona University; James Cook University; James Cook University; Monash University; Melbourne Genomics Health Alliance; Landcare Research - New Zealand; University of Auckland; Lund University</t>
  </si>
  <si>
    <t>Thomas, ZA (corresponding author), Univ New South Wales, Sch Biol Earth &amp; Environm Sci, Palaeontol Geobiol &amp; Earth Archives PANGEA Res Ct, Sydney, NSW 2052, Australia.</t>
  </si>
  <si>
    <t>z.thomas@unsw.edu.au</t>
  </si>
  <si>
    <t>Fogwill, Christopher/HPF-1150-2023; McKay, Nicholas Paul/JYQ-5440-2024; Turney, Chris S M/P-8701-2018; Bird, Michael/G-5364-2010; Bradshaw, Corey J. A./A-1311-2008; Palmer, Jonathan/J-7834-2012; Thomas, Zoe/D-1656-2016; Menviel, Laurie/D-6902-2013</t>
  </si>
  <si>
    <t>Bird, Michael/0000-0003-1801-8703; Bradshaw, Corey J. A./0000-0002-5328-7741; Golledge, Nicholas/0000-0001-7676-8970; Palmer, Jonathan/0000-0002-6665-4483; Thomas, Zoe/0000-0002-2323-4366; McKay, Nicholas/0000-0003-3598-5113; Menviel, Laurie/0000-0002-5068-1591; Fogwill, Christopher/0000-0002-6471-1106</t>
  </si>
  <si>
    <t>Australian Research Council (ARC); Royal Society of NewZealand; Australian Research Council (ARC) Centre of Excellence for Australian Biodiversity and Heritage</t>
  </si>
  <si>
    <t>Australian Research Council (ARC)(Australian Research Council); Royal Society of NewZealand(Royal Society of New Zealand); Australian Research Council (ARC) Centre of Excellence for Australian Biodiversity and Heritage(Australian Research Council)</t>
  </si>
  <si>
    <t>We acknowledge the contribution of our close friend and colleague, Richard Jones, without whom this work would not have been possible. He is dearly missed. CSMT, CJF, MIB, LM and NRG are supported by their respective Australian Research Council (ARC) and Royal Society of NewZealand fellowships. This is a contribution to the Earth's Past Future network (earthspastfuture.com). This research was supported by Australian Research Council (ARC) Centre of Excellence for Australian Biodiversity and Heritage (EpicAustralia.org.au).</t>
  </si>
  <si>
    <t>10.1016/j.quascirev.2020.106222</t>
  </si>
  <si>
    <t>LD1JI</t>
  </si>
  <si>
    <t>WOS:000525787700007</t>
  </si>
  <si>
    <t>Archer, C; Vance, D; Milne, A; Lohan, MC</t>
  </si>
  <si>
    <t>Archer, Corey; Vance, Derek; Milne, Angela; Lohan, Maeve C.</t>
  </si>
  <si>
    <t>The oceanic biogeochemistry of nickel and its isotopes: New data from the South Atlantic and the Southern Ocean biogeochemical divide</t>
  </si>
  <si>
    <t>GEOTRACES; nickel isotopes; Southern Ocean biogeochemistry; Antarctic Polar Front</t>
  </si>
  <si>
    <t>TRACE-METALS; FERROMANGANESE CRUSTS; PACIFIC-OCEAN; MASS-BALANCE; NI ISOTOPES; ZINC; CADMIUM; FRACTIONATION; COPPER; IRON</t>
  </si>
  <si>
    <t>Nickel (Ni) is important for a number of enzymes in oceanic phytoplankton. It has received less attention than some other bioactive metals because it is not reduced to extremely low dissolved concentrations in the photic zone. However, there are strong indications in previous studies that this residual pool is not bio-available. Oceanic Ni isotope data are still scarce, but have great potential for understanding this issue, as well as for understanding the Ni mass balance of the oceans now and in the past. Here, we present new concentration and isotope data for the UK GEOTRACES section at 40 degrees S in the Atlantic (GA10). Nickel concentration data show typical nutrient-like profiles, slightly modified by variable preformed concentrations in sub-surface water masses, e.g. North Atlantic Deep Water. Nickel isotopes, in common with findings in previous studies, are homogeneous beneath 500 m, at about +1.3 parts per thousand in delta Ni-60, in samples with Ni concentrations above 3-3.5 nM. The surface South Atlantic, however, has concentrations below 3 nM, and shows significantly higher delta Ni-60, up to +1.74 parts per thousand, that are closely anti-correlated with Ni concentrations. The data for the deep South Atlantic dissolved pool, with a delta Ni-60 = 1.31 +/- 0.12 parts per thousand (average and 2SD) confirm the homogeneity of the global deep ocean, which previous data demonstrate extends all the way to the surface in the upwelling zone of the Southern Ocean south of the Polar Front. This Ni isotope composition is significantly heavier than known inputs to the oceanic dissolved pool. This mass balance requires an isotopically light sink that may be represented by sedimentary Mn-oxide associated Ni. The magnitude of the isotope fractionation implied by the upper ocean data is not consistent with plausible potential abiotic removal processes. Rather, these data are best explained by biological uptake. However, consideration of the detailed relationships between Ni concentrations and isotope compositions requires that a substantial portion of the oceanic dissolved Ni pool is not bio-available. The data are consistent either with a small preference for the light isotope during uptake (about 0.1 parts per thousand) or two distinct pools of dissolved Ni, one bio-available and one strongly bound in organic complexes, with limited isotopic exchange between them. Patterns of co-variation in Ni concentrations and isotopes with the major nutrients point to strong contrasts across the Polar Front of the Southern Ocean, contrasts that exhibit both similarities and differences with those for the major nutrients and other trace metal micronutrients. South of the Polar Front, Ni is taken up in modest amounts by diatoms, without isotope fractionation. North of the Polar Front the data are most consistent with cyanobacteria as the dominant control on Ni uptake, leading to significant coupled abundance and isotope variation. (C) 2020 Elsevier B.V. All rights reserved.</t>
  </si>
  <si>
    <t>[Archer, Corey; Vance, Derek] Swiss Fed Inst Technol, Dept Earth Sci, Inst Geochem &amp; Petrol, Clausiusstr 25, CH-8092 Zurich, Switzerland; [Milne, Angela] Univ Plymouth, Sch Geog Earth &amp; Environm Sci, Plymouth PL4 8AA, Devon, England; [Lohan, Maeve C.] Univ Southampton, Natl Oceanog Ctr, Sch Ocean &amp; Earth Sci, Southampton, Hants, England</t>
  </si>
  <si>
    <t>Swiss Federal Institutes of Technology Domain; ETH Zurich; University of Plymouth; University of Southampton; NERC National Oceanography Centre</t>
  </si>
  <si>
    <t>Archer, C (corresponding author), Swiss Fed Inst Technol, Dept Earth Sci, Inst Geochem &amp; Petrol, Clausiusstr 25, CH-8092 Zurich, Switzerland.</t>
  </si>
  <si>
    <t>corey.archer@erdw.ethz.ch</t>
  </si>
  <si>
    <t>; Milne, Angela/O-2786-2016</t>
  </si>
  <si>
    <t>Lohan, Maeve/0000-0002-5340-3108; Milne, Angela/0000-0002-3304-8962</t>
  </si>
  <si>
    <t>NERC [D357, JC068, NE/H004475/1]; ETH Zurichand Swiss SNF grant [200020_165904]; NERC [NE/H004475/1] Funding Source: UKRI</t>
  </si>
  <si>
    <t>NERC(UK Research &amp; Innovation (UKRI)Natural Environment Research Council (NERC)); ETH Zurichand Swiss SNF grant; NERC(UK Research &amp; Innovation (UKRI)Natural Environment Research Council (NERC))</t>
  </si>
  <si>
    <t>The authors thank the chief scientist Gideon Henderson, and the captains, crews and all of the scientists on both legs of the NERC funded UK-GEOTRACES GA10 section (D357 and JC068), grant #NE/H004475/1 to MCL. We thank Shotaro Takano and Urs Menet for their assistance in the lab. We thank Wafa Abouchami for providing some of the samples used for this work. We are also grateful to Tom Browning for fruitful discussions during the preparation of this manuscript. We are also grateful for the editorial handling of this manuscript, and the comments of two anonymous reviewers. This research was supported by ETH Zurichand Swiss SNF grant 200020_165904.</t>
  </si>
  <si>
    <t>10.1016/j.epsl.2020.116118</t>
  </si>
  <si>
    <t>LC5TW</t>
  </si>
  <si>
    <t>WOS:000525394500017</t>
  </si>
  <si>
    <t>Levitan, MA; Gelvi, TN; Domaratskaya, LG</t>
  </si>
  <si>
    <t>Levitan, M. A.; Gelvi, T. N.; Domaratskaya, L. G.</t>
  </si>
  <si>
    <t>Facies Structure and Quantitative Parameters of the Pleistocene Sediments of the Andean Submarine Margin</t>
  </si>
  <si>
    <t>GEOCHEMISTRY INTERNATIONAL</t>
  </si>
  <si>
    <t>bottom sediments; sedimentary basins; Andes; continental slope; shelf; upwelling; Eopleistocene; Neopleistocene; areas; volumes; dry sediment mass; mass of sediments per time unit; terrigenous sediments; diatoms</t>
  </si>
  <si>
    <t>PACIFIC</t>
  </si>
  <si>
    <t>The lithological-facies zonality of the Neo- and Eopleistocene sediments from two main areas of the Andean submarine margin is described for the first time. Processing of corresponding maps and isopach schemes using A.B. Ronov's volumetric method made it possible to calculate the quantitative parameters of sedimentation for distinguished types of Pleistocene sediments. Terrigenous sedimentation predominated and was intensified during the Pleistocene. The accumulation of biogenic opal in form of diatom frustules was more intense in the Eopleistocene than in the Neopleistocene. This is related to the activation of the Peruvian upwelling caused by the upwelling of the Antarctic Intermediate Water.</t>
  </si>
  <si>
    <t>[Levitan, M. A.; Gelvi, T. N.; Domaratskaya, L. G.] Russian Acad Sci, Vernadsky Inst Geochem &amp; Analyt Chem, Ul Kosygina 19, Moscow 119991, Russia</t>
  </si>
  <si>
    <t>Russian Academy of Sciences; Vernadsky Institute of Geochemistry &amp; Analytical Chemistry</t>
  </si>
  <si>
    <t>Levitan, MA (corresponding author), Russian Acad Sci, Vernadsky Inst Geochem &amp; Analyt Chem, Ul Kosygina 19, Moscow 119991, Russia.</t>
  </si>
  <si>
    <t>m-levitan@mail.ru</t>
  </si>
  <si>
    <t>Russian Foundation for Basic Research [17-05-00157]; Presidium of the Russian Academy of Sciences [49P, 0137-2016-0008]</t>
  </si>
  <si>
    <t>Russian Foundation for Basic Research(Russian Foundation for Basic Research (RFBR)Spanish Government); Presidium of the Russian Academy of Sciences(Russian Academy of Sciences)</t>
  </si>
  <si>
    <t>This paper was partially supported by the Russian Foundation for Basic Research (project no. 17-05-00157) and Presidium of the Russian Academy of Sciences (program no. 49P). This work was performed in the Framework of State Task no. 0137-2016-0008.</t>
  </si>
  <si>
    <t>0016-7029</t>
  </si>
  <si>
    <t>1556-1968</t>
  </si>
  <si>
    <t>GEOCHEM INT+</t>
  </si>
  <si>
    <t>Geochem. Int.</t>
  </si>
  <si>
    <t>10.1134/S0016702920030076</t>
  </si>
  <si>
    <t>LC8RD</t>
  </si>
  <si>
    <t>WOS:000525599100006</t>
  </si>
  <si>
    <t>MacAyeal, DR; Willis, IC; Banwell, AF; Macdonald, GJ; Goodsell, B</t>
  </si>
  <si>
    <t>MacAyeal, Douglas R.; Willis, Ian C.; Banwell, Alison F.; Macdonald, Grant J.; Goodsell, Becky</t>
  </si>
  <si>
    <t>Diurnal lake-level cycles on ice shelves driven by meltwater input and ocean tidal tilt</t>
  </si>
  <si>
    <t>Antarctic glaciology; ice shelves; melt; surface</t>
  </si>
  <si>
    <t>NORMAL-MODES; WORLD OCEAN; ROSS SEA; TIDES; FLEXURE; MODULATION; FRACTURE; DRAINAGE</t>
  </si>
  <si>
    <t>Diurnal depth cycles of decimeter scale are observed in a supraglacial lake on the McMurdo Ice Shelf, Antarctica. We evaluate two possible causes: (1) tidal tilt of the ice shelf in response to the underlying ocean tide, and (2) meltwater input variation. We find the latter to be the most likely explanation of our observations. However, we do not rule out tidal tilt as a source of centimeter scale variations, and point to the possibility that other, larger supraglacial lake systems, particularly those on ice shelves that experience higher amplitude tidal tilts, such as in the Weddell Sea, may have depth cycles driven by ocean tide. The broader significance of diurnal cycles in meltwater depth is that, under circumstances where the ice shelf is thin, tidal-tilt amplitudes are high, and meltwater runoff rates are large, there may be associated flexure stresses that can contribute to ice-shelf fracture and destabilization. For the McMurdo Ice Shelf (20-50 m thickness, 1 m tidal amplitude and 10 cm water-depth variations), these stresses amount to several 10's of kPa.</t>
  </si>
  <si>
    <t>[MacAyeal, Douglas R.; Macdonald, Grant J.; Goodsell, Becky] Univ Chicago, Dept Geophys Sci, 5734 S Ellis Ave, Chicago, IL 60637 USA; [Willis, Ian C.; Banwell, Alison F.] Univ Cambridge, Scott Polar Res Inst, Cambridge, England; [Willis, Ian C.; Banwell, Alison F.] Univ Colorado, Cooperat Inst Res Environm Sci, Boulder, CO 80309 USA</t>
  </si>
  <si>
    <t>University of Chicago; University of Cambridge; University of Colorado System; University of Colorado Boulder</t>
  </si>
  <si>
    <t>MacAyeal, DR (corresponding author), Univ Chicago, Dept Geophys Sci, 5734 S Ellis Ave, Chicago, IL 60637 USA.</t>
  </si>
  <si>
    <t>drm7@uchicago.edu</t>
  </si>
  <si>
    <t>Banwell, Alison/W-8180-2018</t>
  </si>
  <si>
    <t>Banwell, Alison/0000-0001-9545-829X; Macdonald, Grant/0000-0002-9295-085X; MacAyeal, Douglas/0000-0003-0647-6176; Willis, Ian/0000-0002-0750-7088</t>
  </si>
  <si>
    <t>US National Science Foundation (NSF) [PLR-1443126, PLR-1841467]; NSF [PLR-1841607]; UK NERC [NE/T006234/1]; CIRES Sabbatical Visiting Fellowship; Leverhulme Early Career Fellowship [ECF-2014-412]; CIRES Post Doctoral Visiting Fellowship at the University of Colorado; NASA Earth &amp; Space Sciences Fellowship [NNX15AN44H]; UNAVCO; Polar Geospatial Center under NSF-OPP [1043681, 1559691]; NERC [NE/T006234/1] Funding Source: UKRI</t>
  </si>
  <si>
    <t>US National Science Foundation (NSF)(National Science Foundation (NSF)); NSF(National Science Foundation (NSF)); UK NERC(UK Research &amp; Innovation (UKRI)Natural Environment Research Council (NERC)); CIRES Sabbatical Visiting Fellowship; Leverhulme Early Career Fellowship(Leverhulme Trust); CIRES Post Doctoral Visiting Fellowship at the University of Colorado; NASA Earth &amp; Space Sciences Fellowship; UNAVCO; Polar Geospatial Center under NSF-OPP; NERC(UK Research &amp; Innovation (UKRI)Natural Environment Research Council (NERC))</t>
  </si>
  <si>
    <t>Data are freely available and archived at the United States Antarctic Program Data Center (USAP-DC), the National Snow and Ice Data Center (NSIDC) and the Antarctic Meteorology Research Center (AMRC) of the University of Wisconsin. This work was supported by US National Science Foundation (NSF) grants PLR-1443126 and PLR-1841467 awarded to the University of Chicago, NSF PLR-1841607 awarded to the University of Colorado at Boulder, and the UK NERC grant NE/T006234/1. ICW was supported by a CIRES Sabbatical Visiting Fellowship, AFB was supported by a Leverhulme Early Career Fellowship (ECF-2014-412) and a CIRES Post Doctoral Visiting Fellowship at the University of Colorado, and GJM acknowledges support from the NASA Earth &amp; Space Sciences Fellowship (NNX15AN44H). GPS equipment and support was provided by UNAVCO. Geospatial support for this work was provided by the Polar Geospatial Center under NSF-OPP awards 1043681 and 1559691. Assistance in the field was generously provided by Brendan Hodge of UNAVCO, and Mike Cloutier of the Polar Geospatial Center. David Mayer at the University of Chicago (now at USGS) provided invaluable GIS support. The study has been significantly improved as a result of reviews bytwo anonymous referees, the Scientific Editor, M. Koutnik and the Associate Chief Editor, Ralf Greve.</t>
  </si>
  <si>
    <t>10.1017/jog.2019.98</t>
  </si>
  <si>
    <t>LC5NI</t>
  </si>
  <si>
    <t>WOS:000525373800005</t>
  </si>
  <si>
    <t>Jakobs, CL; Reijmer, CH; Smeets, CJPP; Trusel, LD; van de Berg, WJ; van den Broeke, MR; van Wessem, JM</t>
  </si>
  <si>
    <t>Jakobs, Constantijn L.; Reijmer, Carleen H.; Smeets, C. J. P. Paul; Trusel, Luke D.; van de Berg, Willem Jan; van den Broeke, Michiel R.; van Wessem, J. Melchior</t>
  </si>
  <si>
    <t>A benchmark dataset of in situ Antarctic surface melt rates and energy balance</t>
  </si>
  <si>
    <t>Antarctic glaciology; energy balance; melt-surface; ice; atmosphere interactions; snow; ice surface processes</t>
  </si>
  <si>
    <t>DRONNING MAUD LAND; C ICE SHELF; KING-GEORGE-ISLAND; MASS-BALANCE; REGIONAL CLIMATE; NEUMAYER STATION; LARSEN; MELTWATER; BUDGET; MODEL</t>
  </si>
  <si>
    <t>Surface melt on the coastal Antarctic ice sheet (AIS) determines the viability of its ice shelves and the stability of the grounded ice sheet, but very few in situ melt rate estimates exist to date. Here we present a benchmark dataset of in situ surface melt rates and energy balance from nine sites in the eastern Antarctic Peninsula (AP) and coastal Dronning Maud Land (DML), East Antarctica, seven of which are located on AIS ice shelves. Meteorological time series from eight automatic and one staffed weather station (Neumayer), ranging in length from 15 months to almost 24 years, serve as input for an energy-balance model to obtain consistent surface melt rates and energy-balance results. We find that surface melt rates exhibit large temporal, spatial and process variability. Intermittent summer melt in coastal DML is primarily driven by absorption of shortwave radiation, while non-summer melt events in the eastern AP occur during fohn events that force a large downward directed turbulent flux of sensible heat. We use the in situ surface melt rate dataset to evaluate melt rates from the regional atmospheric climate model RACMO2 and validate a melt product from the QuikSCAT satellite.</t>
  </si>
  <si>
    <t>[Jakobs, Constantijn L.; Reijmer, Carleen H.; Smeets, C. J. P. Paul; van de Berg, Willem Jan; van den Broeke, Michiel R.; van Wessem, J. Melchior] Univ Utrecht, Inst Marine &amp; Atmospher Res Utrecht, Utrecht, Netherlands; [Trusel, Luke D.] Penn State Univ, Dept Geog, University Pk, PA 16802 USA</t>
  </si>
  <si>
    <t>Utrecht University; Pennsylvania Commonwealth System of Higher Education (PCSHE); Pennsylvania State University; Pennsylvania State University - University Park</t>
  </si>
  <si>
    <t>Jakobs, CL (corresponding author), Univ Utrecht, Inst Marine &amp; Atmospher Res Utrecht, Utrecht, Netherlands.</t>
  </si>
  <si>
    <t>c.l.jakobs@uu.nl</t>
  </si>
  <si>
    <t>Jakobs, Stan/AAF-1744-2020; Reijmer, Carleen H/G-8736-2011; van de Berg, Willem Jan/H-4385-2011; Van den Broeke, Michiel R./F-7867-2011; Trusel, Luke D/E-2578-2013</t>
  </si>
  <si>
    <t>Jakobs, Stan/0000-0001-8707-2223; Reijmer, Carleen H/0000-0001-8299-3883; van de Berg, Willem Jan/0000-0002-8232-2040; Van den Broeke, Michiel R./0000-0003-4662-7565; Trusel, Luke/0000-0002-7792-6173</t>
  </si>
  <si>
    <t>Nederlandse Organisatie voor Wetenschappelijk Onderzoek [866.15.204]; Netherlands Earth System Science Centre (NESSC)</t>
  </si>
  <si>
    <t>Nederlandse Organisatie voor Wetenschappelijk Onderzoek(Netherlands Organization for Scientific Research (NWO)); Netherlands Earth System Science Centre (NESSC)</t>
  </si>
  <si>
    <t>The data are available on the PANGAEA data repository: doi: 10.1594/PANGAEA.910484. We would like to thank Jan Lenaerts and Stef Lhermitte for providing data of AWS 19. We furthermore thank the referees and editor Nicolas Cullen for their constructive comments. This research has been supported by the Nederlandse Organisatie voor Wetenschappelijk Onderzoek (grant no. 866.15.204). Michiel van den Broeke acknowledges support from the Netherlands Earth System Science Centre (NESSC).</t>
  </si>
  <si>
    <t>PII S0022143020000064</t>
  </si>
  <si>
    <t>10.1017/jog.2020.6</t>
  </si>
  <si>
    <t>WOS:000525373800009</t>
  </si>
  <si>
    <t>Stone, P</t>
  </si>
  <si>
    <t>Stone, Philip</t>
  </si>
  <si>
    <t>Robert McCormick's geological collections from Antarctica and the Southern Ocean, 1839-1843</t>
  </si>
  <si>
    <t>ARCHIVES OF NATURAL HISTORY</t>
  </si>
  <si>
    <t>Antarctic exploration; Polar science; James Clark Ross; Joseph Hooker; Charles Darwin; Ross Sea; HMS Erebus; Kerguelen; Falkland Islands; geology</t>
  </si>
  <si>
    <t>Robert McCormick (1800-1890) took part in three mid-nineteenth-century British Polar expeditions, two to the Arctic and one to the Antarctic. The latter, from 1839 to 1843 and led by James Clark Ross, is the best known. McCormick served as senior surgeon on HMS Erebus and was responsible for the collection of zoological and geological specimens. Despite the novelty and potential scientific importance of these early geological collections from Antarctica and remote islands in the Southern Ocean, they received surprisingly little attention at the time. Ross deposited an official collection with the British Museum in 1844, soon after the expedition's return, and this was supplemented by McCormick's personal collection, bequeathed in 1890. McCormick had contributed brief and idiosyncratic geological notes to the expedition report published by Ross in 1847, but it was not until 1899 that an informed description of the Antarctic rocks was published, and only in 1921 were McCormick's palaeobotanical specimens from Kerguelen examined. His material from other Southern Ocean islands received even less attention; had it been utilized at the time it would have supplemented the better-known collections made by the likes of Charles Darwin. In later life, McCormick became increasingly embittered over the lack of recognition afforded to him for his work in the Polar regions. Despite that contemporary neglect, his collections from the Ross Antarctic expedition provide unique insight into the geological work of nineteenth-century British naval surgeons.</t>
  </si>
  <si>
    <t>[Stone, Philip] British Geol Survey, Lyell Ctr, Res Ave South, Edinburgh EH14 4AP, Midlothian, Scotland</t>
  </si>
  <si>
    <t>UK Research &amp; Innovation (UKRI); Natural Environment Research Council (NERC); NERC British Geological Survey</t>
  </si>
  <si>
    <t>Stone, P (corresponding author), British Geol Survey, Lyell Ctr, Res Ave South, Edinburgh EH14 4AP, Midlothian, Scotland.</t>
  </si>
  <si>
    <t>psto@bgs.ac.uk</t>
  </si>
  <si>
    <t>NERC [bgs06006] Funding Source: UKRI</t>
  </si>
  <si>
    <t>EDINBURGH UNIV PRESS</t>
  </si>
  <si>
    <t>EDINBURGH</t>
  </si>
  <si>
    <t>THE TUN-HOLYROOD RD, 12 2F JACKSONS ENTRY, EDINBURGH EH8 8PJ, SCOTLAND</t>
  </si>
  <si>
    <t>0260-9541</t>
  </si>
  <si>
    <t>1755-6260</t>
  </si>
  <si>
    <t>ARCH NAT HIST</t>
  </si>
  <si>
    <t>Arch. Nat. Hist.</t>
  </si>
  <si>
    <t>10.3366/anh.2020.0628</t>
  </si>
  <si>
    <t>History &amp; Philosophy Of Science; Multidisciplinary Sciences</t>
  </si>
  <si>
    <t>Science Citation Index Expanded (SCI-EXPANDED); Social Science Citation Index (SSCI); Arts &amp; Humanities Citation Index (A&amp;HCI)</t>
  </si>
  <si>
    <t>History &amp; Philosophy of Science; Science &amp; Technology - Other Topics</t>
  </si>
  <si>
    <t>LB9TQ</t>
  </si>
  <si>
    <t>WOS:000524972600012</t>
  </si>
  <si>
    <t>Zhang, L; Ding, MH; Bian, LG; Li, J</t>
  </si>
  <si>
    <t>Zhang Lei; Ding MingHu; Bian LinGen; Li Jiang</t>
  </si>
  <si>
    <t>Validation of AIRS temperature and ozone profiles over Antarctica</t>
  </si>
  <si>
    <t>CHINESE JOURNAL OF GEOPHYSICS-CHINESE EDITION</t>
  </si>
  <si>
    <t>Chinese</t>
  </si>
  <si>
    <t>AIRS; Temperature profile; Ozone profile; Validation</t>
  </si>
  <si>
    <t>ATMOSPHERIC INFRARED SOUNDER; STRATOSPHERIC GRAVITY-WAVES; WATER-VAPOR; VERTICAL RESOLUTION; TROPOPAUSE; PRESSURE; PRODUCTS; HUMIDITY; RETRIEVAL; DEPLETION</t>
  </si>
  <si>
    <t>Using the temperature and ozone sounding data from Zhongshan Station, Amundesen-Scott Station (SouthPole) and Neumayer Station in 2008 for one year, the accuracy of the sixth version of Atmospheric Infrared Sounder (AIRS) temperature and ozone vertical profile products was verified in Antarctica. The results show that the AIRS temperature and the sounding temperature have significant consistency in general. The tropospheric deviation is the smallest (RMSe&lt;2 degrees C), but the near-surface temperature bias is slightly higher due to the influence of the underlying surface (RMSe similar to 2 degrees C). The stratospheric deviation is larger (2 degrees C&lt;3 degrees C). The average temperature of AIRS is lower than the sounding observation and has obviously seasonal variation. The deviations in autumn and winter are generally higher than that in spring and summer. The accuracy of AIRS ozone inversion in the stratosphere (RMSe similar to 5%) is better than that in the troposphere (RMSe similar to 30%). The maximum value of RMSe appears in the UT-LS region (up to 40%) and increases significantly during the ozone hole periods. The accuracy of AIRS products varies between the Antarctic coast and the inland. As there is few sounding experiments in the Antarctic area and it is mainly located along the coast, conducting sounding observations in the Antarctic inland area is of great significance to improve the accuracy of satellite data and improve the weather forecast capabilities of the region.</t>
  </si>
  <si>
    <t>[Zhang Lei] Nanjing Univ Informat Sci &amp; Technol, Nanjing 210044, Peoples R China; [Zhang Lei; Ding MingHu; Bian LinGen; Li Jiang] Chinese Acad Meteorol Sci, State Key Lab Severe Weather, Beijing 100081, Peoples R China</t>
  </si>
  <si>
    <t>Nanjing University of Information Science &amp; Technology; China Meteorological Administration; Chinese Academy of Meteorological Sciences (CAMS)</t>
  </si>
  <si>
    <t>Ding, MH (corresponding author), Chinese Acad Meteorol Sci, State Key Lab Severe Weather, Beijing 100081, Peoples R China.</t>
  </si>
  <si>
    <t>thunder_zh@126.com; Dingminghu@foxmail.com</t>
  </si>
  <si>
    <t>Ding, Minghu/0000-0002-1142-6598</t>
  </si>
  <si>
    <t>0001-5733</t>
  </si>
  <si>
    <t>CHINESE J GEOPHYS-CH</t>
  </si>
  <si>
    <t>Chinese J. Geophys.-Chinese Ed.</t>
  </si>
  <si>
    <t>10.6038/cjg2020M0698</t>
  </si>
  <si>
    <t>LA6QS</t>
  </si>
  <si>
    <t>WOS:000524071300007</t>
  </si>
  <si>
    <t>Lois, NA; Campagna, L; Balza, U; Polito, MJ; Puetz, K; Vianna, JA; Morgenthaler, A; Frere, E; Saenz-Samaniego, R; Rey, AR; Mahler, B</t>
  </si>
  <si>
    <t>Lois, Nicolas A.; Campagna, Leonardo; Balza, Ulises; Polito, Michael J.; Puetz, Klemens; Vianna, Juliana A.; Morgenthaler, Annick; Frere, Esteban; Saenz-Samaniego, Ricardo; Rey, Andrea Raya; Mahler, Bettina</t>
  </si>
  <si>
    <t>Metapopulation dynamics and foraging plasticity in a highly vagile seabird, the southern rockhopper penguin</t>
  </si>
  <si>
    <t>ddRAD; Eudyptes chrysocome; population dynamics; SIBER; trophic niche</t>
  </si>
  <si>
    <t>GENETIC-STRUCTURE; POPULATION; INFERENCE; CHRYSOCOME; AREAS; NICHE; SEGREGATION; PREDATORS; TOOL</t>
  </si>
  <si>
    <t>Population connectivity is driven by individual dispersal potential and modulated by natal philopatry. In seabirds, high vagility facilitates dispersal yet philopatry is also common, with foraging area overlap often correlated with population connectivity. We assess the interplay between these processes by studying past and current connectivity and foraging niche overlap among southern rockhopper penguin colonies of the coast of southern South America using genomic and stable isotope analyses. We found two distinct genetic clusters and detected low admixture between northern and southern colonies. Stable isotope analysis indicated niche variability between colonies, with Malvinas/Falklands colonies encompassing the species entire isotopic foraging niche, while the remaining colonies had smaller, nonoverlapping niches. A recently founded colony in continental Patagonia differed in isotopic niche width and position with Malvinas/Falklands colonies, its genetically identified founder population, suggesting the exploitation of novel foraging areas and/or prey items. Additionally, dispersing individuals found dead across the Patagonian shore in an unusual mortality event were also assigned to the northern cluster, suggesting northern individuals reach southern localities, but do not breed in these colonies. Facilitated by variability in foraging strategies, and especially during unfavorable conditions, the number of dispersing individuals may increase and enhance the probability of founding new colonies. Metapopulation demographic dynamics in seabirds should account for interannual variability in dispersal behavior and pay special attention to extreme climatic events, classically related to negative effects on population trends.</t>
  </si>
  <si>
    <t>[Lois, Nicolas A.; Mahler, Bettina] Consejo Nacl Invest Cient &amp; Tecn, IEGEBA, Buenos Aires, DF, Argentina; [Lois, Nicolas A.; Balza, Ulises; Mahler, Bettina] UBA, FCEyN, DEGE, Buenos Aires, DF, Argentina; [Lois, Nicolas A.; Balza, Ulises; Saenz-Samaniego, Ricardo; Rey, Andrea Raya] Consejo Nacl Invest Cient &amp; Tecn, CADIC, Ctr Austral Invest Cient, Ushuaia, Argentina; [Campagna, Leonardo] Cornell Univ, Fuller Evolutionary Biol Program, Cornell Lab Ornithol, Ithaca, NY USA; [Campagna, Leonardo] Cornell Univ, Dept Ecol &amp; Evolutionary Biol, Ithaca, NY USA; [Polito, Michael J.] Louisiana State Univ, Dept Oceanog &amp; Coastal Sci, Baton Rouge, LA 70803 USA; [Puetz, Klemens] Antarctic Res Trust, Bremervorde, Germany; [Vianna, Juliana A.] Pontificia Univ Catolica Chile, Fac Agron &amp; Ingn Forestal, Dept Ecosistemas &amp; Medio Ambiente, Santiago, Chile; [Morgenthaler, Annick; Frere, Esteban] Univ Nacl Patagonia Austral, Ctr Invest Puerto Deseado, UACO, Puerto Deseado, Santa Cruz, Argentina; [Rey, Andrea Raya] UNTdF, Inst Ciencias Polares Ambiente &amp; Recursos Nat, ICPA, Ushuaia, Argentina; [Frere, Esteban; Rey, Andrea Raya] Wildlife Conservat Soc, Buenos Aires, DF, Argentina</t>
  </si>
  <si>
    <t>Consejo Nacional de Investigaciones Cientificas y Tecnicas (CONICET); University of Buenos Aires; Consejo Nacional de Investigaciones Cientificas y Tecnicas (CONICET); Cornell University; Cornell University; Louisiana State University System; Louisiana State University; Pontificia Universidad Catolica de Chile; Universidad Nacional de la Patagonia San Juan Bosco</t>
  </si>
  <si>
    <t>Lois, NA (corresponding author), Consejo Nacl Invest Cient &amp; Tecn, IEGEBA, Buenos Aires, DF, Argentina.</t>
  </si>
  <si>
    <t>nlois@ege.fcen.uba.ar</t>
  </si>
  <si>
    <t>Balza, Ulises/AAO-6580-2020; Polito, Michael/G-9118-2012; Vianna, Juliana/E-9847-2015</t>
  </si>
  <si>
    <t>Balza, Ulises/0000-0003-1538-2438; Polito, Michael/0000-0001-8639-4431; Raya Rey, Andrea/0000-0003-0127-6650; Morgenthaler, Annick/0000-0002-7346-3140; Frere, Esteban/0000-0001-9435-5440; Lois, Nicolas A./0000-0001-5664-0486; Vianna, Juliana/0000-0003-2330-7825; MILLONES, ANA/0000-0002-6725-7279</t>
  </si>
  <si>
    <t>10.1002/ece3.6127</t>
  </si>
  <si>
    <t>LB1TE</t>
  </si>
  <si>
    <t>WOS:000524417200016</t>
  </si>
  <si>
    <t>Bates, AE; Morley, SA</t>
  </si>
  <si>
    <t>Bates, A. E.; Morley, S. A.</t>
  </si>
  <si>
    <t>Interpreting empirical estimates of experimentally derived physiological and biological thermal limits in ectotherms</t>
  </si>
  <si>
    <t>CANADIAN JOURNAL OF ZOOLOGY</t>
  </si>
  <si>
    <t>physiological experiments; ecological metrics; critical limits; lethal limits; performance</t>
  </si>
  <si>
    <t>CLIMATE-CHANGE; RAPID EVOLUTION; HEAT TOLERANCE; SHORT-TERM; TEMPERATURE; ACCLIMATION; ADAPTATION; PLASTICITY; RESPONSES; CONSTRAINTS</t>
  </si>
  <si>
    <t>Whole-organism function is underpinned by physiological and biological processes, which respond to temperature over a range of time scales. Given that environmental temperature controls biological rates within ectotherms, different experimental protocols are needed to assess the ability of organisms to withstand extreme weather events versus gradual temperature change. Here we emphasize the importance of time in shaping ecological and evolutionary processes, and as an experimental parameter that is key when interpreting physiology studies reporting thermal limits. We discuss how acute and chronic thermal performance is underpinned by mechanisms operating at different time scales-resistance, acclimation, and adaptation. We offer definitions of common physiological and biological temperature metrics and identify challenges inherent to compiling the wealth of historical temperature limit data now available into meta-analytic frameworks. We use a case study, data across temperate fishes, to highlight that false positives may occur when differences in the thermal tolerances of species are in fact due to experimental protocols. We further illustrate that false negatives can arise if researchers fail to recognize differences in thermal limits of species emerging from macrophysiological approaches that are due to biological mechanisms. We strongly advocate for the careful design, interpretation, and reporting of experimental results to ensure that conclusions arising from data synthesis efforts are grounded in theory.</t>
  </si>
  <si>
    <t>[Bates, A. E.] Mem Univ Newfoundland, Dept Ocean Sci, St John, NF A1C 5S7, Canada; [Morley, S. A.] NERC, British Antarctic Survey, Cambridge CB30ET, England</t>
  </si>
  <si>
    <t>Memorial University Newfoundland; UK Research &amp; Innovation (UKRI); Natural Environment Research Council (NERC); NERC British Antarctic Survey</t>
  </si>
  <si>
    <t>Bates, AE (corresponding author), Mem Univ Newfoundland, Dept Ocean Sci, St John, NF A1C 5S7, Canada.</t>
  </si>
  <si>
    <t>abates@mun.ca</t>
  </si>
  <si>
    <t>Bates, Amanda E./ABD-6874-2021</t>
  </si>
  <si>
    <t>Bates, Amanda E./0000-0002-0198-4537</t>
  </si>
  <si>
    <t>Natural Environment Research Council; NERC [NE/J007501/1, bas0100036] Funding Source: UKRI</t>
  </si>
  <si>
    <t>Salary support to A.E.B. was through the Canada Research Chairs Programme. S.A.M. is funded through the Natural Environment Research Council funding to the British Antarctic Survey. We appreciate comments on a draft version from K. Gamperl and J. Chu.</t>
  </si>
  <si>
    <t>CANADIAN SCIENCE PUBLISHING</t>
  </si>
  <si>
    <t>OTTAWA</t>
  </si>
  <si>
    <t>65 AURIGA DR, SUITE 203, OTTAWA, ON K2E 7W6, CANADA</t>
  </si>
  <si>
    <t>0008-4301</t>
  </si>
  <si>
    <t>1480-3283</t>
  </si>
  <si>
    <t>CAN J ZOOL</t>
  </si>
  <si>
    <t>Can. J. Zool.</t>
  </si>
  <si>
    <t>10.1139/cjz-2018-0276</t>
  </si>
  <si>
    <t>LA6OU</t>
  </si>
  <si>
    <t>WOS:000524066300002</t>
  </si>
  <si>
    <t>Cowan, ZL; Ling, SD; Caballes, CF; Dworjanyn, SA; Pratchett, MS</t>
  </si>
  <si>
    <t>Cowan, Zara-Louise; Ling, Scott D.; Caballes, Ciemon F.; Dworjanyn, Symon A.; Pratchett, Morgan S.</t>
  </si>
  <si>
    <t>Crown-of-thorns starfish larvae are vulnerable to predation even in the presence of alternative prey</t>
  </si>
  <si>
    <t>CORAL REEFS</t>
  </si>
  <si>
    <t>Predation; Functional response; Prey switching; Acanthaster spp; Larvae; Damselfish</t>
  </si>
  <si>
    <t>NEAR-BOTTOM DEPLETION; GREAT-BARRIER-REEF; ACANTHASTER-PLANCI; CORAL-REEF; FUNCTIONAL-RESPONSE; BIVALVE LARVAE; SEA STAR; MARINE; ZOOPLANKTON; POPULATION</t>
  </si>
  <si>
    <t>Many predators reported to feed on crown-of-thorns starfish (CoTS, Acanthaster spp.) are generalist and opportunistic feeders. However, research into predation on CoTS tends to examine these predator-prey interactions in isolation, and it remains unknown whether many potential predators will prey on CoTS when other, potentially more palatable, food sources are available. Assessing predatory responses to changes in prey availability is critical for gauging the capacity of predators to regulate prey populations. Here, we explored prey preferences and tested for prey switching across nine species of planktivorous damselfish offered varying densities of Pacific CoTS (Acanthaster cf. solaris) larvae versus larvae of a common and co-occurring starfish, Linckia laevigata. Results show that planktivorous damselfishes will consume crown-of-thorns starfish larvae, even in the presence of alternative prey. Feeding responses varied among the nine planktivorous predators with five damselfishes (Acanthochromis polyacanthus, Amblyglyphidodon curacao, Dascyllus reticulatus, Pomacentrus amboinensis and Pomacentrus moluccensis) exhibiting increased consumption of Acanthaster larvae with increasing density, despite the presence of alternative prey. Moreover, Abudefduf sexfasciatus and P. amboinensis exhibited preference for larvae of A. cf. solaris over larvae of L. laevigata. Despite these predation patterns, prey switching between starfish larvae was not observed. These results add to a growing body of evidence which suggests that predators of the early life stages of A. cf. solaris could be important in regulating settlement and recruitment patterns of this starfish, especially at low, non-outbreak, densities.</t>
  </si>
  <si>
    <t>[Cowan, Zara-Louise; Caballes, Ciemon F.; Pratchett, Morgan S.] James Cook Univ, ARC Ctr Excellence Coral Reef Studies, Townsville, Qld 4811, Australia; [Ling, Scott D.] Univ Tasmania, Inst Marine &amp; Antarctic Studies, Hobart, Tas 7001, Australia; [Dworjanyn, Symon A.] Southern Cross Univ, Natl Marine Sci Ctr, Coffs Harbour, NSW 2450, Australia</t>
  </si>
  <si>
    <t>James Cook University; University of Tasmania; Southern Cross University</t>
  </si>
  <si>
    <t>Cowan, ZL (corresponding author), James Cook Univ, ARC Ctr Excellence Coral Reef Studies, Townsville, Qld 4811, Australia.</t>
  </si>
  <si>
    <t>zaralouise.cowan@my.jcu.edu.au</t>
  </si>
  <si>
    <t>Pratchett, Morgan/AAW-5179-2020; dworjanyn, symon/O-5633-2017</t>
  </si>
  <si>
    <t>Pratchett, Morgan/0000-0002-1862-8459; Cowan, Zara-Louise/0000-0002-3862-7111; dworjanyn, symon/0000-0002-6690-8033</t>
  </si>
  <si>
    <t>0722-4028</t>
  </si>
  <si>
    <t>1432-0975</t>
  </si>
  <si>
    <t>Coral Reefs</t>
  </si>
  <si>
    <t>10.1007/s00338-019-01890-w</t>
  </si>
  <si>
    <t>LB0JU</t>
  </si>
  <si>
    <t>WOS:000524325200005</t>
  </si>
  <si>
    <t>Artigue, L; Lacan, F; van Gennip, S; Lohan, MC; Wyatt, NJ; Woodward, EMS; Mahaffey, C; Hopkins, J; Drillet, Y</t>
  </si>
  <si>
    <t>Artigue, Lise; Lacan, Francois; van Gennip, Simon; Lohan, Maeve C.; Wyatt, Neil J.; Woodward, E. Malcolm S.; Mahaffey, Claire; Hopkins, Joanne; Drillet, Yann</t>
  </si>
  <si>
    <t>Water mass analysis along 22 °N in the subtropical North Atlantic for the JC150 cruise (GEOTRACES, GApr08)</t>
  </si>
  <si>
    <t>Water mass; Optimum multiparameter analysis (OMPA); Lagrangian particle tracking experiment; Subtropical north Atlantic; JC150; GEOTRACES</t>
  </si>
  <si>
    <t>OPTIMUM MULTIPARAMETER ANALYSIS; ANTARCTIC INTERMEDIATE WATER; LABRADOR SEA; CIRCULATION; OCEAN; DISTRIBUTIONS; PHOSPHATE; LAYER</t>
  </si>
  <si>
    <t>This study presents a water mass analysis along the JC150 section in the subtropical North Atlantic, based on hydrographic and nutrient data, by combining an extended optimum multiparameter analysis (OMPA) with a Lagrangian particle tracking experiment (LPTE). This combination, which was proposed for the first time, aided in better constraining the OMPA end-member choice and providing information about their trajectories. It also enabled tracing the water mass origins in surface layers, which cannot be achieved with an OMPA. The surface layers were occupied by a shallow type of Eastern South Atlantic Central Water (ESACW) with traces of the Amazon plume in the west. Western North Atlantic Central Water dominates from 100 to 500 m, while the 13 degrees C-ESACW contribution occurs marginally deeper (500-900 m). At approximately 700 m, Antarctic Intermediate Water (AAIW) dominates the west of the Mid-Atlantic Ridge (MAR), while Mediterranean Water dominates the east with a small but non-negligible contribution down to 3500 m. Below AAIW, Upper Circumpolar Deep Water (UCDW) is observed throughout section (900-1250 m). Labrador Sea Water (LSW) is found centered at 1500 m, where the LPTE highlights an eastern LSW route from the eastern North Atlantic to the eastern subtropical Atlantic, which was not previously reported. North East Atlantic Deep Water (encompassing a contribution of Iceland-Scotland Overflow Water) is centered at similar to 2500 m, while North West Atlantic Bottom Water (NWABW, encompassing a contribution of Denmark Strait Overflow Water) is principally localized in the west of the MAR in the range of 3500-5000 m. NWABW is also present in significant proportions (&gt;25%) in the east of the MAR, suggesting a crossing of the MAR possibly through the Kane fracture zone. This feature has not been investigated so far. Finally, Antarctic Bottom Water is present in deep waters throughout the section, mainly in the west of the MAR. Source waters have been characterized from GEOTRACES sections, which enables estimations of trace elements and isotope transport within water masses in the subtropical North Atlantic.</t>
  </si>
  <si>
    <t>[Artigue, Lise; Lacan, Francois] Univ Toulouse, UPS, CNES, CNRS,IRD,LEGOS, F-31400 Toulouse, France; [van Gennip, Simon; Drillet, Yann] Mercator Ocean Int, Ramonville St Agne, France; [Lohan, Maeve C.; Wyatt, Neil J.] Univ Southampton, Natl Oceanog Ctr, Ocean &amp; Earth Sci, Southampton SO14 3ZH, Hants, England; [Woodward, E. Malcolm S.] Plymouth Marine Lab, Plymouth PL1 3DH, Devon, England; [Mahaffey, Claire] Univ Liverpool, Sch Environm Sci, Dept Earth Ocean &amp; Ecol Sci, 4 Brownlow St, Liverpool L69 3G9, Merseyside, England; [Hopkins, Joanne] Natl Oceanog Ctr, Liverpool L3 5DA, Merseyside, England</t>
  </si>
  <si>
    <t>Universite de Toulouse; Universite Toulouse III - Paul Sabatier; Centre National de la Recherche Scientifique (CNRS); Institut de Recherche pour le Developpement (IRD); Laboratoire d'Etudes en Geophysique et oceanographie spatiales; NERC National Oceanography Centre; University of Southampton; Plymouth Marine Laboratory; University of Liverpool; NERC National Oceanography Centre</t>
  </si>
  <si>
    <t>Artigue, L (corresponding author), LEGOS CNES, 18 Ave Edouard Belin, F-31401 Toulouse 9, France.</t>
  </si>
  <si>
    <t>lise.artigue@legos.obs-mip.fr</t>
  </si>
  <si>
    <t>Hopkins, Joanne E/E-1209-2019; Lacan, Francois/B-8032-2009; Woodward, Ernest M S/D-5755-2016; Mahaffey, Claire/JFJ-3716-2023</t>
  </si>
  <si>
    <t>Lacan, Francois/0000-0001-6794-2279; Artigue, Lise/0000-0002-7389-4258; Wyatt, Neil/0000-0002-1080-7778; van Gennip, Simon/0000-0002-3758-7090</t>
  </si>
  <si>
    <t>French Ministry of Higher Education, Research and Innovation (MESRI); French National Centre for Scientific Research (CNRS); NERC [NE/N001979/1, NE/N001125/1]; Mercator Ocean International; NERC [NE/H004289/1, pml010002, NE/N001079/1, NE/N001125/1] Funding Source: UKRI</t>
  </si>
  <si>
    <t>French Ministry of Higher Education, Research and Innovation (MESRI); French National Centre for Scientific Research (CNRS)(Centre National de la Recherche Scientifique (CNRS)); NERC(UK Research &amp; Innovation (UKRI)Natural Environment Research Council (NERC)); Mercator Ocean International; NERC(UK Research &amp; Innovation (UKRI)Natural Environment Research Council (NERC))</t>
  </si>
  <si>
    <t>French Ministry of Higher Education, Research and Innovation (MESRI) public funding awarded to Lise Artigue (University of Toulouse).; French National Centre for Scientific Research (CNRS) public funding awarded to Francois Lacan (LEGOS).; NERC with reference NE/N001979/1 awarded to Claire Mahaffey (University of Liverpool) and Malcolm Woodward (PML) and NE/N001125/1 awarded to Maeve Lohan (University of Southampton).; Mercator Ocean International for Simon van Gennip and Yann Drillet.</t>
  </si>
  <si>
    <t>10.1016/j.dsr.2020.103230</t>
  </si>
  <si>
    <t>LA1MH</t>
  </si>
  <si>
    <t>WOS:000523718600010</t>
  </si>
  <si>
    <t>Bart, PJ; Tulaczyk, S</t>
  </si>
  <si>
    <t>Bart, Philip J.; Tulaczyk, Slawek</t>
  </si>
  <si>
    <t>A significant acceleration of ice volume discharge preceded a major retreat of a West Antarctic paleo-ice stream</t>
  </si>
  <si>
    <t>SUBGLACIAL LAKE WHILLANS; ROSS SEA; SHELF; SHEET; SEDIMENTATION; DEFORMATION</t>
  </si>
  <si>
    <t>For the period between 14.7 and 11.5 cal. (calibrated) kyr B.P, the sediment flux of Bind-schadler Ice Stream (BIS; West Antarctica) averaged 1.7 x 10(8) m(3) a(-1). This implies that BIS velocity averaged 500 +/- 120 m a(-1). At a finer resolution, the data suggest two stages of ice stream flow. During the first 2400 +/- 400 years of a grounding-zone stillstand, ice stream flow averaged 200 +/- 90 m a(-1). Following ice-shelf breakup at 12.3 +/- 0.2 cal. kyr B.P., flow accelerated to 1350 +/- 580 m a(-1). The estimated ice volume discharge after breakup exceeds the balance velocity by a factor of two and implies ice mass imbalance of -40 Gt a(-1) just before the grounding zone retreated &gt;200 km. We interpret that the paleo-BIS maintained sustainable discharge throughout the grounding-zone stillstand first due to the buttressing effect of its fringing ice shelf and then later (i.e., after ice-shelf breakup) due to the stabilizing effects of grounding-zone wedge aggradation. Major paleo-ice stream retreat, shortly after the ice-shelf breakup that triggered the inferred ice flow acceleration, substantiates the current concerns about rapid, near-future retreat of major glaciers in the Amundsen Sea sector where Pine Island and Thwaites Glaciers are already experiencing ice-shelf instability and groundingzone retreat that have triggered upstream-propagating thinning and ice acceleration.</t>
  </si>
  <si>
    <t>[Bart, Philip J.] Louisiana State Univ, Dept Geol &amp; Geophys, Baton Rouge, LA 70803 USA; [Tulaczyk, Slawek] Univ Calif Santa Cruz, Dept Earth &amp; Planetary Sci, Santa Cruz, CA 95064 USA</t>
  </si>
  <si>
    <t>Louisiana State University System; Louisiana State University; University of California System; University of California Santa Cruz</t>
  </si>
  <si>
    <t>Bart, PJ (corresponding author), Louisiana State Univ, Dept Geol &amp; Geophys, Baton Rouge, LA 70803 USA.</t>
  </si>
  <si>
    <t>Tulaczyk, Slawek/O-7375-2018</t>
  </si>
  <si>
    <t>Tulaczyk, Slawek/0000-0002-9711-4332</t>
  </si>
  <si>
    <t>U.S. National Science Foundation (NSF) [1246357]; NSF [1739027]; Natural Environment Research Council (NERC); Directorate For Geosciences [1739027] Funding Source: National Science Foundation; Office of Polar Programs (OPP) [1739027] Funding Source: National Science Foundation</t>
  </si>
  <si>
    <t>U.S. National Science Foundation (NSF)(National Science Foundation (NSF)); NSF(National Science Foundation (NSF)); Natural Environment Research Council (NERC)(UK Research &amp; Innovation (UKRI)Natural Environment Research Council (NERC)); Directorate For Geosciences(National Science Foundation (NSF)NSF - Directorate for Geosciences (GEO)); Office of Polar Programs (OPP)(National Science Foundation (NSF)NSF - Directorate for Geosciences (GEO))</t>
  </si>
  <si>
    <t>Bart was supported by U.S. National Science Foundation (NSF) research grant 1246357. Tulaczyk was supported by NSF research grant 1739027, which is part of the NSF and Natural Environment Research Council (NERC)-funded International Thwaites Glacier Collaboration. We thank the captain and crew of the R/V Nathaniel B. Palmer for their help in acquiring seismic data during expedition NBP1502B. We also thank the members of the NBP1502 shipboard party for assisting our efforts in the field. We thank Poul Christoffersen, Claus-Dieter Hillenbrand, and Rebecca Totten Manzoni for their reviews that greatly improved the manuscript.</t>
  </si>
  <si>
    <t>10.1130/G46916.1</t>
  </si>
  <si>
    <t>LA9AX</t>
  </si>
  <si>
    <t>WOS:000524233700004</t>
  </si>
  <si>
    <t>Tran, HNK; Youn, UJ; Kim, JA; Chae, H; Kim, S; Min, BS</t>
  </si>
  <si>
    <t>Huynh Nguyen Khanh Tran; Youn, Ui Joung; Kim, Jeong Ah; Chae, Hyunsik; Kim, Sanghee; Min, Byung Sun</t>
  </si>
  <si>
    <t>Glycerols and fatty acids isolated from Micractinium sp. KSF0031</t>
  </si>
  <si>
    <t>BIOCHEMICAL SYSTEMATICS AND ECOLOGY</t>
  </si>
  <si>
    <t>Chlorellaceae; Micractinium sp. KSF0031; Glycerol</t>
  </si>
  <si>
    <t>From the collected extract from King Sejong Antarctic Station, strain Micractinium sp. KSF0031, led to the isolation of one new monoacyldigalactosyl glycerol (1) and seven known compounds (2-8). Their chemical structures were established using extensive spectroscopic techniques, including 1D, 2D-NMR, and MS, and compared with the published data. To the best of our knowledge, this is the first report to investigate the secondary metabolites from genus Micractinium. The monoacyldigalactosyl glycerol in Micractinium could serve as its chemotaxonomic markers.</t>
  </si>
  <si>
    <t>[Huynh Nguyen Khanh Tran; Min, Byung Sun] Drug Daegu Catholic Univ, Coll Pharm, Gyeongbuk 38430, South Korea; [Youn, Ui Joung; Chae, Hyunsik; Kim, Sanghee] Korea Polar Res Inst, Div Life Sci, Incheon 21990, South Korea; [Kim, Jeong Ah] Kyungpook Natl Univ, Coll Pharm, Res Inst Pharmaceut Sci, Daegu 41566, South Korea</t>
  </si>
  <si>
    <t>Korea Polar Research Institute (KOPRI); Kyungpook National University</t>
  </si>
  <si>
    <t>Min, BS (corresponding author), Drug Daegu Catholic Univ, Coll Pharm, Gyeongbuk 38430, South Korea.;Kim, S (corresponding author), Korea Polar Res Inst, Div Life Sci, Incheon 21990, South Korea.</t>
  </si>
  <si>
    <t>sangheekim@kopri.re.kr; bsmin@cu.ac.kr</t>
  </si>
  <si>
    <t>Korea Polar Research Institute, KOPRI [PE18180]</t>
  </si>
  <si>
    <t>Korea Polar Research Institute, KOPRI</t>
  </si>
  <si>
    <t>This research was supported by a grant to the Korea Polar Research Institute, KOPRI (PE18180). We are grateful to the Korea Basic Science Institute (KBSI) for mass spectrometric measurements.</t>
  </si>
  <si>
    <t>0305-1978</t>
  </si>
  <si>
    <t>1873-2925</t>
  </si>
  <si>
    <t>BIOCHEM SYST ECOL</t>
  </si>
  <si>
    <t>Biochem. Syst. Ecol.</t>
  </si>
  <si>
    <t>10.1016/j.bse.2019.104000</t>
  </si>
  <si>
    <t>LA1GE</t>
  </si>
  <si>
    <t>WOS:000523702500014</t>
  </si>
  <si>
    <t>Sfriso, AA; Tomio, Y; Rosso, B; Gambaro, A; Sfriso, A; Corami, F; Rastelli, E; Corinaldesi, C; Mistri, M; Munari, C</t>
  </si>
  <si>
    <t>Sfriso, Andrea Augusto; Tomio, Yari; Rosso, Beatrice; Gambaro, Andrea; Sfriso, Adriano; Corami, Fabiana; Rastelli, Eugenio; Corinaldesi, Cinzia; Mistri, Michele; Munari, Cristina</t>
  </si>
  <si>
    <t>Microplastic accumulation in benthic invertebrates in Terra Nova Bay (Ross Sea, Antarctica)</t>
  </si>
  <si>
    <t>Antarctica; Benthos; Microplastics; Food web; FTIR; Nile red</t>
  </si>
  <si>
    <t>MARINE-ENVIRONMENT; TROPHIC TRANSFER; TOXIC-CHEMICALS; FRESH-WATER; ORGANISMS; PLASTICS; BIOACCUMULATION; CONTAMINATION; POLLUTION; IMPACT</t>
  </si>
  <si>
    <t>Microplastic contamination of the benthic invertebrate fauna in Terra Nova Bay (Ross Sea, Antarctica) was determined. Twelve macrobenthic species, characterized by different feeding strategies, were selected at 3 sampling sites at increasing distance from the Italian Scientific Base (Mario Zucchelli, Camp Icarus, Adelie Cove). The 83% of the analyzed macrobenthic species contained microplastics (0.01-3.29 items mg(-1)). The size of the particles, measured by Feret diameter, ranged from 33 to 1000 mu m with the highest relative abundance between 50 and 100 mu m. Filter-feeders and grazers displayed values of microplastic contamination from 3 to 5 times higher than omnivores and predators, leading to the hypothesis that there is no evident bioaccumulation through the food web. The prevalent polymers identified by micro-FTIR were nylon (86%) and polyethylene (5%); other polymers identified in Antarctic benthos were polytetrafluoroethylene, polyoxymethylene, phenolic resin, polypropylene, polystyrene resin and XT polymer.</t>
  </si>
  <si>
    <t>[Sfriso, Andrea Augusto; Mistri, Michele; Munari, Cristina] Univ Ferrara, Dept Chem &amp; Pharmaceut Sci, Via Fossato di Mortara 17, I-44121 Ferrara, Italy; [Tomio, Yari; Rosso, Beatrice; Gambaro, Andrea; Sfriso, Adriano] CaFoscari Univ Venice, Dept Environm Sci Informat &amp; Stat, Via Torino 155, I-30172 Venice, Italy; [Corami, Fabiana] CaFoscari Univ Venice, Inst Polar Sci, CNR ISP, Campus Sci,Via Torino 155, I-30172 Venice, Italy; [Rastelli, Eugenio] Univ Politecn Marche, Dept Life &amp; Environm Sci DISVA, Via Brecce Bianche, I-60131 Ancona, Italy; [Corinaldesi, Cinzia] Univ Politecn Marche, Dept Mat Environm Sci &amp; Urban Planning SIMAU, Via Brecce Bianche, I-60131 Ancona, Italy</t>
  </si>
  <si>
    <t>University of Ferrara; Universita Ca Foscari Venezia; Consiglio Nazionale delle Ricerche (CNR); Istituto di Scienze Polari (ISP-CNR); Universita Ca Foscari Venezia; Marche Polytechnic University; Marche Polytechnic University</t>
  </si>
  <si>
    <t>Mistri, M (corresponding author), Univ Ferrara, Dept Chem &amp; Pharmaceut Sci, Via Fossato di Mortara 17, I-44121 Ferrara, Italy.</t>
  </si>
  <si>
    <t>msm@unife.it</t>
  </si>
  <si>
    <t>Sfriso, Andrea A./ABA-1815-2021; Corami, Fabiana/ABC-8571-2020; Corami, Fabiana/ACG-8770-2022</t>
  </si>
  <si>
    <t>Sfriso, Andrea A./0000-0002-2956-2758; Corami, Fabiana/0000-0002-7484-9600; Corami, Fabiana/0000-0002-7484-9600; Tomio, Yari/0000-0002-7429-6719; Rosso, Beatrice/0000-0003-3400-8740</t>
  </si>
  <si>
    <t>10.1016/j.envint.2020.105587</t>
  </si>
  <si>
    <t>KR9ZF</t>
  </si>
  <si>
    <t>WOS:000517970800056</t>
  </si>
  <si>
    <t>Cuevas, E; Vianna, JA; Botero-Delgadillo, E; Doussang, D; González-Acuña, D; Barroso, O; Rozzi, R; Vásquez, RA; Quirici, V</t>
  </si>
  <si>
    <t>Cuevas, Elfego; Vianna, Juliana A.; Botero-Delgadillo, Esteban; Doussang, Daniela; Gonzalez-Acuna, Daniel; Barroso, Omar; Rozzi, Ricardo; Vasquez, Rodrigo A.; Quirici, Veronica</t>
  </si>
  <si>
    <t>Latitudinal gradients of haemosporidian parasites: Prevalence, diversity and drivers of infection in the Thorn-tailed Rayadito (Aphrastura spinicauda)</t>
  </si>
  <si>
    <t>INTERNATIONAL JOURNAL FOR PARASITOLOGY-PARASITES AND WILDLIFE</t>
  </si>
  <si>
    <t>Latitudinal gradient; Haemosporidian parasites; Leucocytozoon; Plasmodium; Haemoproteus; South American temperate forests</t>
  </si>
  <si>
    <t>AVIAN MALARIA PARASITES; SP-NOV HAEMOSPORIDA; BLOOD PARASITES; POSSIBLE VECTORS; LEUCOCYTOZOON; HOST; PATTERNS; ECOLOGY; BIRDS; MODEL</t>
  </si>
  <si>
    <t>Latitudinal gradients are well-suited systems that may be helpful explaining distribution of haemosporidian parasites and host susceptibility. We studied the prevalence, diversity and drivers of haemosporidian parasites (Leucocytozoon, Plasmodium and Haemoproteus) along a latitudinal gradient (30 degrees-56 degrees S), that encompass the total distribution (similar to 3,000 km) of the Thorn-tailed Rayadito (Aphrastura spinicauda) in the South American temperate forests from Chile. We analyzed 516 individuals from 18 localities between 2010 and 2017 and observed an overall prevalence of 28.3% for haemosporidian parasites. Leucocytozoon was the most prevalent parasite (25.8%). We recorded 19 distinct lineages (13 for Leucocytozoon, five for Plasmodium, and one for Haemoproteus). Differences in haemosporidian prevalence and diversity by genus and type of habitat were observed in the latitudinal gradient. Further, we support the existence of a latitudinal associate distribution of Leucocytozoids in South America, where prevalence and diversity increase toward higher latitudes. Distribution of Leucocytozoon was associated with sub-antarctic habitat (higher latitude) and explained by cold temperature and high precipitation. On the other hand, we lacked to find a latitudinal associate pattern for Plasmodium and Haemoproteus, however low prevalence and high diversity were recorded in areas considered as a hotspot of biodiversity in Central Chile. Our findings confirmed the importance of habitat and climatic variables explaining prevalence, diversity and distribution of haemosporidian parasites in a huge latitudinal gradient, belonging the distribution of the Thorn-tailed Rayadito in the world's southernmost forests ecosystems.</t>
  </si>
  <si>
    <t>[Cuevas, Elfego] Univ Andres Bello, Fac Ciencias Vida, Programa Doctorado Med Conservac, Republ 252, Santiago, Chile; [Cuevas, Elfego; Quirici, Veronica] Univ Andres Bello, CIS, Santiago, Chile; [Vianna, Juliana A.] Pontificia Univ Catolica Chile, Fac Agron &amp; Ingn Forestal, Dept Ecosistemas &amp; Medio Ambiente, Santiago, Chile; [Botero-Delgadillo, Esteban; Vasquez, Rodrigo A.] Univ Chile, Fac Ciencias, Inst Ecol &amp; Biodiversidad, Santiago, Chile; [Botero-Delgadillo, Esteban] SELVA Res Conservat Neotrop, Bogota, Colombia; [Botero-Delgadillo, Esteban] Max Plank Inst Ornithol, Dept Behav Ecol &amp; Evolutionary Genet, Seewiesen, Germany; [Doussang, Daniela; Gonzalez-Acuna, Daniel] Univ Concepcion, Fac Ciencias Vet, Lab Parasitos &amp; Enfermedades Fauna Silvestre, Chillan, Chile; [Doussang, Daniela] Univ Andres Bello, Fac Ciencias Vida, Vina Del Mar, Chile; [Barroso, Omar; Rozzi, Ricardo] Univ Magallanes, Inst Ecol &amp; Biodiversidad, Parque Etnobotan Omora, Puerto Williams, Chile; [Quirici, Veronica] Univ Andres Bello, Dept Ecol &amp; Biodiversidad, Santiago, Chile</t>
  </si>
  <si>
    <t>Universidad Andres Bello; Universidad Andres Bello; Pontificia Universidad Catolica de Chile; Universidad de Chile; Max Planck Society; Universidad de Concepcion; Universidad Andres Bello; Universidad de Magallanes; Universidad Andres Bello</t>
  </si>
  <si>
    <t>Cuevas, E (corresponding author), Univ Andres Bello, Fac Ciencias Vida, Programa Doctorado Med Conservac, Republ 252, Santiago, Chile.</t>
  </si>
  <si>
    <t>elfcuevas@gmail.com</t>
  </si>
  <si>
    <t>Quirici, Veronica/B-1520-2017; Doussang, Daniela/AAQ-7966-2021; Rozzi, Ricardo/G-1047-2012; Botero-Delgadillo, Esteban/AAC-7069-2020; Vianna, Juliana/E-9847-2015</t>
  </si>
  <si>
    <t>Rozzi, Ricardo/0000-0001-5265-8726; Botero-Delgadillo, Esteban/0000-0003-4653-7551; Barroso Putare, Omar/0000-0003-0565-329X; Vasquez, Rodrigo A/0000-0003-4309-6789; Vianna, Juliana/0000-0003-2330-7825</t>
  </si>
  <si>
    <t>Fondo Nacional de Desarrollo Cientifico y Tecnologico [FONDECYT 11130245, 1170972]; Project CONICyT PIA-CCTE [AFB170008-IEB]; Initiation Research fund of University Andres Bello</t>
  </si>
  <si>
    <t>Fondo Nacional de Desarrollo Cientifico y Tecnologico(Comision Nacional de Investigacion Cientifica y Tecnologica (CONICYT)CONICYT FONDECYT); Project CONICyT PIA-CCTE; Initiation Research fund of University Andres Bello</t>
  </si>
  <si>
    <t>Many people helped with collecting samples, for which we are grateful. We thank to Manuel Lepe and Aitor Cevidanes for help with statistical analysis. This study was funded by the Fondo Nacional de Desarrollo Cientifico y Tecnologico (FONDECYT 11130245, 1170972), Project CONICyT PIA-CCTE AFB170008-IEB, and the Initiation Research fund of University Andres Bello. The study proposal was approved by Servicio Agricola y Ganadero (SAG), Corporacion Nacional Forestal (CONAF), and the Bioethics Committee of the of University of Chile and University of Concepcion.</t>
  </si>
  <si>
    <t>2213-2244</t>
  </si>
  <si>
    <t>INT J PARASITOL-PAR</t>
  </si>
  <si>
    <t>Int. J. Parasitol.-Parasit. Wildl.</t>
  </si>
  <si>
    <t>10.1016/j.ijppaw.2019.11.002</t>
  </si>
  <si>
    <t>Ecology; Parasitology</t>
  </si>
  <si>
    <t>Environmental Sciences &amp; Ecology; Parasitology</t>
  </si>
  <si>
    <t>KZ9JB</t>
  </si>
  <si>
    <t>WOS:000523574400001</t>
  </si>
  <si>
    <t>Jagoda, M; Rutkowska, M; Suchocki, C; Katzer, J</t>
  </si>
  <si>
    <t>Jagoda, Marcin; Rutkowska, Miloslawa; Suchocki, Czeslaw; Katzer, Jacek</t>
  </si>
  <si>
    <t>Determination of the tectonic plates motion parameters based on SLR, DORIS and VLBI stations positions</t>
  </si>
  <si>
    <t>JOURNAL OF APPLIED GEODESY</t>
  </si>
  <si>
    <t>Tectonic plates; plate motion parameters; SLR; DORIS; VLBI</t>
  </si>
  <si>
    <t>CRUSTAL DEFORMATION; MODEL</t>
  </si>
  <si>
    <t>On the base of International Terrestrial Reference Frame 2008 (ITRF2008) a new global plate model of station positions and velocities with accuracy 1-3 mm and 1 mm per year respectively was established. Next, this model was used in our paper for plate motion parameters estimation for the major plates as Eurasian, North American, Pacific and small plates as Australian, African and Antarctic on the base of the observation campaigns for three techniques: Satellite Laser Ranging (SLR), Doppler Orbitography by Radiopositioning Integrated on Satellite system (DORIS) and Very Long Baseline Interferometry (VLBI), each technique was analyzed separately. Investigation for GNSS technique is scheduled to take place in the future. The plate motion parameters were adjusted using least squares method and sequential solution. In the first stage, the plate motion parameters were determined for two selected stations and next stations were added until stability of the solution was observed. Final results of our solution were compared with the APKIM 2005 IGN model by H. Drewes. Agreement of solutions is order 2 degrees or better.</t>
  </si>
  <si>
    <t>[Jagoda, Marcin; Rutkowska, Miloslawa; Suchocki, Czeslaw] Koszalin Univ Technol, Fac Civil Engn Environm &amp; Geodet Sci, Sniadeckich 2, PL-75453 Koszalin, Poland; [Katzer, Jacek] Univ Warmia &amp; Mazury, Fac Geodesy Geospatial &amp; Civil Engn, Prawochenskiego 15, PL-10720 Olsztyn, Poland</t>
  </si>
  <si>
    <t>Koszalin University of Technology; University of Warmia &amp; Mazury</t>
  </si>
  <si>
    <t>Jagoda, M (corresponding author), Koszalin Univ Technol, Fac Civil Engn Environm &amp; Geodet Sci, Sniadeckich 2, PL-75453 Koszalin, Poland.</t>
  </si>
  <si>
    <t>marcin.jagoda@tu.koszalin.pl; miloslawa.rutkowska@tu.koszalin.pl; czeslaw.suchocki@tu.koszalin.pl; jacek.katzer@yahoo.com</t>
  </si>
  <si>
    <t>Jagoda, Marcin/AFV-2251-2022; Suchocki, Czesław/U-3067-2018; Katzer, Jacek/F-8285-2017</t>
  </si>
  <si>
    <t>Jagoda, Marcin/0000-0001-8073-6242; Suchocki, Czesław/0000-0002-0121-5711; Katzer, Jacek/0000-0002-4049-5330; Rutkowska, Miloslawa/0000-0002-7345-9889</t>
  </si>
  <si>
    <t>WALTER DE GRUYTER GMBH</t>
  </si>
  <si>
    <t>GENTHINER STRASSE 13, D-10785 BERLIN, GERMANY</t>
  </si>
  <si>
    <t>1862-9016</t>
  </si>
  <si>
    <t>1862-9024</t>
  </si>
  <si>
    <t>J APPL GEOD</t>
  </si>
  <si>
    <t>J. Appl. Geod.</t>
  </si>
  <si>
    <t>10.1515/jag-2019-0053</t>
  </si>
  <si>
    <t>LA0VT</t>
  </si>
  <si>
    <t>WOS:000523675400002</t>
  </si>
  <si>
    <t>Goodge, JW</t>
  </si>
  <si>
    <t>Goodge, John W.</t>
  </si>
  <si>
    <t>Geological and tectonic evolution of the Transantarctic Mountains, from ancient craton to recent enigma</t>
  </si>
  <si>
    <t>Antarctica; Intraplate mountains; Orogeny; Tectonics; Supercontinents</t>
  </si>
  <si>
    <t>NORTHERN VICTORIA-LAND; WEST ANTARCTIC RIFT; LARGE IGNEOUS PROVINCE; MARIE BYRD LAND; HIGH-PRESSURE METAMORPHISM; FERRAR DOLERITE SILLS; PALEO-PACIFIC MARGIN; MCMURDO DRY VALLEYS; U-PB GEOCHRONOLOGY; ECLOGITE-FACIES METAMORPHISM</t>
  </si>
  <si>
    <t>The Transantarctic Mountains (TAM) are one of Earth's great mountain belts and are a fundamental physiographic feature of Antarctica. They are continental-scale, traverse a wide range of latitudes, have high relief, contain a significant proportion of exposed rock on the continent, and represent a major arc of environmental and geological transition. Although the modern physiography is largely of Cenozoic origin, this major feature has persisted for hundreds of millions of years since the Neoproterozoic to the modern. Its mere existence as the planet's longest intraplate mountain belt at the transition between a thick stable craton in East Antarctica and a large extensional province in West Antarctica is a continuing enigma. The early and more cryptic tectonic evolution of the TAM includes Mesoarchean and Paleoproterozoic crust formation as part of the Columbia supercontinent, followed by Neoproterozoic rift separation from Laurentia during breakup of Rodinia. Development of an Andean-style Gondwana convergent margin resulted in a long-lived Ross orogenic cycle from the late Neoproterozoic to the early Paleozoic, succeeded by crustal stabilization and widespread denudation during early Gondwana time, and intra-cratonic and foreland-basin sedimentation during late Paleozoic and early Mesozoic development of Pangea. Voluminous mafic volcanism, sill emplacement, and layered igneous intrusion are a primary signature of hotspot-influenced Jurassic extension during Gondwana breakup. The most recent phase of TAM evolution involved tectonic uplift and exhumation related to Cenozoic extension at the inboard edge of the West Antarctic Rift System, accompanied by Neogene to modern glaciation and volcanism related to the McMurdo alkaline volcanic province. Despite the remote location and relative inaccessibility of the TAM, its underlying varied and diachronous geology provides important clues for reconstructing past supercontinents and influences the modern flow patterns of both ice and atmospheric circulation, signifying that the TAM have both continental and global importance through time. (c) 2019 International Association for Gondwana Research. Published by Elsevier B.V. All rights reserved.</t>
  </si>
  <si>
    <t>[Goodge, John W.] Univ Minnesota, Dept Earth &amp; Environm Sci, Duluth, MN 55812 USA</t>
  </si>
  <si>
    <t>University of Minnesota System; University of Minnesota Duluth</t>
  </si>
  <si>
    <t>Goodge, JW (corresponding author), Univ Minnesota, Dept Earth &amp; Environm Sci, Duluth, MN 55812 USA.</t>
  </si>
  <si>
    <t>jgoodge@d.umn.edu</t>
  </si>
  <si>
    <t>Goodge, John/GQI-3878-2022</t>
  </si>
  <si>
    <t>Goodge, John/0000-0003-2578-3147</t>
  </si>
  <si>
    <t>NSF Office of Polar Programs</t>
  </si>
  <si>
    <t>NSF Office of Polar Programs(National Science Foundation (NSF))</t>
  </si>
  <si>
    <t>I am fortunate to have had the opportunity to work with many wonderful colleagues over a period of years, including Vickie Bennett, David Dallmeyer, Don DePaolo, Mark Fanning, Carol Finn, Vicki Hansen, Kathy Licht, Paul Myrow, Mike Pope, Bert Rowell, Jeff Vervoort, Nick Walker, and Ian Williams. I owe a special debt to Scott Borg who very trustingly invited me to participate in my first Antarctic field work in 1985; his introduction launched a lifelong passion. I thank several colleagues who provided generous feedback on sections of an earlier manuscript, including Allan Ashworth, Jim Collinson, David Elliot, Paul Fitzgerald, Georg Kleinschmidt, and Phil Kyle; all shortcomings are my responsibility. Spencer Niebuhr of the Polar Geospatial Center at the University of Minnesota helped make the DEMs used in some of the figures. The manuscript was substantially improved by very constructive comments from Christine Siddoway and an anonymous reviewer, for which I am thankful. Last, I am grateful to the NSF Office of Polar Programs for support of field research projects.</t>
  </si>
  <si>
    <t>10.1016/j.gr.2019.11.001</t>
  </si>
  <si>
    <t>KZ0PS</t>
  </si>
  <si>
    <t>WOS:000522974700004</t>
  </si>
  <si>
    <t>Coleine, C; Masonjones, S; Onofri, S; Selbmann, L; Stajich, JE</t>
  </si>
  <si>
    <t>Coleine, Claudia; Masonjones, Sawyer; Onofri, Silvano; Selbmann, Laura; Stajich, Jason E.</t>
  </si>
  <si>
    <t>Draft Genome Sequence of the Yeast Rhodotorula sp. Strain CCFEE 5036, Isolated from McMurdo Dry Valleys, Antarctica</t>
  </si>
  <si>
    <t>A draft genome sequence was assembled and annotated of the basidiomycetous yeast Rhodotorula sp. strain CCFEE 5036, isolated from Antarctic soil communities. The genome assembly is 19.07 megabases and encodes 6,434 protein-coding genes. The sequence will contribute to understanding the diversity of fungi inhabiting polar regions.</t>
  </si>
  <si>
    <t>[Coleine, Claudia; Onofri, Silvano; Selbmann, Laura] Univ Tuscia, Dept Ecol &amp; Biol Sci, Viterbo, Italy; [Masonjones, Sawyer; Stajich, Jason E.] Univ Calif Riverside, Dept Microbiol &amp; Plant Pathol, Riverside, CA 92521 USA; [Selbmann, Laura] Italian Natl Antarctic Museum MNA, Mycol Sect, Genoa, Italy</t>
  </si>
  <si>
    <t>Tuscia University; University of California System; University of California Riverside</t>
  </si>
  <si>
    <t>Selbmann, L (corresponding author), Univ Tuscia, Dept Ecol &amp; Biol Sci, Viterbo, Italy.;Stajich, JE (corresponding author), Univ Calif Riverside, Dept Microbiol &amp; Plant Pathol, Riverside, CA 92521 USA.;Selbmann, L (corresponding author), Italian Natl Antarctic Museum MNA, Mycol Sect, Genoa, Italy.</t>
  </si>
  <si>
    <t>selbmann@unitus.it; jason.stajich@ucr.edu</t>
  </si>
  <si>
    <t>Coleine, Claudia/AAE-1889-2020; Stajich, Jason Eric/C-7297-2008; Selbmann, Laura/L-3056-2013</t>
  </si>
  <si>
    <t>Coleine, Claudia/0000-0002-9289-6179; Stajich, Jason Eric/0000-0002-7591-0020; Selbmann, Laura/0000-0002-8967-3329</t>
  </si>
  <si>
    <t>Italian Antarctic National Museum (MNA); Italian National Program for Antarctic Researches (PNRA); United States Department of Agriculture, National Institute of Food and Agriculture Hatch project [CA-R-PPA-5062-H]; NSF [DBI-1429826]; NIH [S10-OD016290]</t>
  </si>
  <si>
    <t>Italian Antarctic National Museum (MNA); Italian National Program for Antarctic Researches (PNRA); United States Department of Agriculture, National Institute of Food and Agriculture Hatch project; NSF(National Science Foundation (NSF)); NIH(United States Department of Health &amp; Human ServicesNational Institutes of Health (NIH) - USA)</t>
  </si>
  <si>
    <t>The Italian Antarctic National Museum (MNA) is kindly acknowledged for financial support to the Mycological Section on the MNA and for providing the strains sequenced in this study that are stored in the Culture Collection of Fungi from Extreme Environments (CCFEE) (University of Tuscia, Italy). J.E.S. is a CIFAR fellow in the Fungal Kingdom: Threats and Opportunities program. C.C. and L.S. kindly acknowledge the Italian National Program for Antarctic Researches (PNRA) for funding sampling campaigns and the research activities in Italy. Sequencing was supported through United States Department of Agriculture, National Institute of Food and Agriculture Hatch project CA-R-PPA-5062-H to J.E.S. Data analyses were performed on the HighPerformance Computing Cluster at the University of California, Riverside, in the Institute of Integrative Genome Biology, supported by NSF DBI-1429826 and NIH S10-OD016290.</t>
  </si>
  <si>
    <t>e00020</t>
  </si>
  <si>
    <t>10.1128/MRA.00020-20</t>
  </si>
  <si>
    <t>KZ6QN</t>
  </si>
  <si>
    <t>WOS:000523384500002</t>
  </si>
  <si>
    <t>Zhou, YP; Yang, YK; Gao, M; Zhai, PW</t>
  </si>
  <si>
    <t>Zhou, Yaping; Yang, Yuekui; Gao, Meng; Zhai, Peng-Wang</t>
  </si>
  <si>
    <t>Cloud detection over snow and ice with oxygen A- and B-band observations from the Earth Polychromatic Imaging Camera (EPIC)</t>
  </si>
  <si>
    <t>RADIATIVE-TRANSFER MODEL; A-BAND; GEOMETRICAL THICKNESS; TOP HEIGHT; SENSITIVITY; RADIANCES; RETRIEVAL; ALGORITHM; OZONE; MODIS</t>
  </si>
  <si>
    <t>Satellite cloud detection over snow and ice has been difficult for passive remote sensing instruments due to the lack of contrast between clouds and cold/bright surfaces; cloud mask algorithms often heavily rely on shortwave infrared (IR) channels over such surfaces. The Earth Polychromatic Imaging Camera (EPIC) on board the Deep Space Climate Observatory (DSCOVR) does not have infrared channels, which makes cloud detection over snow and ice surfaces even more challenging. This study investigates the methodology of applying EPIC's two oxygen absorption band pair ratios in the A band (764, 780 nm) and B band (688, 680 nm) for cloud detection over the snow and ice surfaces. We develop a novel elevation and zenith-angle-dependent threshold scheme based on radiative transfer model simulations that achieves significant improvements over the existing algorithm. When compared against a composite cloud mask based on geosynchronous Earth orbit (GEO) and low Earth orbit (LEO) sensors, the positive detection rate over snow and ice surfaces increased from around 36 % to 65 % while the false detection rate dropped from 50 % to 10 % for observations of January 2016 and 2017. The improvement in July is less substantial due to relatively better performance in the current algorithm. The new algorithm is applicable for all snow and ice surfaces including Antarctic, sea ice, high-latitude snow, and high-altitude glacier regions. This method is less reliable when clouds are optically thin or below 3 km because the sensitivity is low in oxygen band ratios for these cases.</t>
  </si>
  <si>
    <t>[Zhou, Yaping; Yang, Yuekui; Gao, Meng] NASA, Goddard Space Flight Ctr, Greenbelt, MD 20771 USA; [Zhou, Yaping] Univ Maryland Baltimore Cty, Joint Ctr Earth Syst Technol, Baltimore, MD 21228 USA; [Gao, Meng] NASA, Goddard Space Flight Ctr, Ocean Ecol Lab, SSAI, Greenbelt, MD USA; [Zhai, Peng-Wang] Univ Maryland Baltimore Cty, Dept Phys, Joint Ctr Earth Syst Technol, Baltimore, MD 21250 USA</t>
  </si>
  <si>
    <t>National Aeronautics &amp; Space Administration (NASA); NASA Goddard Space Flight Center; University System of Maryland; University of Maryland Baltimore County; National Aeronautics &amp; Space Administration (NASA); NASA Goddard Space Flight Center; University System of Maryland; University of Maryland Baltimore County</t>
  </si>
  <si>
    <t>Zhou, YP (corresponding author), NASA, Goddard Space Flight Ctr, Greenbelt, MD 20771 USA.;Zhou, YP (corresponding author), Univ Maryland Baltimore Cty, Joint Ctr Earth Syst Technol, Baltimore, MD 21228 USA.</t>
  </si>
  <si>
    <t>yaping.zhou-1@nasa.gov</t>
  </si>
  <si>
    <t>Gao, Meng/ABF-1056-2021; Yang, Yuekui/B-4326-2015; Zhou, Yaping/E-1448-2012; Zhai, Peng-Wang/E-6085-2017</t>
  </si>
  <si>
    <t>Gao, Meng/0000-0002-5818-1639; Yang, Yuekui/0000-0002-1630-272X; Zhou, Yaping/0000-0002-7812-851X; Zhai, Peng-Wang/0000-0003-4695-5200</t>
  </si>
  <si>
    <t>NASA (DSCOVR science algorithm)</t>
  </si>
  <si>
    <t>This research has been supported by NASA (DSCOVR science algorithm).</t>
  </si>
  <si>
    <t>10.5194/amt-13-1575-2020</t>
  </si>
  <si>
    <t>KY8RG</t>
  </si>
  <si>
    <t>WOS:000522843100003</t>
  </si>
  <si>
    <t>Zhu, JP; Zhang, H; Liang, ES; Yu, ZY; Yang, M; Zhou, JL; Cui, XQ; Du, FJ; Gong, XF; Gu, BZ; Hu, L; Jiang, P; Liu, HG; Li, XY; Li, ZY; Mould, J; Sun, TR; Suntzeff, NB; Tao, CL; Tian, QG; Uddin, SA; Wang, LF; Wang, SH; Wang, XF; Wei, P; Wright, D; Wittenmyer, RA; Xu, LZ; Yang, SH; Yuan, XY; Zhou, HY; Zhu, ZX; Lu, HK</t>
  </si>
  <si>
    <t>Zhu, Jiapeng; Zhang, Hui; Liang, En-Si; Yu, Zhouyi; Yang, Ming; Zhou, Ji-lin; Cui, Xiangqun; Du, Fujia; Gong, Xuefei; Gu, Bozhong; Hu, Lei; Jiang, Peng; Liu, Huigen; Li, Xiaoyan; Li, Zhengyang; Mould, Jeremy; Sun, Tianrui; Suntzeff, Nicholas B.; Tao, Charling; Tian, Qiguo; Uddin, Syed A.; Wang, Lifan; Wang, Songhu; Wang, Xiaofeng; Wei, Peng; Wright, Duncan; Wittenmyer, Robert A.; Xu, Lingzhe; Yang, Shihai; Yuan, Xiangyan; Zhou, Hongyan; Zhu, Zhenxi; Lu, Hongke</t>
  </si>
  <si>
    <t>Exoplanets in the Antarctic Sky. IV. Dual-band Photometry of Variables Found by the CSTAR-II Commissioning Survey at the North Sky</t>
  </si>
  <si>
    <t>Eclipsing binary stars; Pulsating variable stars; Surveys; Multi-color photometry</t>
  </si>
  <si>
    <t>RR LYRAE STARS; KEPLER PLANET CANDIDATES; POINT-SOURCE CATALOG; OGLE COLLECTION; 1ST RELEASE; DOME; ALGORITHM; PHASE; SITE</t>
  </si>
  <si>
    <t>From the experiences learned in three decades of exoplanet search, wide-field transit surveys have proven to be one of the most effective ways to detect exoplanets. Wide field of view, however, suffers from high false-positive rates caused by blended eclipsing binaries. The chromaticity in eclipse depth is an effective feature to distinguish low-depth eclipsing binaries from transiting exoplanets, making multiple-band photometry follow-up advantageous before a target is passed onto more expensive spectroscopic follow-up. Moreover, a multiple-band photometric survey is itself a powerful method to find and vet planetary candidates and narrow down the candidate list of high-priority targets. In this work, we report the first results of a dual-band (Sloan-g and -i) wide-field photometry survey-the Chinese Small Telescope ARray II (CSTAR-II), an updated version of the original CSTAR. As a key component of the Chinese Exoplanet Searching Program from Antarctica, CSTAR-II has been tested thoroughly at a remote arctic site near Mohe during the winter of 2014. In total, 13,531 light curves with the best overall photometric precision of similar to 3 mmag were extracted from 7721 stars in the Sloan-g and -i bands. Using a robust method, we have detected 63 variables, of which 48 are newly discovered. The dual-band photometric results as well as the stellar properties of the detected sources are provided in this work.</t>
  </si>
  <si>
    <t>[Zhu, Jiapeng; Zhang, Hui; Liang, En-Si; Yu, Zhouyi; Yang, Ming; Zhou, Ji-lin; Liu, Huigen; Wei, Peng] Nanjing Univ, Sch Astron &amp; Space Sci, Key Lab Modern Astron &amp; Astrophys, Minist Educ, Nanjing 210023, Jiangsu, Peoples R China; [Cui, Xiangqun; Du, Fujia; Gong, Xuefei; Gu, Bozhong; Li, Xiaoyan; Li, Zhengyang; Xu, Lingzhe; Yang, Shihai; Yuan, Xiangyan] Nanjing Inst Astron Opt &amp; Technol, Nanjing 210042, Peoples R China; [Cui, Xiangqun; Du, Fujia; Gong, Xuefei; Gu, Bozhong; Li, Xiaoyan; Li, Zhengyang; Wang, Lifan; Yang, Shihai; Yuan, Xiangyan; Zhu, Zhenxi] Chinese Ctr Antarctic Astron, Nanjing 210008, Peoples R China; [Hu, Lei; Sun, Tianrui; Wang, Lifan; Zhu, Zhenxi] Purple Mt Observ, Nanjing 210008, Peoples R China; [Jiang, Peng; Tian, Qiguo; Zhou, Hongyan] Polar Res Inst China, Shanghai 200136, Peoples R China; [Mould, Jeremy] Swinburne Univ Technol, Ctr Astrophys &amp; Supercomp, POB 218,Mail H29, Hawthorn, Vic 3122, Australia; [Mould, Jeremy] ARC Ctr Excellence All Sky Astrophys CAASTRO, Sydney, NSW, Australia; [Suntzeff, Nicholas B.; Wang, Lifan] Texas A&amp;M Univ, Dept Phys &amp; Astron, George P &amp; Cynthia Woods Mitchell Inst Fundamenta, 4242 TAMU, College Stn, TX 77843 USA; [Tao, Charling] Aix Marseille Univ, CPPM, CNRS IN2P3, Marseille, France; [Tao, Charling; Wang, Xiaofeng] Tsinghua Univ, Phys Dept, Beijing 100084, Peoples R China; [Tao, Charling; Wang, Xiaofeng] Tsinghua Univ, Tsinghua Ctr Astrophys THCA, Beijing 100084, Peoples R China; [Uddin, Syed A.] Observ Carnegie Inst Sci, 813 Santa Barbara St, Pasadena, CA 91101 USA; [Wang, Songhu] Yale Univ, Dept Astron, New Haven, CT 06511 USA; [Wright, Duncan; Wittenmyer, Robert A.] Univ Southern Queensland, Ctr Astrophys, West St, Toowoomba, Qld 4350, Australia; [Lu, Hongke] Beijing Natl Day Sch, Beijing 100039, Peoples R China</t>
  </si>
  <si>
    <t>Nanjing University; Chinese Academy of Sciences; Nanjing Institute of Astronomical Optics &amp; Technology, NAOC, CAS; Chinese Academy of Sciences; Nanjing Institute of Astronomical Optics &amp; Technology, NAOC, CAS; Purple Mountain Observatory, CAS; Polar Research Institute of China; Swinburne University of Technology; Texas A&amp;M University System; Texas A&amp;M University College Station; Aix-Marseille Universite; Centre National de la Recherche Scientifique (CNRS); CNRS - National Institute of Nuclear and Particle Physics (IN2P3); Tsinghua University; Tsinghua University; Carnegie Institution for Science; Yale University; University of Southern Queensland</t>
  </si>
  <si>
    <t>huizhang@nju.edu.cn; ensi.liang1990@gmail.com; zhoujl@nju.edu.cn</t>
  </si>
  <si>
    <t>Yang, Ming/GWV-1365-2022; Wright, Duncan J/D-4029-2011; Uddin, Syed A/C-1539-2018; wei, peng/IVH-1711-2023; Liu, Hui-Gen/HLQ-5128-2023; Yang, Shihai/J-1593-2012</t>
  </si>
  <si>
    <t>Yang, Ming/0000-0002-6926-2872; Wright, Duncan/0000-0001-7294-5386; Zhu, Jiapeng/0000-0002-8775-4387; Mould, Jeremy/0000-0003-3820-1740; Wang, Songhu/0000-0002-7846-6981; zhang, hui/0000-0003-3491-6394; Suntzeff, Nicholas/0000-0002-8102-181X</t>
  </si>
  <si>
    <t>Natural Science Foundation of China (NSFC) [11673011, 11333002, 11273019, 11933001]; National Basic Research Program (973 Program) of China [2013CB834900, 2013CB834904]; Chinese Polar Environment Comprehensive Investigation &amp; Assessment Program [CHINARE2016-02-03]; Australian Antarctic Division; Australian National Collaborative Research Infrastructure Strategy; Program A for Outstanding PhD candidates of Nanjing University</t>
  </si>
  <si>
    <t>Natural Science Foundation of China (NSFC)(National Natural Science Foundation of China (NSFC)); National Basic Research Program (973 Program) of China(National Basic Research Program of China); Chinese Polar Environment Comprehensive Investigation &amp; Assessment Program; Australian Antarctic Division; Australian National Collaborative Research Infrastructure Strategy(Australian GovernmentDepartment of Industry, Innovation and Science); Program A for Outstanding PhD candidates of Nanjing University</t>
  </si>
  <si>
    <t>This work is based on the support by the Natural Science Foundation of China (NSFC grants 11673011, 11333002, 11273019, and 11933001) and the National Basic Research Program (973 Program) of China (grant Nos. 2013CB834900 and 2013CB834904). We show our great appreciation to all the CHINAREs for their contribution of installing and maintaining CSTAR, CSTAR-II, AST3, and PLATO-A. This work is also supported by the Chinese Polar Environment Comprehensive Investigation &amp; Assessment Program (grant No. CHINARE2016-02-03), the Australian Antarctic Division, and the Australian National Collaborative Research Infrastructure Strategy administered by Astronomy Australia Limited. H.Z. is also grateful to the High Performance Computing Center (HPCC) of Nanjing University for reducing the data used in this paper. E.L. is also grateful for the support of Program A for Outstanding PhD candidates of Nanjing University.</t>
  </si>
  <si>
    <t>10.3847/1538-3881/ab7449</t>
  </si>
  <si>
    <t>KY3AG</t>
  </si>
  <si>
    <t>WOS:000522442800001</t>
  </si>
  <si>
    <t>Tyler, CJ; Lambert, R; Kumar, A; Stroud, MA; Cheung, SSS</t>
  </si>
  <si>
    <t>Tyler, Christopher James; Lambert, Robert; Kumar, Alexander; Stroud, Mike Adrian; Cheung, Stephen Sau-Shing</t>
  </si>
  <si>
    <t>Single-digit cold-induced vasodilation adaptations during an Antarctic expedition</t>
  </si>
  <si>
    <t>CIVD; Antarctica; Hunting-response; Cold exposure; Cold injury; Skin temperature</t>
  </si>
  <si>
    <t>BLOOD-FLOW; TEMPERATURE; FINGER; RESPONSES; HAND; BODY; MEN; ACCLIMATIZATION; TRAINABILITY; HYPOXIA</t>
  </si>
  <si>
    <t>An increasing number of people are spending time in Polar Regions for work and tourism and this can increase the risk of tissue injuries, e.g. frostbite. The risk would be reduced if beneficial peripheral blood flow adaptions occurred but data regarding the trainability of the cold-induced vasodilation (CIVD) response are equivocal. Five healthy males spent almost 8 months in Antarctica; five of them at a semi-permanent camp (- 44 degrees C; 2752 m). CIVD tests (30 min index finger immersion into 0 degrees C water) were performed on the 12th, 39-40th, 67-68th, 179th and 234th days of the expedition in a climate-controlled caboose. Heart rate (HR), thermal sensation of the finger, pain sensation, and mean arterial pressure (MAP) were recorded. Minimum, maximum, and mean finger temperature were greater, onset time was earlier (r = 0.34), and amplitude was greater (r = 0.55) on day 234 than day 12 suggesting that adaptation occurred. Time-point data suggested that the adaptations were progressive. Cardiovascular and perceptual data also showed some adaptation. MAP was lower on day 234 than day 12 (r = 0.47 and r = 0.47) but mean HR was higher (r = 0.55). Mean and peak thermal sensation (r = 0.31-0.59; r = 0.31) and perceived pain (r = 0.58; r = 0.36) both improved over the course of the expedition. Of interest to Polar Region visitors, beneficial peripheral and perceptual adaptations to prolonged Antarctic exposure can occur with 2 h of daily outdoor exposure although the rates at which adaptation occurs differ.</t>
  </si>
  <si>
    <t>[Tyler, Christopher James] Univ Roehampton, Dept Life Sci, London SW15 4JD, England; [Lambert, Robert] Royal Infirm Edinburgh NHS Trust, Dept Orthopaed Surg, Edinburgh EH16 4SA, Midlothian, Scotland; [Kumar, Alexander] Univ Fribourg, Dept Physiol, CH-1700 Fribourg, Switzerland; [Stroud, Mike Adrian] Southampton Univ Hosp Trust, Biomed Res Ctr Nutr, Natl Inst Hlth &amp; Res, Southampton S016 6YD, Hants, England; [Cheung, Stephen Sau-Shing] Brock Univ, Dept Kinesiol, St Catharines, ON, Canada</t>
  </si>
  <si>
    <t>Roehampton University; University of Edinburgh; Royal Infirmary of Edinburgh; University of Fribourg; University of Southampton; University Hospital Southampton NHS Foundation Trust; Brock University</t>
  </si>
  <si>
    <t>Tyler, CJ (corresponding author), Univ Roehampton, Dept Life Sci, London SW15 4JD, England.</t>
  </si>
  <si>
    <t>chris.tyler@roehampton.ac.uk; robbie_lambert@hotmail.com; dralexanderkumar@gmail.com; M.A.Stroud@soton.ac.uk; scheung@brocku.ca</t>
  </si>
  <si>
    <t>Cheung, Stephen/HGU-6191-2022</t>
  </si>
  <si>
    <t>Tyler, Christopher/0000-0002-3233-0771</t>
  </si>
  <si>
    <t>Canada Research Chair</t>
  </si>
  <si>
    <t>Canada Research Chair(Natural Resources CanadaCanadian Forest ServiceCanada Research Chairs)</t>
  </si>
  <si>
    <t>The authors would like to thank the participants for their time and Dr Geoffrey Hartley for his assistance with the equipment. None of the authors have any commercial interests or other conflicts of interest to declare nor did they receive any funding to assist with the preparation of this manuscript. S.S. Cheung is supported by a Canada Research Chair. The experiment outlined in this manuscript complies with the current laws of the United Kingdom and received full ethical approval. This study was conducted as part of The White Mars Project and The Coldest Journey expedition .</t>
  </si>
  <si>
    <t>10.1007/s00300-020-02659-6</t>
  </si>
  <si>
    <t>WOS:000522918600001</t>
  </si>
  <si>
    <t>Kovalevsky, DV; Bashmachnikov, IL; Alekseev, GV</t>
  </si>
  <si>
    <t>Kovalevsky, Dmitry, V; Bashmachnikov, Igor L.; Alekseev, Genrikh, V</t>
  </si>
  <si>
    <t>Formation and decay of a deep convective chimney</t>
  </si>
  <si>
    <t>OCEAN MODELLING</t>
  </si>
  <si>
    <t>Convection; Chimney; Baroclinic instability; Restratification</t>
  </si>
  <si>
    <t>OPEN-OCEAN CONVECTION; GREENLAND SEA; STRATIFIED CONVECTION; ROSSBY RADIUS; LABRADOR SEA; ARCTIC-OCEAN; WATER; VARIABILITY; MODEL; CIRCULATION</t>
  </si>
  <si>
    <t>Open-ocean deep convection (DC), forming a link between the upper and the deep ocean dynamics, is observed in a few localized sites of the World Ocean. In the present paper, we further develop an analytical model of isolated vertically homogenized water columns, up to a few kilometers deep, usually referred to as convective chimneys. We derive analytical solutions for evolution of a chimney during its deepening phase, as well as during its subsequent restratification phase. The initial deepening stage is considered to be primarily driven by the buoyancy loss at the sea surface, while the final deepening stage and the restratification phase are affected by a buoyancy transfer through the lateral surface of the chimney by baroclinic eddies. For the deepening phase, analytical solutions for evolution of the depth of a chimney are derived for a constant sea-surface buoyancy loss with or without synoptic perturbations, and for a case of the sea-surface buoyancy loss growing in time. For the restratification phase, time evolution of the chimney radius and an analytical expression for duration of this phase are obtained. The exact solutions and their asymptotic approximations are in good agreement with the scaling laws and with model studieaAls reported in earlier works. The theoretical results also agree with an evolution of a chimney in the Greenland Sea, derived from GLORYS high-resolution ocean reanalysis. For a given set of the background conditions, a chimney can be considered a mature one after two characteristic time scales of the deepening phase are reached. A mature chimney needs a longer time for its formation, but decays more rapidly than a pre-mature one. The minimum overall chimney lifetime corresponds to the case, when, at about one characteristic time scale of the deepening phase, the sea-surface buoyancy loss abruptly drops down and the restratification phase begins.</t>
  </si>
  <si>
    <t>[Kovalevsky, Dmitry, V] Helmholtz Zentrum Geesthacht, Climate Serv Ctr Germany GERICS, Fischertwiete 1, D-20095 Hamburg, Germany; [Bashmachnikov, Igor L.] St Petersburg State Univ, Dept Oceanog, Univ Skaya Emb 7-9, St Petersburg 199034, Russia; [Bashmachnikov, Igor L.] Nansen Int Environm &amp; Remote Sensing Ctr, 14th Line 7,Off 49, St Petersburg 199034, Russia; [Alekseev, Genrikh, V] Arctic &amp; Antarctic Res Inst, Ocean &amp; Atmosphere Interact Dept, Bering Str 38, St Petersburg 199397, Russia</t>
  </si>
  <si>
    <t>Helmholtz Association; Helmholtz-Zentrum Hereon; Saint Petersburg State University; Nansen Environmental &amp; Remote Sensing Center (NERSC); Arctic &amp; Antarctic Research Institute</t>
  </si>
  <si>
    <t>Kovalevsky, DV (corresponding author), Helmholtz Zentrum Geesthacht, Climate Serv Ctr Germany GERICS, Fischertwiete 1, D-20095 Hamburg, Germany.</t>
  </si>
  <si>
    <t>dmitrii.kovalevskii@hzg.de</t>
  </si>
  <si>
    <t>Kovalevsky, Dmitry/K-7994-2012; Bashmachnikov, Igor/B-2879-2012</t>
  </si>
  <si>
    <t>Kovalevsky, Dmitry/0000-0001-7331-1406; Bashmachnikov, Igor/0000-0002-1257-4197</t>
  </si>
  <si>
    <t>Russian Science Foundation (RSF) [17-17-01151]; Russian Science Foundation [17-17-01151] Funding Source: Russian Science Foundation</t>
  </si>
  <si>
    <t>Russian Science Foundation (RSF)(Russian Science Foundation (RSF)); Russian Science Foundation(Russian Science Foundation (RSF))</t>
  </si>
  <si>
    <t>The authors would like to thank Ola M. Johannessen, Leonid P. Bobylev and the anonymous reviewers for their valuable comments which improved the manuscript. The results of early stage of this research were partially presented at the Conference Polar Oceans and Marine Cryosphere'', 25-27 October 2007, Arctic and Antarctic Research Institute (AARI), St. Petersburg, Russia; stimulating feedback from the conference participants is gratefully acknowledged. I.L.B. is grateful to Russian Science Foundation (RSF), project No. 17-17-01151, for financial support.</t>
  </si>
  <si>
    <t>1463-5003</t>
  </si>
  <si>
    <t>1463-5011</t>
  </si>
  <si>
    <t>OCEAN MODEL</t>
  </si>
  <si>
    <t>Ocean Model.</t>
  </si>
  <si>
    <t>10.1016/j.ocemod.2020.101583</t>
  </si>
  <si>
    <t>KX4CG</t>
  </si>
  <si>
    <t>WOS:000521827200005</t>
  </si>
  <si>
    <t>Marchi, S; Fichefet, T; Goosse, H</t>
  </si>
  <si>
    <t>Marchi, Sylvain; Fichefet, Thierry; Goosse, Hugues</t>
  </si>
  <si>
    <t>Respective influences of perturbed atmospheric and ocean-sea ice initial conditions on the skill of seasonal Antarctic sea ice predictions: A study with NEMO3.6-LIM3</t>
  </si>
  <si>
    <t>Earth science; Cryosphere; Sea ice; Antarctic; Predictions; Initial conditions</t>
  </si>
  <si>
    <t>SURFACE TEMPERATURE ANOMALIES; PREDICTABILITY; IMPACT; MELT</t>
  </si>
  <si>
    <t>Dynamical climate models have been extensively used over the last decade to perform seasonal sea ice predictions in the context of ensemble forecasting. To date, the sensitivity to the initial conditions has received the most attention through the evaluation of the theoretical limit of Antarctic sea ice predictability imposed by the chaotic evolution of the climate system. The respective contributions of perturbed ocean-sea ice initial conditions and perturbed atmospheric boundary conditions to this predictability remains unevaluated, though. Using the coupled ocean-sea ice model NEMO3.6-LIM3, we developed a suitable framework for evaluating both influences on seasonal Antarctic sea ice predictions. This study reveals that the uncertainty associated with the evolution of the atmospheric conditions is a major limitation to the realization of skilful sea ice extent (SIE) predictions. However, it has a limited impact on sea ice volume (SIV) predictions. The discrepancies between the SIE and SIV predictabilities have been attributed to the presence of very thin ice, which accounts for much of the SIE variability in winter. We also demonstrated that an incorrect estimate of the ocean-sea ice initial conditions has a weaker, but not negligible influence. The time evolution of different plausible ocean-sea ice initial conditions under perfect knowledge of the atmospheric conditions suggest that the initial SIE errors cannot be totally reduced by the atmospheric forcing. They even increase during the melt season. The high persistence of the SIV anomalies is found to be responsible for this behaviour. These findings imply that a correct initialization of the sea ice thickness (SIT) might be more important than previously thought for seasonal Antarctic sea ice predictions, especially if one wants to predict the SIE during the melt season.</t>
  </si>
  <si>
    <t>[Marchi, Sylvain; Fichefet, Thierry; Goosse, Hugues] Catholic Univ Louvain, Georges Lemaitre Ctr Earth &amp; Climate Res, Earth &amp; Life Inst, Louvain La Neuve, Belgium</t>
  </si>
  <si>
    <t>Universite Catholique Louvain</t>
  </si>
  <si>
    <t>Marchi, S (corresponding author), Georges Lemaitre Ctr Earth &amp; Climate Res, Pl Louis Pasteur 3,Box L4-03-08, B-1348 Louvain La Neuve, Belgium.</t>
  </si>
  <si>
    <t>sylvain.marchi@uclouvain.be; thierry.fichefet@uclouvain.be; hugues.goosse@uclouvain.be</t>
  </si>
  <si>
    <t>Walloon Region, Belgium [1117545]</t>
  </si>
  <si>
    <t>Walloon Region, Belgium</t>
  </si>
  <si>
    <t>The present research benefited from computational resources made available on the Tier-1 supercomputer of the Federation Wallonie-Bruxelles, infrastructure funded by the Walloon Region, Belgium under the Grant Agreement No. 1117545.</t>
  </si>
  <si>
    <t>10.1016/j.ocemod.2020.101591</t>
  </si>
  <si>
    <t>WOS:000521827200004</t>
  </si>
  <si>
    <t>Feichtner, I</t>
  </si>
  <si>
    <t>Feichtner, Isabel</t>
  </si>
  <si>
    <t>Contractor liability for environmental damage resulting from deep seabed mining activities in the area</t>
  </si>
  <si>
    <t>The article focuses on contractor liability for environmental damage under the evolving international law of deep seabed mining. It clarifies that the UN Convention on the Law of the Sea (LOSC) provides not for strict liability, but responsibility for wrongful conduct and that the international law of deep seabed mining does not include a no-harm rule. The article contrasts the international law of deep seabed mining with the Convention on the Regulation of Antarctic Mineral Resource Activities which - unlike LOSC - did not seek to promote mining, prioritized ecosystem protection, prohibited mining in the absence of adequate information and provided for strict liability of operators. The article then examines the distinction between acceptable harm and inacceptable harm to the environment that constitutes damage. It sketches the obligations of contractors as set out in the mining code and indicates how the gap between responsibility for wrongful conduct and strict liability may be narrowed through far-reaching due diligence obligations. The article addresses 'liability gaps' and ways to fill them, including through mandatory insurance and the establishment of a trust fund. The article ends on a critical note, proposing that - given increasing knowledge about the harmful effects of deep seabed mining on ocean biodiversity - the social desirability of deep seabed mining should be re-assessed. A liability regime does not render an economic activity socially desirable. Rather it seeks to fairly distribute risks and responsibilities once a hazardous activity has been judged socially desirable despite its risks.</t>
  </si>
  <si>
    <t>[Feichtner, Isabel] Univ Wurzburg, Wurzburg, Germany</t>
  </si>
  <si>
    <t>University of Wurzburg</t>
  </si>
  <si>
    <t>Feichtner, I (corresponding author), Univ Wurzburg, Wurzburg, Germany.</t>
  </si>
  <si>
    <t>feichtner@jura.uni-wuerzburg.de</t>
  </si>
  <si>
    <t>10.1016/j.marpol.2019.04.006</t>
  </si>
  <si>
    <t>KW9NZ</t>
  </si>
  <si>
    <t>WOS:000521511700013</t>
  </si>
  <si>
    <t>Post, AL; O'Brien, PE; Edwards, S; Carroll, AG; Malakoff, K; Armand, LK</t>
  </si>
  <si>
    <t>Post, A. L.; O'Brien, P. E.; Edwards, S.; Carroll, A. G.; Malakoff, K.; Armand, L. K.</t>
  </si>
  <si>
    <t>Upper slope processes and seafloor ecosystems on the Sabrina continental slope, East Antarctica</t>
  </si>
  <si>
    <t>Continental margin morphology; Southern Ocean; Multibeam bathymetry; Benthic biota; Biodiversity</t>
  </si>
  <si>
    <t>PINE ISLAND BAY; LAST GLACIAL MAXIMUM; TROUGH-MOUTH FAN; ICE-SHEET; SEDIMENTARY PROCESSES; HABITAT HETEROGENEITY; AMUNDSEN SEA; DEEP-WATER; ROSS SEA; SHELF</t>
  </si>
  <si>
    <t>This study applies detailed seafloor bathymetry data and seafloor images to understand upper slope features and how these influence the distribution of seafloor biota on the East Antarctic margin. The East Antarctic slope on the Sabrina margin has been shaped by diverse processes related to repeated glaciation. Differences in the morphology of gullies on the upper slope enable an understanding of the likely processes that have been active on this margin. Gully morphology varies according to changes in slope gradient, which may have driven variations in sedimentation. Areas of lower slope angles may have led to rapid sediment deposition during glacial expansion to the shelf edge, and subsequent sediment failure. Typically, gullies in these areas are U-shaped, initiate well below the shelf break, are relatively straight and long, and have low incision depths, consistent with formation due to mass wastage. Areas of higher slope angles likely experienced enhanced flow of erosive turbidity currents during glaciations associated with the release of sediment-laden basal meltwaters. Sedimentladen subglacial meltwater flows typically create gullies such as those we observe that initiate at, or near, the shelf break; are V-shaped in profile; and have high sinuosity, deep incision depths and a relatively short downslope extent. The short downslope extent reflects a reduced sediment load associated with increased sea-water entrainment as the slope becomes more concave in profile. These differences in gully morphology have important habitat implications associated with differences in the composition and beta-diversity of the seafloor communities. This upper slope region also supports seafloor communities that are distinct from those on the adjacent shelf, highlighting the uniqueness of this environment for biodiversity. Conservation strategies therefore need to consider slope and shelf communities as distinct and equally important components of the Antarctic ecosystem.</t>
  </si>
  <si>
    <t>[Post, A. L.; Carroll, A. G.] Geosci Australia, GPO Box 378, Canberra, ACT 2601, Australia; [O'Brien, P. E.] Macquarie Univ, Dept Environm Sci, Sydney, NSW 2109, Australia; [Edwards, S.; Malakoff, K.] CSIRO, Marine Natl Facil, Battery Point, Tas 7004, Australia; [Armand, L. K.] Australian Natl Univ, Res Sch Earth Sci, Acton, ACT 2601, Australia</t>
  </si>
  <si>
    <t>Geoscience Australia; Macquarie University; Commonwealth Scientific &amp; Industrial Research Organisation (CSIRO); Australian National University</t>
  </si>
  <si>
    <t>Post, AL (corresponding author), Geosci Australia, GPO Box 378, Canberra, ACT 2601, Australia.</t>
  </si>
  <si>
    <t>alix.post@ga.gov.au</t>
  </si>
  <si>
    <t>Armand, Leanne K/C-9004-2009</t>
  </si>
  <si>
    <t>Carroll, Andrew/0000-0003-0111-9129; Malakoff, Karl/0000-0003-2723-4491; Armand, Leanne/0000-0003-3995-308X</t>
  </si>
  <si>
    <t>Australian Government's Australian Antarctic Science Grant Program (AAS) [4333]</t>
  </si>
  <si>
    <t>Australian Government's Australian Antarctic Science Grant Program (AAS)</t>
  </si>
  <si>
    <t>We thank the Marine National Facility (MNF), the IN2017-V01 scientific party, MNF support staff and ASP crew members led by Capt. M. Watson for their help and support on board the RV Investigator. In particular, we thank Rod Palmer and Nicole Morgan for assistance with the deployment of the Deep Tow camera, Tara Martin for assistance with multibeam bathymetry acquisition and processing and Doug Thost for his support as voyage manager. We also thank Jacob Martin for assistance mapping gullies and Alistair Deane for assistance with image analysis. Ari Friedmann is thanked for his assistance in setting up the images for analysis in Squidle + and Adam Smith for assistance with statistical analyses in PRIMER 7. We thank Rachel Przeslawski, Nadege Rollet, Amy Leventer, Sergio Rossi and an anonymous reviewer for constructive reviews of an earlier version of this manuscript. All data and samples acquired on the voyage are made publicly available in accordance with MNF Policy and are available via the Australian Antarctic Data Centre or the MNF website. This project is supported through funding from the Australian Government's Australian Antarctic Science Grant Program (AAS #4333). ALP and AGC publish with the permission of the Chief Executive Officer, Geoscience Australia.</t>
  </si>
  <si>
    <t>10.1016/j.margeo.2019.106091</t>
  </si>
  <si>
    <t>KW1OB</t>
  </si>
  <si>
    <t>WOS:000520939700001</t>
  </si>
  <si>
    <t>Lacey, J; Corbett, J; Shepherd, A; Dubois, A; Hughes, F; White, D; Tipton, M; Mythen, M; Montgomery, H</t>
  </si>
  <si>
    <t>Lacey, Jonathan; Corbett, Jo; Shepherd, Ant; Dubois, Andre; Hughes, Fintan; White, Danny; Tipton, Mike; Mythen, Michael; Montgomery, Hugh</t>
  </si>
  <si>
    <t>Thirst-guided participant-controlled intravenous fluid rehydration: a single blind, randomised crossover study</t>
  </si>
  <si>
    <t>BRITISH JOURNAL OF ANAESTHESIA</t>
  </si>
  <si>
    <t>body water; dehydration; fluid therapy; osmolar concentration; patient-controlled; surgery; thirst; trauma</t>
  </si>
  <si>
    <t>CALCULATING CORRELATION-COEFFICIENTS; RENAL-FAILURE; DEHYDRATION; HYPERNATREMIA; MANAGEMENT; HYDRATION; RISK</t>
  </si>
  <si>
    <t>Background: Dehydration is common in hospitals and is associated with increased mortality and morbidity. Clinical assessment and diagnostic measures of dehydration are unreliable. We sought to investigate the novel concept that individuals might control their own intravenous rehydration, guided by thirst. Methods: We performed a single-blind, counterbalanced, randomised cross-over trial. Ten healthy male volunteers of mean age 26 (standard deviation [sp] 10.5) yr were dehydrated by 3-5% of their baseline body mass via exercising in the heat (35 degrees C, 60% humidity). This was followed by a 4 h participant-controlled intravenous rehydration: individuals triggered up to six fluid boluses (4% dextrose in 0.18% sodium chloride) per hour in response to thirst. Participants undertook two blinded rehydration protocols which differed only by bolus volume: 50 ml (low volume [LV]) or 200 ml (high volume [HV]). Each hour during the rehydration phase, plasma osmolality (pOsm) was measured and thirst score recorded. Nude body mass was measured at baseline, after dehydration, and after the rehydration phase. Results: In both conditions, the mean dehydration-related body mass loss was 3.9%. Thirst score was strongly associated with pOsm (within-subject r=0.74) and demand for fluid decreased as pOsm corrected. In the HV condition, participants rapidly rehydrated themselves (mean fluid delivered 3060 vs 981 ml in the LV condition) to body mass and pOsm no different to their euhydrated state. Conclusion: Healthy individuals appear able to rely on thirst to manage intravenous fluid intake. Future work must now focus on whether patient-controlled intravenous fluids could represent a paradigm shift in the management of hydration in the clinical setting.</t>
  </si>
  <si>
    <t>[Lacey, Jonathan; Hughes, Fintan; Mythen, Michael; Montgomery, Hugh] UCL, Inst Sport Exercise &amp; Hlth, London, England; [Lacey, Jonathan] St Georges Hosp NHS Trust, London, England; [Corbett, Jo; Shepherd, Ant; White, Danny; Tipton, Mike] Univ Portsmouth, Dept Sport &amp; Exercise Sci, Portsmouth, Hants, England; [Dubois, Andre] Univ Hosp Plymouth NHS Trust, British Antarctic Survey, Med Unit, Plymouth, Devon, England</t>
  </si>
  <si>
    <t>University of London; University College London; St Georges University London; University of Portsmouth; UK Research &amp; Innovation (UKRI); Natural Environment Research Council (NERC); NERC British Antarctic Survey</t>
  </si>
  <si>
    <t>Lacey, J (corresponding author), UCL, Inst Sport Exercise &amp; Hlth, London, England.;Lacey, J (corresponding author), St Georges Hosp NHS Trust, London, England.</t>
  </si>
  <si>
    <t>jonathan.lacey.16@ucl.ac.uk</t>
  </si>
  <si>
    <t>Montgomery, Hugh/L-1229-2019; Montgomery, Hugh/C-2592-2008</t>
  </si>
  <si>
    <t>Tipton, Michael/0000-0002-7928-8451; Montgomery, Hugh/0000-0001-8797-5019; Shepherd, Anthony/0000-0001-6392-7944</t>
  </si>
  <si>
    <t>Smiths Medical Endowed Chair at University College London; UK National Institute for Health Research's Comprehensive Biomedical Research Centre at University College London Hospitals</t>
  </si>
  <si>
    <t>Financial contributions from Smiths Medical Endowed Chair at University College London. No specific funding supported this work. HM is supported by the UK National Institute for Health Research's Comprehensive Biomedical Research Centre at University College London Hospitals.</t>
  </si>
  <si>
    <t>0007-0912</t>
  </si>
  <si>
    <t>1471-6771</t>
  </si>
  <si>
    <t>BRIT J ANAESTH</t>
  </si>
  <si>
    <t>Br. J. Anaesth.</t>
  </si>
  <si>
    <t>10.1016/j.bja.2019.12.008</t>
  </si>
  <si>
    <t>Anesthesiology</t>
  </si>
  <si>
    <t>KU8UG</t>
  </si>
  <si>
    <t>WOS:000519986700015</t>
  </si>
  <si>
    <t>Momberg, M; le Roux, PC</t>
  </si>
  <si>
    <t>Momberg, Mia; le Roux, Peter C.</t>
  </si>
  <si>
    <t>Testing for consistency in ecosystem engineering: Do cushion plants always turn up the heat?</t>
  </si>
  <si>
    <t>ACTA OECOLOGICA-INTERNATIONAL JOURNAL OF ECOLOGY</t>
  </si>
  <si>
    <t>Abiotic effects; Cushion plant; Ecosystem engineering; Temperature</t>
  </si>
  <si>
    <t>NURSE PLANTS; HIGH ANDES; VEGETATION; DIVERSITY; FACILITATION; IMPACTS; SOIL</t>
  </si>
  <si>
    <t>Ecosystem engineers influence community structure and functioning by altering habitat and resource availability. However, few studies have assessed how consistent ecosystem engineers' impacts are on abiotic habitat conditions and/or community characteristics, either across species or between habitats. Here we test for the consistency of ecosystem engineering across, and within, cushion-forming plant species, a group of ecosystem engineers that are dominant in polar and alpine environments, by reviewing studies that document their effects on temperature. We find inconsistent effects, with cushion plants having contrasting impacts on temperatures in different studies. Even after limiting analyses to a single cushion plant morphology type or to just a single species, impacts on temperature were still inconsistent between studies. Therefore, while cushion plants have relatively consistent impacts on plant communities (e.g. increasing local species richness), their impact on temperature may not be the overarching abiotic mechanism driving this ecological effect. These results, therefore, highlight the need to explicitly test if ecosystem engineers' biotic and abiotic impacts are consistent through space and time, and emphasize the importance of understanding context-dependence in the outcome of biotic interactions.</t>
  </si>
  <si>
    <t>[Momberg, Mia; le Roux, Peter C.] Univ Pretoria, Dept Plant &amp; Soil Sci, ZA-0002 Pretoria, South Africa</t>
  </si>
  <si>
    <t>University of Pretoria</t>
  </si>
  <si>
    <t>Momberg, M (corresponding author), Univ Pretoria, Dept Plant &amp; Soil Sci, ZA-0002 Pretoria, South Africa.</t>
  </si>
  <si>
    <t>miamomberg@gmail.com</t>
  </si>
  <si>
    <t>le Roux, Peter Christiaan/E-7784-2011; Momberg, Mia/ABB-8770-2021</t>
  </si>
  <si>
    <t>le Roux, Peter Christiaan/0000-0002-7941-7444; Momberg, Mia/0000-0002-8901-9271</t>
  </si>
  <si>
    <t>South African National Antarctic Programme of the South African National Research Foundation [110726]</t>
  </si>
  <si>
    <t>South African National Antarctic Programme of the South African National Research Foundation</t>
  </si>
  <si>
    <t>We thank Stephni van der Merwe, Natalie Haussmann and two reviewers for helpful suggestions on earlier versions of this manuscript. We thank the South African National Antarctic Programme of the South African National Research Foundation for funding (unique grant 110726).</t>
  </si>
  <si>
    <t>1146-609X</t>
  </si>
  <si>
    <t>1873-6238</t>
  </si>
  <si>
    <t>ACTA OECOL</t>
  </si>
  <si>
    <t>Acta Oecol.-Int. J. Ecol.</t>
  </si>
  <si>
    <t>10.1016/j.actao.2020.103532</t>
  </si>
  <si>
    <t>KZ9TH</t>
  </si>
  <si>
    <t>WOS:000523601200002</t>
  </si>
  <si>
    <t>Shoemaker, IM; Kusenko, A; Munneke, PK; Romero-Wolf, A; Schroeder, DM; Siegert, MJ</t>
  </si>
  <si>
    <t>Shoemaker, Ian M.; Kusenko, Alexander; Kuipers Munneke, Peter; Romero-Wolf, Andrew; Schroeder, Dustin M.; Siegert, Martin J.</t>
  </si>
  <si>
    <t>Reflections on the anomalous ANITA events: the Antarctic subsurface as a possible explanation</t>
  </si>
  <si>
    <t>Antarctic glaciology; Ice physics; Snow physics</t>
  </si>
  <si>
    <t>LAKE VOSTOK; X-RAY; ICE; RADAR; PHASE; FIRN; LAYERS; MODEL; SNOW; WIDE</t>
  </si>
  <si>
    <t>The Antarctic Impulsive Transient Antenna (ANITA) balloon experiment was designed to detect radio signals initiated by high-energy neutrinos and cosmic ray (CR) air showers. These signals are typically discriminated by the polarization and phase inversions of the radio signal. The reflected signal from CRs suffer phase inversion compared to a direct 'tau neutrino' event. In this paper, we study subsurface reflection, which can occur without phase inversion, in the context of the two anomalous up-going events reported by ANITA. It is found that subsurface layers and firn density inversions may plausibly account for the events, while ice fabric layers and wind ablation crusts could also play a role. This hypothesis can be tested with radar surveying of the Antarctic region in the vicinity of the anomalous ANITA events. Future experiments should not use phase inversion as a sole criterion to discriminate between down-going and up-going events, unless the subsurface reflection properties are well understood.</t>
  </si>
  <si>
    <t>[Shoemaker, Ian M.] Virginia Tech, Dept Phys, Ctr Neutrino Phys, Blacksburg, VA 24061 USA; [Kusenko, Alexander] Univ Calif Los Angeles, Dept Phys &amp; Astron, Los Angeles, CA 90095 USA; [Kusenko, Alexander] Univ Tokyo, UTIAS, Kavli Inst Phys &amp; Math Universe WPI, Kashiwa, Chiba 2778583, Japan; [Kuipers Munneke, Peter] Univ Utrecht, Inst Marine &amp; Atmospher Res, Utrecht, Netherlands; [Romero-Wolf, Andrew] CALTECH, Jet Prop Lab, 4800 Oak Grove Dr, Pasadena, CA 91109 USA; [Schroeder, Dustin M.] Stanford Univ, Dept Geophys, Stanford, CA 94305 USA; [Schroeder, Dustin M.] Stanford Univ, Dept Elect Engn, Stanford, CA 94305 USA; [Siegert, Martin J.] Imperial Coll London, Grantham Inst, London SW7 2AZ, England; [Siegert, Martin J.] Imperial Coll London, Dept Earth Sci &amp; Engn, London SW7 2AZ, England</t>
  </si>
  <si>
    <t>Virginia Polytechnic Institute &amp; State University; University of California System; University of California Los Angeles; University of Tokyo; Utrecht University; California Institute of Technology; National Aeronautics &amp; Space Administration (NASA); NASA Jet Propulsion Laboratory (JPL); Stanford University; Stanford University; Imperial College London; Imperial College London</t>
  </si>
  <si>
    <t>Shoemaker, IM (corresponding author), Virginia Tech, Dept Phys, Ctr Neutrino Phys, Blacksburg, VA 24061 USA.</t>
  </si>
  <si>
    <t>shoemaker@vt.edu</t>
  </si>
  <si>
    <t>Siegert, Martin/M-9939-2019</t>
  </si>
  <si>
    <t>Siegert, Martin/0000-0002-0090-4806; Kusenko, Alexander/0000-0002-8619-1260; Schroeder, Dustin/0000-0003-1916-3929; Shoemaker, Ian/0000-0001-5434-3744; Romero-Wolf, Andrew/0000-0002-4992-4162</t>
  </si>
  <si>
    <t>US Department of Energy [DE-SC0020250, DE-SC0009937]; World Premier International Research Center Initiative (WPI), MEXT, Japan; Netherlands Earth System Science Centre (NESSC); U.S. Department of Energy (DOE) [DE-SC0020250] Funding Source: U.S. Department of Energy (DOE)</t>
  </si>
  <si>
    <t>US Department of Energy(United States Department of Energy (DOE)); World Premier International Research Center Initiative (WPI), MEXT, Japan(Ministry of Education, Culture, Sports, Science and Technology, Japan (MEXT)); Netherlands Earth System Science Centre (NESSC); U.S. Department of Energy (DOE)(United States Department of Energy (DOE))</t>
  </si>
  <si>
    <t>We thank the useful feedback from our anonymous reviewers and our Scientific Editor Olaf Eisen. We are very grateful to Thomas Laepple for providing the B41 ice core data from Ref. (Laepple and others, 2016). Furthermore, we acknowledge helpful discussions with Kumiko Azuma, Dmitry Chirkin, Francis Halzen, Stefan Ligtenberg, Henning Loewe and David Saltzberg. The work of I.M.S. is supported by the US Department of Energy under the award number DE-SC0020250. The work of A.K. was supported by the US Department of Energy Grant No. DE-SC0009937, and by the World Premier International Research Center Initiative (WPI), MEXT, Japan. Part of this work was carried out at the Jet Propulsion Laboratory, California Institute of Technology, under a contract with the National Aeronautics and Space Administration. P.K.M. is supported by the Netherlands Earth System Science Centre (NESSC).</t>
  </si>
  <si>
    <t>PII S0260305520000191</t>
  </si>
  <si>
    <t>10.1017/aog.2020.19</t>
  </si>
  <si>
    <t>WOS:000565350800010</t>
  </si>
  <si>
    <t>Tucker, NM; Hand, M; Clark, C</t>
  </si>
  <si>
    <t>Tucker, Naomi M.; Hand, Martin; Clark, Chris</t>
  </si>
  <si>
    <t>The Bunger Hills: 60 years of geological and geophysical research</t>
  </si>
  <si>
    <t>Bunger Hills; East Antarctica; Gondwana; Musgrave-Albany-Fraser-Wilkes Orogen; Rodinia</t>
  </si>
  <si>
    <t>ALBANY-FRASER OROGEN; OFFSHORE WESTERN-AUSTRALIA; PRINCE-CHARLES MOUNTAINS; MALANI IGNEOUS SUITE; U-PB GEOCHRONOLOGY; EAST ANTARCTICA; CRUSTAL EVOLUTION; WINDMILL ISLANDS; MONAZITE GROWTH; AGED REWORKING</t>
  </si>
  <si>
    <t>Correlation of Rodinian and Gondwanan crustal domains relies on a thorough knowledge of those vestiges preserved today. The Bunger Hills hold a critical place in East Antarctica, recording the Mesoproterozoic assembly of Australo-Antarctica in Rodinia and the Neoproterozoic-Cambrian amalgamation of Indo- and Australo-Antarctica in Gondwana. It is situated in a region of disputed overlap between the different components of Rodinia and Gondwana, where there is little consensus on the location of sutures in this region and thus often speculative geological interpretations. The Bunger Hills therefore provide an opportunity to better understand the tectonic setting and palaeogeography during the assembly of these supercontinents. Recent work has confirmed that the Bunger Hills are one of few rare outcrops in Wilkes Land, East Antarctica that can be directly correlated with the broader Musgrave-Albany-Fraser-Wilkes Orogen (MAFWO). Whilst other constituent terranes of the MAFWO have been intensely studied, our geological knowledge of the Bunger Hills was comparatively limited until recently. In light of recent geological and geophysical developments, this contribution serves as an updated and concise standalone reference for the present state of knowledge of the Neoarchean-Cambrian evolution of the Bunger Hills region.</t>
  </si>
  <si>
    <t>[Tucker, Naomi M.] Univ Western Australia, Sch Earth Sci, Perth, WA 6009, Australia; [Hand, Martin] Univ Adelaide, Dept Earth Sci, Adelaide, SA 5000, Australia; [Clark, Chris] Curtin Univ, Dept Appl Geol, Perth, WA 6102, Australia</t>
  </si>
  <si>
    <t>University of Western Australia; University of Adelaide; Curtin University</t>
  </si>
  <si>
    <t>Tucker, NM (corresponding author), Univ Western Australia, Sch Earth Sci, Perth, WA 6009, Australia.</t>
  </si>
  <si>
    <t>naomi.tucker@uwa.edu.au</t>
  </si>
  <si>
    <t>; Clark, Chris/B-6471-2008</t>
  </si>
  <si>
    <t>hand, martin/0000-0003-3743-9706; Clark, Chris/0000-0001-9982-7849; Tucker, Naomi/0000-0002-6795-0903</t>
  </si>
  <si>
    <t>Australian Antarctic Division [4191]</t>
  </si>
  <si>
    <t>The authors wish to acknowledge support from the Australian Antarctic Division (Project 4191) for undertaking fieldwork in the Bunger Hills in the Australian-Antarctic 2014-2015 summer season. A. Maritati and an anonymous reviewer are thanked for their constructive and insightful suggestions and comments on the manuscript. A. Maritati is also thanked for providing a spatial dataset for constructing Fig. 1.</t>
  </si>
  <si>
    <t>PII S0954102019000403</t>
  </si>
  <si>
    <t>10.1017/S0954102019000403</t>
  </si>
  <si>
    <t>WOS:000516643200003</t>
  </si>
  <si>
    <t>Gore, DB; Leishman, MR</t>
  </si>
  <si>
    <t>Gore, Damian B.; Leishman, Michelle R.</t>
  </si>
  <si>
    <t>Tafoni show postglacial and modern wind azimuths that are similar at Bunger Hills</t>
  </si>
  <si>
    <t>biogeography; erosion; Holocene; palaeowind; sea salt</t>
  </si>
  <si>
    <t>NORTHERN VICTORIA LAND; CRYOTIC ENVIRONMENT; EAST ANTARCTICA; VESTFOLD-HILLS; ICE-SHEET; COLONIZATION; DEGLACIATION; ORIGIN; LAKE</t>
  </si>
  <si>
    <t>The directions of strong winds are important for the distribution of marine salt spray, rock weathering, lake chemistry and the distribution of vegetation in Bunger Hills, a coastal ice-free oasis in East Antarctica. Present-day strong winds (&gt; 10 m s(-1)) dominantly blow from 118 +/- 21 degrees true (degrees T; +/- 1 SD). Orientated tafoni (weathering pits) might form in bedrock surfaces by salt and ice crystallization, thermal stress and saltating sand particles, recording the orientation of a strongly directional wind field since the last deglaciation, which commenced &gt; 30 000 years ago. The orientations of these tafoni, at 101 +/- 18 degrees T for 686 measurements at 28 sites, are indistinguishable from the direction of modern-day strong winds (&gt; 10 m s(-1)), indicating that the orientation of the slope of the ice sheet has been stable throughout the last 10 000 years during the Holocene.</t>
  </si>
  <si>
    <t>[Gore, Damian B.] Macquarie Univ, Dept Earth &amp; Environm Sci, N Ryde, NSW 2109, Australia; [Leishman, Michelle R.] Macquarie Univ, Dept Biol Sci, N Ryde, NSW 2109, Australia</t>
  </si>
  <si>
    <t>Macquarie University; Macquarie University</t>
  </si>
  <si>
    <t>Gore, DB (corresponding author), Macquarie Univ, Dept Earth &amp; Environm Sci, N Ryde, NSW 2109, Australia.</t>
  </si>
  <si>
    <t>damian.gore@mq.edu.au</t>
  </si>
  <si>
    <t>Leishman, Michelle/AAU-4102-2020</t>
  </si>
  <si>
    <t>Leishman, Michelle/0000-0003-4830-5797</t>
  </si>
  <si>
    <t>[AAS 926]</t>
  </si>
  <si>
    <t>We thank the Australian Antarctic Division for logistical and financial support under grant AAS 926. We thank the Australian Antarctic Division and Australian Bureau of Meteorology for supply of and permission to use weather data, and we thank Sonja Berg, Martin Melles and Bernd Wagner for discussions on the diatoms of the Algae Lake cores. We thank Dan Zwartz for discussions on circular statistics, Mike Ashelford for help drafting Fig. 1, Michael Rampe for 3D scanning the specimens in Fig. 3 and John Pickard, David Hedding and Jeronimo Lopez-Martinez for helpful comments on the manuscript.</t>
  </si>
  <si>
    <t>PII S095410201900035X</t>
  </si>
  <si>
    <t>10.1017/S095410201900035X</t>
  </si>
  <si>
    <t>WOS:000516643200005</t>
  </si>
  <si>
    <t>Chatzidimitriou, E; Bisaccia, P; Corrà, F; Bonato, M; Irato, P; Manuto, L; Toppo, S; Bakiu, R; Santovito, G</t>
  </si>
  <si>
    <t>Chatzidimitriou, Evangelia; Bisaccia, Paola; Corra, Francesca; Bonato, Marco; Irato, Paola; Manuto, Laura; Toppo, Stefano; Bakiu, Rigers; Santovito, Gianfranco</t>
  </si>
  <si>
    <t>Copper/Zinc Superoxide Dismutase from the Crocodile Icefish Chionodraco hamatus: Antioxidant Defense at Constant Sub-Zero Temperature</t>
  </si>
  <si>
    <t>ANTIOXIDANTS</t>
  </si>
  <si>
    <t>Antarctica; Chionodraco hamatus; cold adaptation; gene expression; molecular evolution; protein purification; superoxide dismutase; teleosts</t>
  </si>
  <si>
    <t>MOLECULAR CHARACTERIZATION; GENE-EXPRESSION; ANTARCTIC FISH; TETRAHYMENA-THERMOPHILA; GLUTATHIONE-PEROXIDASE; METALLOTHIONEIN GENE; POLYACRYLAMIDE-GEL; LIPID-CONTENT; EVOLUTION; SEQUENCE</t>
  </si>
  <si>
    <t>In the present study, we describe the purification and molecular characterization of Cu,Zn superoxide dismutase (SOD) from Chionodraco hamatus, an Antarctic teleost widely distributed in many areas of the Ross Sea that plays a pivotal role in the Antarctic food chain. The primary sequence was obtained using biochemical and molecular biology approaches and compared with Cu,Zn SODs from other organisms. Multiple sequence alignment using the amino acid sequence revealed that Cu,Zn SOD showed considerable sequence similarity with its orthologues from various vertebrate species, but also some specific substitutions directly linked to cold adaptation. Phylogenetic analyses presented the monophyletic status of Antartic Teleostei among the Perciformes, confirming the erratic differentiation of these proteins and concurring with the theory of the unclock-like behavior of Cu,Zn SOD evolution. Expression of C. hamatus Cu,Zn SOD at both the mRNA and protein levels were analyzed in various tissues, highlighting the regulation of gene expression related to environmental stress conditions and also animal physiology. The data presented are the first on the antioxidant enzymes of a fish belonging to the Channichthyidae family and represent an important starting point in understanding the antioxidant systems of these organisms that are subject to constant risk of oxidative stress.</t>
  </si>
  <si>
    <t>[Chatzidimitriou, Evangelia] ZHAW Zurich Univ Appl Sci, Inst Nat Resource Sci, CH-8820 Wadenswil, Switzerland; [Bisaccia, Paola; Corra, Francesca; Bonato, Marco; Irato, Paola; Santovito, Gianfranco] Univ Padua, Dept Biol, I-35131 Padua, Italy; [Manuto, Laura; Toppo, Stefano] Univ Padua, Dept Mol Med, I-35131 Padua, Italy; [Toppo, Stefano] Univ Padua, CRIBI Biotech Ctr, I-35131 Padua, Italy; [Bakiu, Rigers] Agr Univ Tirana, Dept Aquaculture &amp; Fisheries, Tirana 1000, Albania</t>
  </si>
  <si>
    <t>Zurich University of Applied Sciences; University of Padua; University of Padua; University of Padua</t>
  </si>
  <si>
    <t>Santovito, G (corresponding author), Univ Padua, Dept Biol, I-35131 Padua, Italy.</t>
  </si>
  <si>
    <t>evangelia.chatzidimitriou@zhaw.ch; paola.bisaccia@studenti.unipd.it; francesca.corra@unipd.it; marco.bonato@unipd.it; paola.irato@unipd.it; laura.manuto@studenti.unipd.it; stefano.toppo@unipd.it; bakiurigers@gmail.com; gianfranco.santovito@unipd.it</t>
  </si>
  <si>
    <t>Bakiu, Rigers/AFC-7827-2022; Santovito, Gianfranco/ABB-9484-2021</t>
  </si>
  <si>
    <t>Bakiu, Rigers/0000-0002-9613-4606; Santovito, Gianfranco/0000-0001-8260-7006; IRATO, PAOLA/0000-0002-8066-0775</t>
  </si>
  <si>
    <t>Italian National Program for Antarctic Research (PNRA)</t>
  </si>
  <si>
    <t>This research received no external funding. This research was supported by the Italian National Program for Antarctic Research (PNRA).</t>
  </si>
  <si>
    <t>2076-3921</t>
  </si>
  <si>
    <t>ANTIOXIDANTS-BASEL</t>
  </si>
  <si>
    <t>Antioxidants</t>
  </si>
  <si>
    <t>10.3390/antiox9040325</t>
  </si>
  <si>
    <t>Biochemistry &amp; Molecular Biology; Chemistry, Medicinal; Food Science &amp; Technology</t>
  </si>
  <si>
    <t>Biochemistry &amp; Molecular Biology; Pharmacology &amp; Pharmacy; Food Science &amp; Technology</t>
  </si>
  <si>
    <t>LT3HG</t>
  </si>
  <si>
    <t>WOS:000536961200023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</si>
</sst>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75</v>
      </c>
      <c r="AH2">
        <v>85</v>
      </c>
      <c r="AI2">
        <v>88</v>
      </c>
      <c r="AJ2">
        <v>17</v>
      </c>
      <c r="AK2">
        <v>96</v>
      </c>
      <c r="AL2" t="s">
        <v>92</v>
      </c>
      <c r="AM2" t="s">
        <v>93</v>
      </c>
      <c r="AN2" t="s">
        <v>94</v>
      </c>
      <c r="AO2" t="s">
        <v>95</v>
      </c>
      <c r="AP2" t="s">
        <v>96</v>
      </c>
      <c r="AQ2" t="s">
        <v>74</v>
      </c>
      <c r="AR2" t="s">
        <v>97</v>
      </c>
      <c r="AS2" t="s">
        <v>98</v>
      </c>
      <c r="AT2" t="s">
        <v>99</v>
      </c>
      <c r="AU2">
        <v>2020</v>
      </c>
      <c r="AV2">
        <v>141</v>
      </c>
      <c r="AW2" t="s">
        <v>74</v>
      </c>
      <c r="AX2" t="s">
        <v>74</v>
      </c>
      <c r="AY2" t="s">
        <v>74</v>
      </c>
      <c r="AZ2" t="s">
        <v>74</v>
      </c>
      <c r="BA2" t="s">
        <v>74</v>
      </c>
      <c r="BB2" t="s">
        <v>74</v>
      </c>
      <c r="BC2" t="s">
        <v>74</v>
      </c>
      <c r="BD2">
        <v>105801</v>
      </c>
      <c r="BE2" t="s">
        <v>100</v>
      </c>
      <c r="BF2" t="str">
        <f>HYPERLINK("http://dx.doi.org/10.1016/j.envint.2020.105801","http://dx.doi.org/10.1016/j.envint.2020.105801")</f>
        <v>http://dx.doi.org/10.1016/j.envint.2020.105801</v>
      </c>
      <c r="BG2" t="s">
        <v>74</v>
      </c>
      <c r="BH2" t="s">
        <v>74</v>
      </c>
      <c r="BI2">
        <v>11</v>
      </c>
      <c r="BJ2" t="s">
        <v>101</v>
      </c>
      <c r="BK2" t="s">
        <v>102</v>
      </c>
      <c r="BL2" t="s">
        <v>103</v>
      </c>
      <c r="BM2" t="s">
        <v>104</v>
      </c>
      <c r="BN2">
        <v>32480141</v>
      </c>
      <c r="BO2" t="s">
        <v>105</v>
      </c>
      <c r="BP2" t="s">
        <v>74</v>
      </c>
      <c r="BQ2" t="s">
        <v>74</v>
      </c>
      <c r="BR2" t="s">
        <v>106</v>
      </c>
      <c r="BS2" t="s">
        <v>107</v>
      </c>
      <c r="BT2" t="str">
        <f>HYPERLINK("https%3A%2F%2Fwww.webofscience.com%2Fwos%2Fwoscc%2Ffull-record%2FWOS:000544888300006","View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79</v>
      </c>
      <c r="O3" t="s">
        <v>74</v>
      </c>
      <c r="P3" t="s">
        <v>74</v>
      </c>
      <c r="Q3" t="s">
        <v>74</v>
      </c>
      <c r="R3" t="s">
        <v>74</v>
      </c>
      <c r="S3" t="s">
        <v>74</v>
      </c>
      <c r="T3" t="s">
        <v>112</v>
      </c>
      <c r="U3" t="s">
        <v>113</v>
      </c>
      <c r="V3" t="s">
        <v>114</v>
      </c>
      <c r="W3" t="s">
        <v>115</v>
      </c>
      <c r="X3" t="s">
        <v>116</v>
      </c>
      <c r="Y3" t="s">
        <v>117</v>
      </c>
      <c r="Z3" t="s">
        <v>118</v>
      </c>
      <c r="AA3" t="s">
        <v>119</v>
      </c>
      <c r="AB3" t="s">
        <v>120</v>
      </c>
      <c r="AC3" t="s">
        <v>121</v>
      </c>
      <c r="AD3" t="s">
        <v>122</v>
      </c>
      <c r="AE3" t="s">
        <v>123</v>
      </c>
      <c r="AF3" t="s">
        <v>74</v>
      </c>
      <c r="AG3">
        <v>36</v>
      </c>
      <c r="AH3">
        <v>13</v>
      </c>
      <c r="AI3">
        <v>13</v>
      </c>
      <c r="AJ3">
        <v>0</v>
      </c>
      <c r="AK3">
        <v>5</v>
      </c>
      <c r="AL3" t="s">
        <v>124</v>
      </c>
      <c r="AM3" t="s">
        <v>93</v>
      </c>
      <c r="AN3" t="s">
        <v>125</v>
      </c>
      <c r="AO3" t="s">
        <v>126</v>
      </c>
      <c r="AP3" t="s">
        <v>127</v>
      </c>
      <c r="AQ3" t="s">
        <v>74</v>
      </c>
      <c r="AR3" t="s">
        <v>128</v>
      </c>
      <c r="AS3" t="s">
        <v>129</v>
      </c>
      <c r="AT3" t="s">
        <v>99</v>
      </c>
      <c r="AU3">
        <v>2020</v>
      </c>
      <c r="AV3">
        <v>222</v>
      </c>
      <c r="AW3">
        <v>2</v>
      </c>
      <c r="AX3" t="s">
        <v>74</v>
      </c>
      <c r="AY3" t="s">
        <v>74</v>
      </c>
      <c r="AZ3" t="s">
        <v>74</v>
      </c>
      <c r="BA3" t="s">
        <v>74</v>
      </c>
      <c r="BB3">
        <v>1013</v>
      </c>
      <c r="BC3">
        <v>1022</v>
      </c>
      <c r="BD3" t="s">
        <v>74</v>
      </c>
      <c r="BE3" t="s">
        <v>130</v>
      </c>
      <c r="BF3" t="str">
        <f>HYPERLINK("http://dx.doi.org/10.1093/gji/ggaa229","http://dx.doi.org/10.1093/gji/ggaa229")</f>
        <v>http://dx.doi.org/10.1093/gji/ggaa229</v>
      </c>
      <c r="BG3" t="s">
        <v>74</v>
      </c>
      <c r="BH3" t="s">
        <v>74</v>
      </c>
      <c r="BI3">
        <v>10</v>
      </c>
      <c r="BJ3" t="s">
        <v>131</v>
      </c>
      <c r="BK3" t="s">
        <v>102</v>
      </c>
      <c r="BL3" t="s">
        <v>131</v>
      </c>
      <c r="BM3" t="s">
        <v>132</v>
      </c>
      <c r="BN3" t="s">
        <v>74</v>
      </c>
      <c r="BO3" t="s">
        <v>133</v>
      </c>
      <c r="BP3" t="s">
        <v>74</v>
      </c>
      <c r="BQ3" t="s">
        <v>74</v>
      </c>
      <c r="BR3" t="s">
        <v>106</v>
      </c>
      <c r="BS3" t="s">
        <v>134</v>
      </c>
      <c r="BT3" t="str">
        <f>HYPERLINK("https%3A%2F%2Fwww.webofscience.com%2Fwos%2Fwoscc%2Ffull-record%2FWOS:000565896700021","View Full Record in Web of Science")</f>
        <v>View Full Record in Web of Science</v>
      </c>
    </row>
    <row r="4" spans="1:72" x14ac:dyDescent="0.15">
      <c r="A4" t="s">
        <v>72</v>
      </c>
      <c r="B4" t="s">
        <v>135</v>
      </c>
      <c r="C4" t="s">
        <v>74</v>
      </c>
      <c r="D4" t="s">
        <v>74</v>
      </c>
      <c r="E4" t="s">
        <v>74</v>
      </c>
      <c r="F4" t="s">
        <v>136</v>
      </c>
      <c r="G4" t="s">
        <v>74</v>
      </c>
      <c r="H4" t="s">
        <v>74</v>
      </c>
      <c r="I4" t="s">
        <v>137</v>
      </c>
      <c r="J4" t="s">
        <v>138</v>
      </c>
      <c r="K4" t="s">
        <v>74</v>
      </c>
      <c r="L4" t="s">
        <v>74</v>
      </c>
      <c r="M4" t="s">
        <v>78</v>
      </c>
      <c r="N4" t="s">
        <v>79</v>
      </c>
      <c r="O4" t="s">
        <v>74</v>
      </c>
      <c r="P4" t="s">
        <v>74</v>
      </c>
      <c r="Q4" t="s">
        <v>74</v>
      </c>
      <c r="R4" t="s">
        <v>74</v>
      </c>
      <c r="S4" t="s">
        <v>74</v>
      </c>
      <c r="T4" t="s">
        <v>139</v>
      </c>
      <c r="U4" t="s">
        <v>140</v>
      </c>
      <c r="V4" t="s">
        <v>141</v>
      </c>
      <c r="W4" t="s">
        <v>142</v>
      </c>
      <c r="X4" t="s">
        <v>143</v>
      </c>
      <c r="Y4" t="s">
        <v>144</v>
      </c>
      <c r="Z4" t="s">
        <v>145</v>
      </c>
      <c r="AA4" t="s">
        <v>146</v>
      </c>
      <c r="AB4" t="s">
        <v>147</v>
      </c>
      <c r="AC4" t="s">
        <v>148</v>
      </c>
      <c r="AD4" t="s">
        <v>149</v>
      </c>
      <c r="AE4" t="s">
        <v>150</v>
      </c>
      <c r="AF4" t="s">
        <v>74</v>
      </c>
      <c r="AG4">
        <v>165</v>
      </c>
      <c r="AH4">
        <v>236</v>
      </c>
      <c r="AI4">
        <v>248</v>
      </c>
      <c r="AJ4">
        <v>8</v>
      </c>
      <c r="AK4">
        <v>38</v>
      </c>
      <c r="AL4" t="s">
        <v>151</v>
      </c>
      <c r="AM4" t="s">
        <v>152</v>
      </c>
      <c r="AN4" t="s">
        <v>153</v>
      </c>
      <c r="AO4" t="s">
        <v>74</v>
      </c>
      <c r="AP4" t="s">
        <v>154</v>
      </c>
      <c r="AQ4" t="s">
        <v>74</v>
      </c>
      <c r="AR4" t="s">
        <v>155</v>
      </c>
      <c r="AS4" t="s">
        <v>156</v>
      </c>
      <c r="AT4" t="s">
        <v>99</v>
      </c>
      <c r="AU4">
        <v>2020</v>
      </c>
      <c r="AV4">
        <v>12</v>
      </c>
      <c r="AW4">
        <v>8</v>
      </c>
      <c r="AX4" t="s">
        <v>74</v>
      </c>
      <c r="AY4" t="s">
        <v>74</v>
      </c>
      <c r="AZ4" t="s">
        <v>74</v>
      </c>
      <c r="BA4" t="s">
        <v>74</v>
      </c>
      <c r="BB4" t="s">
        <v>74</v>
      </c>
      <c r="BC4" t="s">
        <v>74</v>
      </c>
      <c r="BD4" t="s">
        <v>157</v>
      </c>
      <c r="BE4" t="s">
        <v>158</v>
      </c>
      <c r="BF4" t="str">
        <f>HYPERLINK("http://dx.doi.org/10.1029/2019MS002025","http://dx.doi.org/10.1029/2019MS002025")</f>
        <v>http://dx.doi.org/10.1029/2019MS002025</v>
      </c>
      <c r="BG4" t="s">
        <v>74</v>
      </c>
      <c r="BH4" t="s">
        <v>74</v>
      </c>
      <c r="BI4">
        <v>38</v>
      </c>
      <c r="BJ4" t="s">
        <v>159</v>
      </c>
      <c r="BK4" t="s">
        <v>102</v>
      </c>
      <c r="BL4" t="s">
        <v>159</v>
      </c>
      <c r="BM4" t="s">
        <v>160</v>
      </c>
      <c r="BN4">
        <v>32999704</v>
      </c>
      <c r="BO4" t="s">
        <v>161</v>
      </c>
      <c r="BP4" t="s">
        <v>162</v>
      </c>
      <c r="BQ4" t="s">
        <v>163</v>
      </c>
      <c r="BR4" t="s">
        <v>106</v>
      </c>
      <c r="BS4" t="s">
        <v>164</v>
      </c>
      <c r="BT4" t="str">
        <f>HYPERLINK("https%3A%2F%2Fwww.webofscience.com%2Fwos%2Fwoscc%2Ffull-record%2FWOS:000566209200032","View Full Record in Web of Science")</f>
        <v>View Full Record in Web of Science</v>
      </c>
    </row>
    <row r="5" spans="1:72" x14ac:dyDescent="0.15">
      <c r="A5" t="s">
        <v>72</v>
      </c>
      <c r="B5" t="s">
        <v>165</v>
      </c>
      <c r="C5" t="s">
        <v>74</v>
      </c>
      <c r="D5" t="s">
        <v>74</v>
      </c>
      <c r="E5" t="s">
        <v>74</v>
      </c>
      <c r="F5" t="s">
        <v>166</v>
      </c>
      <c r="G5" t="s">
        <v>74</v>
      </c>
      <c r="H5" t="s">
        <v>74</v>
      </c>
      <c r="I5" t="s">
        <v>167</v>
      </c>
      <c r="J5" t="s">
        <v>168</v>
      </c>
      <c r="K5" t="s">
        <v>74</v>
      </c>
      <c r="L5" t="s">
        <v>74</v>
      </c>
      <c r="M5" t="s">
        <v>78</v>
      </c>
      <c r="N5" t="s">
        <v>79</v>
      </c>
      <c r="O5" t="s">
        <v>74</v>
      </c>
      <c r="P5" t="s">
        <v>74</v>
      </c>
      <c r="Q5" t="s">
        <v>74</v>
      </c>
      <c r="R5" t="s">
        <v>74</v>
      </c>
      <c r="S5" t="s">
        <v>74</v>
      </c>
      <c r="T5" t="s">
        <v>74</v>
      </c>
      <c r="U5" t="s">
        <v>169</v>
      </c>
      <c r="V5" t="s">
        <v>170</v>
      </c>
      <c r="W5" t="s">
        <v>171</v>
      </c>
      <c r="X5" t="s">
        <v>172</v>
      </c>
      <c r="Y5" t="s">
        <v>173</v>
      </c>
      <c r="Z5" t="s">
        <v>174</v>
      </c>
      <c r="AA5" t="s">
        <v>74</v>
      </c>
      <c r="AB5" t="s">
        <v>74</v>
      </c>
      <c r="AC5" t="s">
        <v>175</v>
      </c>
      <c r="AD5" t="s">
        <v>176</v>
      </c>
      <c r="AE5" t="s">
        <v>177</v>
      </c>
      <c r="AF5" t="s">
        <v>74</v>
      </c>
      <c r="AG5">
        <v>28</v>
      </c>
      <c r="AH5">
        <v>5</v>
      </c>
      <c r="AI5">
        <v>6</v>
      </c>
      <c r="AJ5">
        <v>0</v>
      </c>
      <c r="AK5">
        <v>5</v>
      </c>
      <c r="AL5" t="s">
        <v>178</v>
      </c>
      <c r="AM5" t="s">
        <v>179</v>
      </c>
      <c r="AN5" t="s">
        <v>180</v>
      </c>
      <c r="AO5" t="s">
        <v>181</v>
      </c>
      <c r="AP5" t="s">
        <v>182</v>
      </c>
      <c r="AQ5" t="s">
        <v>74</v>
      </c>
      <c r="AR5" t="s">
        <v>183</v>
      </c>
      <c r="AS5" t="s">
        <v>184</v>
      </c>
      <c r="AT5" t="s">
        <v>99</v>
      </c>
      <c r="AU5">
        <v>2020</v>
      </c>
      <c r="AV5">
        <v>37</v>
      </c>
      <c r="AW5">
        <v>8</v>
      </c>
      <c r="AX5" t="s">
        <v>74</v>
      </c>
      <c r="AY5" t="s">
        <v>74</v>
      </c>
      <c r="AZ5" t="s">
        <v>74</v>
      </c>
      <c r="BA5" t="s">
        <v>74</v>
      </c>
      <c r="BB5">
        <v>1507</v>
      </c>
      <c r="BC5">
        <v>1520</v>
      </c>
      <c r="BD5" t="s">
        <v>74</v>
      </c>
      <c r="BE5" t="s">
        <v>185</v>
      </c>
      <c r="BF5" t="str">
        <f>HYPERLINK("http://dx.doi.org/10.1175/JTECH-D-19-0184.1","http://dx.doi.org/10.1175/JTECH-D-19-0184.1")</f>
        <v>http://dx.doi.org/10.1175/JTECH-D-19-0184.1</v>
      </c>
      <c r="BG5" t="s">
        <v>74</v>
      </c>
      <c r="BH5" t="s">
        <v>74</v>
      </c>
      <c r="BI5">
        <v>14</v>
      </c>
      <c r="BJ5" t="s">
        <v>186</v>
      </c>
      <c r="BK5" t="s">
        <v>102</v>
      </c>
      <c r="BL5" t="s">
        <v>187</v>
      </c>
      <c r="BM5" t="s">
        <v>188</v>
      </c>
      <c r="BN5" t="s">
        <v>74</v>
      </c>
      <c r="BO5" t="s">
        <v>189</v>
      </c>
      <c r="BP5" t="s">
        <v>74</v>
      </c>
      <c r="BQ5" t="s">
        <v>74</v>
      </c>
      <c r="BR5" t="s">
        <v>106</v>
      </c>
      <c r="BS5" t="s">
        <v>190</v>
      </c>
      <c r="BT5" t="str">
        <f>HYPERLINK("https%3A%2F%2Fwww.webofscience.com%2Fwos%2Fwoscc%2Ffull-record%2FWOS:000589970300013","View Full Record in Web of Science")</f>
        <v>View Full Record in Web of Science</v>
      </c>
    </row>
    <row r="6" spans="1:72" x14ac:dyDescent="0.15">
      <c r="A6" t="s">
        <v>72</v>
      </c>
      <c r="B6" t="s">
        <v>191</v>
      </c>
      <c r="C6" t="s">
        <v>74</v>
      </c>
      <c r="D6" t="s">
        <v>74</v>
      </c>
      <c r="E6" t="s">
        <v>74</v>
      </c>
      <c r="F6" t="s">
        <v>192</v>
      </c>
      <c r="G6" t="s">
        <v>74</v>
      </c>
      <c r="H6" t="s">
        <v>74</v>
      </c>
      <c r="I6" t="s">
        <v>193</v>
      </c>
      <c r="J6" t="s">
        <v>194</v>
      </c>
      <c r="K6" t="s">
        <v>74</v>
      </c>
      <c r="L6" t="s">
        <v>74</v>
      </c>
      <c r="M6" t="s">
        <v>78</v>
      </c>
      <c r="N6" t="s">
        <v>79</v>
      </c>
      <c r="O6" t="s">
        <v>74</v>
      </c>
      <c r="P6" t="s">
        <v>74</v>
      </c>
      <c r="Q6" t="s">
        <v>74</v>
      </c>
      <c r="R6" t="s">
        <v>74</v>
      </c>
      <c r="S6" t="s">
        <v>74</v>
      </c>
      <c r="T6" t="s">
        <v>195</v>
      </c>
      <c r="U6" t="s">
        <v>196</v>
      </c>
      <c r="V6" t="s">
        <v>197</v>
      </c>
      <c r="W6" t="s">
        <v>198</v>
      </c>
      <c r="X6" t="s">
        <v>199</v>
      </c>
      <c r="Y6" t="s">
        <v>200</v>
      </c>
      <c r="Z6" t="s">
        <v>201</v>
      </c>
      <c r="AA6" t="s">
        <v>202</v>
      </c>
      <c r="AB6" t="s">
        <v>203</v>
      </c>
      <c r="AC6" t="s">
        <v>204</v>
      </c>
      <c r="AD6" t="s">
        <v>205</v>
      </c>
      <c r="AE6" t="s">
        <v>206</v>
      </c>
      <c r="AF6" t="s">
        <v>74</v>
      </c>
      <c r="AG6">
        <v>58</v>
      </c>
      <c r="AH6">
        <v>18</v>
      </c>
      <c r="AI6">
        <v>18</v>
      </c>
      <c r="AJ6">
        <v>0</v>
      </c>
      <c r="AK6">
        <v>10</v>
      </c>
      <c r="AL6" t="s">
        <v>151</v>
      </c>
      <c r="AM6" t="s">
        <v>152</v>
      </c>
      <c r="AN6" t="s">
        <v>153</v>
      </c>
      <c r="AO6" t="s">
        <v>207</v>
      </c>
      <c r="AP6" t="s">
        <v>208</v>
      </c>
      <c r="AQ6" t="s">
        <v>74</v>
      </c>
      <c r="AR6" t="s">
        <v>209</v>
      </c>
      <c r="AS6" t="s">
        <v>210</v>
      </c>
      <c r="AT6" t="s">
        <v>99</v>
      </c>
      <c r="AU6">
        <v>2020</v>
      </c>
      <c r="AV6">
        <v>125</v>
      </c>
      <c r="AW6">
        <v>8</v>
      </c>
      <c r="AX6" t="s">
        <v>74</v>
      </c>
      <c r="AY6" t="s">
        <v>74</v>
      </c>
      <c r="AZ6" t="s">
        <v>74</v>
      </c>
      <c r="BA6" t="s">
        <v>74</v>
      </c>
      <c r="BB6" t="s">
        <v>74</v>
      </c>
      <c r="BC6" t="s">
        <v>74</v>
      </c>
      <c r="BD6" t="s">
        <v>211</v>
      </c>
      <c r="BE6" t="s">
        <v>212</v>
      </c>
      <c r="BF6" t="str">
        <f>HYPERLINK("http://dx.doi.org/10.1029/2019JC015406","http://dx.doi.org/10.1029/2019JC015406")</f>
        <v>http://dx.doi.org/10.1029/2019JC015406</v>
      </c>
      <c r="BG6" t="s">
        <v>74</v>
      </c>
      <c r="BH6" t="s">
        <v>74</v>
      </c>
      <c r="BI6">
        <v>27</v>
      </c>
      <c r="BJ6" t="s">
        <v>213</v>
      </c>
      <c r="BK6" t="s">
        <v>102</v>
      </c>
      <c r="BL6" t="s">
        <v>213</v>
      </c>
      <c r="BM6" t="s">
        <v>214</v>
      </c>
      <c r="BN6" t="s">
        <v>74</v>
      </c>
      <c r="BO6" t="s">
        <v>74</v>
      </c>
      <c r="BP6" t="s">
        <v>74</v>
      </c>
      <c r="BQ6" t="s">
        <v>74</v>
      </c>
      <c r="BR6" t="s">
        <v>106</v>
      </c>
      <c r="BS6" t="s">
        <v>215</v>
      </c>
      <c r="BT6" t="str">
        <f>HYPERLINK("https%3A%2F%2Fwww.webofscience.com%2Fwos%2Fwoscc%2Ffull-record%2FWOS:000577126400032","View Full Record in Web of Science")</f>
        <v>View Full Record in Web of Science</v>
      </c>
    </row>
    <row r="7" spans="1:72" x14ac:dyDescent="0.15">
      <c r="A7" t="s">
        <v>72</v>
      </c>
      <c r="B7" t="s">
        <v>216</v>
      </c>
      <c r="C7" t="s">
        <v>74</v>
      </c>
      <c r="D7" t="s">
        <v>74</v>
      </c>
      <c r="E7" t="s">
        <v>74</v>
      </c>
      <c r="F7" t="s">
        <v>217</v>
      </c>
      <c r="G7" t="s">
        <v>74</v>
      </c>
      <c r="H7" t="s">
        <v>74</v>
      </c>
      <c r="I7" t="s">
        <v>218</v>
      </c>
      <c r="J7" t="s">
        <v>219</v>
      </c>
      <c r="K7" t="s">
        <v>74</v>
      </c>
      <c r="L7" t="s">
        <v>74</v>
      </c>
      <c r="M7" t="s">
        <v>78</v>
      </c>
      <c r="N7" t="s">
        <v>79</v>
      </c>
      <c r="O7" t="s">
        <v>74</v>
      </c>
      <c r="P7" t="s">
        <v>74</v>
      </c>
      <c r="Q7" t="s">
        <v>74</v>
      </c>
      <c r="R7" t="s">
        <v>74</v>
      </c>
      <c r="S7" t="s">
        <v>74</v>
      </c>
      <c r="T7" t="s">
        <v>220</v>
      </c>
      <c r="U7" t="s">
        <v>221</v>
      </c>
      <c r="V7" t="s">
        <v>222</v>
      </c>
      <c r="W7" t="s">
        <v>223</v>
      </c>
      <c r="X7" t="s">
        <v>224</v>
      </c>
      <c r="Y7" t="s">
        <v>225</v>
      </c>
      <c r="Z7" t="s">
        <v>226</v>
      </c>
      <c r="AA7" t="s">
        <v>227</v>
      </c>
      <c r="AB7" t="s">
        <v>228</v>
      </c>
      <c r="AC7" t="s">
        <v>229</v>
      </c>
      <c r="AD7" t="s">
        <v>230</v>
      </c>
      <c r="AE7" t="s">
        <v>231</v>
      </c>
      <c r="AF7" t="s">
        <v>74</v>
      </c>
      <c r="AG7">
        <v>62</v>
      </c>
      <c r="AH7">
        <v>8</v>
      </c>
      <c r="AI7">
        <v>9</v>
      </c>
      <c r="AJ7">
        <v>1</v>
      </c>
      <c r="AK7">
        <v>18</v>
      </c>
      <c r="AL7" t="s">
        <v>92</v>
      </c>
      <c r="AM7" t="s">
        <v>93</v>
      </c>
      <c r="AN7" t="s">
        <v>94</v>
      </c>
      <c r="AO7" t="s">
        <v>232</v>
      </c>
      <c r="AP7" t="s">
        <v>233</v>
      </c>
      <c r="AQ7" t="s">
        <v>74</v>
      </c>
      <c r="AR7" t="s">
        <v>234</v>
      </c>
      <c r="AS7" t="s">
        <v>235</v>
      </c>
      <c r="AT7" t="s">
        <v>99</v>
      </c>
      <c r="AU7">
        <v>2020</v>
      </c>
      <c r="AV7">
        <v>157</v>
      </c>
      <c r="AW7" t="s">
        <v>74</v>
      </c>
      <c r="AX7" t="s">
        <v>74</v>
      </c>
      <c r="AY7" t="s">
        <v>74</v>
      </c>
      <c r="AZ7" t="s">
        <v>74</v>
      </c>
      <c r="BA7" t="s">
        <v>74</v>
      </c>
      <c r="BB7" t="s">
        <v>74</v>
      </c>
      <c r="BC7" t="s">
        <v>74</v>
      </c>
      <c r="BD7">
        <v>111316</v>
      </c>
      <c r="BE7" t="s">
        <v>236</v>
      </c>
      <c r="BF7" t="str">
        <f>HYPERLINK("http://dx.doi.org/10.1016/j.marpolbul.2020.111316","http://dx.doi.org/10.1016/j.marpolbul.2020.111316")</f>
        <v>http://dx.doi.org/10.1016/j.marpolbul.2020.111316</v>
      </c>
      <c r="BG7" t="s">
        <v>74</v>
      </c>
      <c r="BH7" t="s">
        <v>74</v>
      </c>
      <c r="BI7">
        <v>11</v>
      </c>
      <c r="BJ7" t="s">
        <v>237</v>
      </c>
      <c r="BK7" t="s">
        <v>102</v>
      </c>
      <c r="BL7" t="s">
        <v>238</v>
      </c>
      <c r="BM7" t="s">
        <v>239</v>
      </c>
      <c r="BN7">
        <v>32658681</v>
      </c>
      <c r="BO7" t="s">
        <v>74</v>
      </c>
      <c r="BP7" t="s">
        <v>74</v>
      </c>
      <c r="BQ7" t="s">
        <v>74</v>
      </c>
      <c r="BR7" t="s">
        <v>106</v>
      </c>
      <c r="BS7" t="s">
        <v>240</v>
      </c>
      <c r="BT7" t="str">
        <f>HYPERLINK("https%3A%2F%2Fwww.webofscience.com%2Fwos%2Fwoscc%2Ffull-record%2FWOS:000548531100059","View Full Record in Web of Science")</f>
        <v>View Full Record in Web of Science</v>
      </c>
    </row>
    <row r="8" spans="1:72" x14ac:dyDescent="0.15">
      <c r="A8" t="s">
        <v>72</v>
      </c>
      <c r="B8" t="s">
        <v>241</v>
      </c>
      <c r="C8" t="s">
        <v>74</v>
      </c>
      <c r="D8" t="s">
        <v>74</v>
      </c>
      <c r="E8" t="s">
        <v>74</v>
      </c>
      <c r="F8" t="s">
        <v>242</v>
      </c>
      <c r="G8" t="s">
        <v>74</v>
      </c>
      <c r="H8" t="s">
        <v>74</v>
      </c>
      <c r="I8" t="s">
        <v>243</v>
      </c>
      <c r="J8" t="s">
        <v>244</v>
      </c>
      <c r="K8" t="s">
        <v>74</v>
      </c>
      <c r="L8" t="s">
        <v>74</v>
      </c>
      <c r="M8" t="s">
        <v>78</v>
      </c>
      <c r="N8" t="s">
        <v>245</v>
      </c>
      <c r="O8" t="s">
        <v>74</v>
      </c>
      <c r="P8" t="s">
        <v>74</v>
      </c>
      <c r="Q8" t="s">
        <v>74</v>
      </c>
      <c r="R8" t="s">
        <v>74</v>
      </c>
      <c r="S8" t="s">
        <v>74</v>
      </c>
      <c r="T8" t="s">
        <v>246</v>
      </c>
      <c r="U8" t="s">
        <v>247</v>
      </c>
      <c r="V8" t="s">
        <v>248</v>
      </c>
      <c r="W8" t="s">
        <v>249</v>
      </c>
      <c r="X8" t="s">
        <v>250</v>
      </c>
      <c r="Y8" t="s">
        <v>251</v>
      </c>
      <c r="Z8" t="s">
        <v>252</v>
      </c>
      <c r="AA8" t="s">
        <v>253</v>
      </c>
      <c r="AB8" t="s">
        <v>74</v>
      </c>
      <c r="AC8" t="s">
        <v>254</v>
      </c>
      <c r="AD8" t="s">
        <v>254</v>
      </c>
      <c r="AE8" t="s">
        <v>255</v>
      </c>
      <c r="AF8" t="s">
        <v>74</v>
      </c>
      <c r="AG8">
        <v>198</v>
      </c>
      <c r="AH8">
        <v>15</v>
      </c>
      <c r="AI8">
        <v>17</v>
      </c>
      <c r="AJ8">
        <v>2</v>
      </c>
      <c r="AK8">
        <v>44</v>
      </c>
      <c r="AL8" t="s">
        <v>256</v>
      </c>
      <c r="AM8" t="s">
        <v>257</v>
      </c>
      <c r="AN8" t="s">
        <v>258</v>
      </c>
      <c r="AO8" t="s">
        <v>259</v>
      </c>
      <c r="AP8" t="s">
        <v>260</v>
      </c>
      <c r="AQ8" t="s">
        <v>74</v>
      </c>
      <c r="AR8" t="s">
        <v>261</v>
      </c>
      <c r="AS8" t="s">
        <v>262</v>
      </c>
      <c r="AT8" t="s">
        <v>99</v>
      </c>
      <c r="AU8">
        <v>2020</v>
      </c>
      <c r="AV8">
        <v>157</v>
      </c>
      <c r="AW8" t="s">
        <v>74</v>
      </c>
      <c r="AX8" t="s">
        <v>74</v>
      </c>
      <c r="AY8" t="s">
        <v>74</v>
      </c>
      <c r="AZ8" t="s">
        <v>74</v>
      </c>
      <c r="BA8" t="s">
        <v>74</v>
      </c>
      <c r="BB8">
        <v>1</v>
      </c>
      <c r="BC8">
        <v>14</v>
      </c>
      <c r="BD8" t="s">
        <v>74</v>
      </c>
      <c r="BE8" t="s">
        <v>263</v>
      </c>
      <c r="BF8" t="str">
        <f>HYPERLINK("http://dx.doi.org/10.1016/j.neures.2019.08.001","http://dx.doi.org/10.1016/j.neures.2019.08.001")</f>
        <v>http://dx.doi.org/10.1016/j.neures.2019.08.001</v>
      </c>
      <c r="BG8" t="s">
        <v>74</v>
      </c>
      <c r="BH8" t="s">
        <v>74</v>
      </c>
      <c r="BI8">
        <v>14</v>
      </c>
      <c r="BJ8" t="s">
        <v>264</v>
      </c>
      <c r="BK8" t="s">
        <v>102</v>
      </c>
      <c r="BL8" t="s">
        <v>265</v>
      </c>
      <c r="BM8" t="s">
        <v>266</v>
      </c>
      <c r="BN8">
        <v>31445058</v>
      </c>
      <c r="BO8" t="s">
        <v>74</v>
      </c>
      <c r="BP8" t="s">
        <v>74</v>
      </c>
      <c r="BQ8" t="s">
        <v>74</v>
      </c>
      <c r="BR8" t="s">
        <v>106</v>
      </c>
      <c r="BS8" t="s">
        <v>267</v>
      </c>
      <c r="BT8" t="str">
        <f>HYPERLINK("https%3A%2F%2Fwww.webofscience.com%2Fwos%2Fwoscc%2Ffull-record%2FWOS:000564567300001","View Full Record in Web of Science")</f>
        <v>View Full Record in Web of Science</v>
      </c>
    </row>
    <row r="9" spans="1:72" x14ac:dyDescent="0.15">
      <c r="A9" t="s">
        <v>72</v>
      </c>
      <c r="B9" t="s">
        <v>268</v>
      </c>
      <c r="C9" t="s">
        <v>74</v>
      </c>
      <c r="D9" t="s">
        <v>74</v>
      </c>
      <c r="E9" t="s">
        <v>74</v>
      </c>
      <c r="F9" t="s">
        <v>269</v>
      </c>
      <c r="G9" t="s">
        <v>74</v>
      </c>
      <c r="H9" t="s">
        <v>74</v>
      </c>
      <c r="I9" t="s">
        <v>270</v>
      </c>
      <c r="J9" t="s">
        <v>271</v>
      </c>
      <c r="K9" t="s">
        <v>74</v>
      </c>
      <c r="L9" t="s">
        <v>74</v>
      </c>
      <c r="M9" t="s">
        <v>78</v>
      </c>
      <c r="N9" t="s">
        <v>79</v>
      </c>
      <c r="O9" t="s">
        <v>74</v>
      </c>
      <c r="P9" t="s">
        <v>74</v>
      </c>
      <c r="Q9" t="s">
        <v>74</v>
      </c>
      <c r="R9" t="s">
        <v>74</v>
      </c>
      <c r="S9" t="s">
        <v>74</v>
      </c>
      <c r="T9" t="s">
        <v>272</v>
      </c>
      <c r="U9" t="s">
        <v>273</v>
      </c>
      <c r="V9" t="s">
        <v>274</v>
      </c>
      <c r="W9" t="s">
        <v>275</v>
      </c>
      <c r="X9" t="s">
        <v>276</v>
      </c>
      <c r="Y9" t="s">
        <v>277</v>
      </c>
      <c r="Z9" t="s">
        <v>278</v>
      </c>
      <c r="AA9" t="s">
        <v>279</v>
      </c>
      <c r="AB9" t="s">
        <v>280</v>
      </c>
      <c r="AC9" t="s">
        <v>281</v>
      </c>
      <c r="AD9" t="s">
        <v>282</v>
      </c>
      <c r="AE9" t="s">
        <v>283</v>
      </c>
      <c r="AF9" t="s">
        <v>74</v>
      </c>
      <c r="AG9">
        <v>123</v>
      </c>
      <c r="AH9">
        <v>8</v>
      </c>
      <c r="AI9">
        <v>10</v>
      </c>
      <c r="AJ9">
        <v>2</v>
      </c>
      <c r="AK9">
        <v>15</v>
      </c>
      <c r="AL9" t="s">
        <v>284</v>
      </c>
      <c r="AM9" t="s">
        <v>285</v>
      </c>
      <c r="AN9" t="s">
        <v>286</v>
      </c>
      <c r="AO9" t="s">
        <v>287</v>
      </c>
      <c r="AP9" t="s">
        <v>288</v>
      </c>
      <c r="AQ9" t="s">
        <v>74</v>
      </c>
      <c r="AR9" t="s">
        <v>289</v>
      </c>
      <c r="AS9" t="s">
        <v>290</v>
      </c>
      <c r="AT9" t="s">
        <v>99</v>
      </c>
      <c r="AU9">
        <v>2020</v>
      </c>
      <c r="AV9">
        <v>279</v>
      </c>
      <c r="AW9" t="s">
        <v>74</v>
      </c>
      <c r="AX9" t="s">
        <v>74</v>
      </c>
      <c r="AY9" t="s">
        <v>74</v>
      </c>
      <c r="AZ9" t="s">
        <v>74</v>
      </c>
      <c r="BA9" t="s">
        <v>74</v>
      </c>
      <c r="BB9" t="s">
        <v>74</v>
      </c>
      <c r="BC9" t="s">
        <v>74</v>
      </c>
      <c r="BD9">
        <v>104224</v>
      </c>
      <c r="BE9" t="s">
        <v>291</v>
      </c>
      <c r="BF9" t="str">
        <f>HYPERLINK("http://dx.doi.org/10.1016/j.revpalbo.2020.104224","http://dx.doi.org/10.1016/j.revpalbo.2020.104224")</f>
        <v>http://dx.doi.org/10.1016/j.revpalbo.2020.104224</v>
      </c>
      <c r="BG9" t="s">
        <v>74</v>
      </c>
      <c r="BH9" t="s">
        <v>74</v>
      </c>
      <c r="BI9">
        <v>18</v>
      </c>
      <c r="BJ9" t="s">
        <v>292</v>
      </c>
      <c r="BK9" t="s">
        <v>102</v>
      </c>
      <c r="BL9" t="s">
        <v>292</v>
      </c>
      <c r="BM9" t="s">
        <v>293</v>
      </c>
      <c r="BN9" t="s">
        <v>74</v>
      </c>
      <c r="BO9" t="s">
        <v>294</v>
      </c>
      <c r="BP9" t="s">
        <v>74</v>
      </c>
      <c r="BQ9" t="s">
        <v>74</v>
      </c>
      <c r="BR9" t="s">
        <v>106</v>
      </c>
      <c r="BS9" t="s">
        <v>295</v>
      </c>
      <c r="BT9" t="str">
        <f>HYPERLINK("https%3A%2F%2Fwww.webofscience.com%2Fwos%2Fwoscc%2Ffull-record%2FWOS:000538142100005","View Full Record in Web of Science")</f>
        <v>View Full Record in Web of Science</v>
      </c>
    </row>
    <row r="10" spans="1:72" x14ac:dyDescent="0.15">
      <c r="A10" t="s">
        <v>72</v>
      </c>
      <c r="B10" t="s">
        <v>296</v>
      </c>
      <c r="C10" t="s">
        <v>74</v>
      </c>
      <c r="D10" t="s">
        <v>74</v>
      </c>
      <c r="E10" t="s">
        <v>74</v>
      </c>
      <c r="F10" t="s">
        <v>297</v>
      </c>
      <c r="G10" t="s">
        <v>74</v>
      </c>
      <c r="H10" t="s">
        <v>74</v>
      </c>
      <c r="I10" t="s">
        <v>298</v>
      </c>
      <c r="J10" t="s">
        <v>299</v>
      </c>
      <c r="K10" t="s">
        <v>74</v>
      </c>
      <c r="L10" t="s">
        <v>74</v>
      </c>
      <c r="M10" t="s">
        <v>78</v>
      </c>
      <c r="N10" t="s">
        <v>79</v>
      </c>
      <c r="O10" t="s">
        <v>74</v>
      </c>
      <c r="P10" t="s">
        <v>74</v>
      </c>
      <c r="Q10" t="s">
        <v>74</v>
      </c>
      <c r="R10" t="s">
        <v>74</v>
      </c>
      <c r="S10" t="s">
        <v>74</v>
      </c>
      <c r="T10" t="s">
        <v>300</v>
      </c>
      <c r="U10" t="s">
        <v>301</v>
      </c>
      <c r="V10" t="s">
        <v>302</v>
      </c>
      <c r="W10" t="s">
        <v>303</v>
      </c>
      <c r="X10" t="s">
        <v>304</v>
      </c>
      <c r="Y10" t="s">
        <v>305</v>
      </c>
      <c r="Z10" t="s">
        <v>306</v>
      </c>
      <c r="AA10" t="s">
        <v>307</v>
      </c>
      <c r="AB10" t="s">
        <v>308</v>
      </c>
      <c r="AC10" t="s">
        <v>309</v>
      </c>
      <c r="AD10" t="s">
        <v>310</v>
      </c>
      <c r="AE10" t="s">
        <v>311</v>
      </c>
      <c r="AF10" t="s">
        <v>74</v>
      </c>
      <c r="AG10">
        <v>119</v>
      </c>
      <c r="AH10">
        <v>7</v>
      </c>
      <c r="AI10">
        <v>8</v>
      </c>
      <c r="AJ10">
        <v>2</v>
      </c>
      <c r="AK10">
        <v>8</v>
      </c>
      <c r="AL10" t="s">
        <v>284</v>
      </c>
      <c r="AM10" t="s">
        <v>285</v>
      </c>
      <c r="AN10" t="s">
        <v>286</v>
      </c>
      <c r="AO10" t="s">
        <v>312</v>
      </c>
      <c r="AP10" t="s">
        <v>313</v>
      </c>
      <c r="AQ10" t="s">
        <v>74</v>
      </c>
      <c r="AR10" t="s">
        <v>314</v>
      </c>
      <c r="AS10" t="s">
        <v>315</v>
      </c>
      <c r="AT10" t="s">
        <v>316</v>
      </c>
      <c r="AU10">
        <v>2020</v>
      </c>
      <c r="AV10">
        <v>728</v>
      </c>
      <c r="AW10" t="s">
        <v>74</v>
      </c>
      <c r="AX10" t="s">
        <v>74</v>
      </c>
      <c r="AY10" t="s">
        <v>74</v>
      </c>
      <c r="AZ10" t="s">
        <v>74</v>
      </c>
      <c r="BA10" t="s">
        <v>74</v>
      </c>
      <c r="BB10" t="s">
        <v>74</v>
      </c>
      <c r="BC10" t="s">
        <v>74</v>
      </c>
      <c r="BD10">
        <v>138768</v>
      </c>
      <c r="BE10" t="s">
        <v>317</v>
      </c>
      <c r="BF10" t="str">
        <f>HYPERLINK("http://dx.doi.org/10.1016/j.scitotenv.2020.138768","http://dx.doi.org/10.1016/j.scitotenv.2020.138768")</f>
        <v>http://dx.doi.org/10.1016/j.scitotenv.2020.138768</v>
      </c>
      <c r="BG10" t="s">
        <v>74</v>
      </c>
      <c r="BH10" t="s">
        <v>74</v>
      </c>
      <c r="BI10">
        <v>17</v>
      </c>
      <c r="BJ10" t="s">
        <v>101</v>
      </c>
      <c r="BK10" t="s">
        <v>102</v>
      </c>
      <c r="BL10" t="s">
        <v>103</v>
      </c>
      <c r="BM10" t="s">
        <v>318</v>
      </c>
      <c r="BN10">
        <v>32339838</v>
      </c>
      <c r="BO10" t="s">
        <v>319</v>
      </c>
      <c r="BP10" t="s">
        <v>74</v>
      </c>
      <c r="BQ10" t="s">
        <v>74</v>
      </c>
      <c r="BR10" t="s">
        <v>106</v>
      </c>
      <c r="BS10" t="s">
        <v>320</v>
      </c>
      <c r="BT10" t="str">
        <f>HYPERLINK("https%3A%2F%2Fwww.webofscience.com%2Fwos%2Fwoscc%2Ffull-record%2FWOS:000541006700021","View Full Record in Web of Science")</f>
        <v>View Full Record in Web of Science</v>
      </c>
    </row>
    <row r="11" spans="1:72" x14ac:dyDescent="0.15">
      <c r="A11" t="s">
        <v>72</v>
      </c>
      <c r="B11" t="s">
        <v>321</v>
      </c>
      <c r="C11" t="s">
        <v>74</v>
      </c>
      <c r="D11" t="s">
        <v>74</v>
      </c>
      <c r="E11" t="s">
        <v>74</v>
      </c>
      <c r="F11" t="s">
        <v>322</v>
      </c>
      <c r="G11" t="s">
        <v>74</v>
      </c>
      <c r="H11" t="s">
        <v>74</v>
      </c>
      <c r="I11" t="s">
        <v>323</v>
      </c>
      <c r="J11" t="s">
        <v>324</v>
      </c>
      <c r="K11" t="s">
        <v>74</v>
      </c>
      <c r="L11" t="s">
        <v>74</v>
      </c>
      <c r="M11" t="s">
        <v>78</v>
      </c>
      <c r="N11" t="s">
        <v>79</v>
      </c>
      <c r="O11" t="s">
        <v>74</v>
      </c>
      <c r="P11" t="s">
        <v>74</v>
      </c>
      <c r="Q11" t="s">
        <v>74</v>
      </c>
      <c r="R11" t="s">
        <v>74</v>
      </c>
      <c r="S11" t="s">
        <v>74</v>
      </c>
      <c r="T11" t="s">
        <v>325</v>
      </c>
      <c r="U11" t="s">
        <v>326</v>
      </c>
      <c r="V11" t="s">
        <v>327</v>
      </c>
      <c r="W11" t="s">
        <v>328</v>
      </c>
      <c r="X11" t="s">
        <v>329</v>
      </c>
      <c r="Y11" t="s">
        <v>330</v>
      </c>
      <c r="Z11" t="s">
        <v>331</v>
      </c>
      <c r="AA11" t="s">
        <v>332</v>
      </c>
      <c r="AB11" t="s">
        <v>333</v>
      </c>
      <c r="AC11" t="s">
        <v>334</v>
      </c>
      <c r="AD11" t="s">
        <v>335</v>
      </c>
      <c r="AE11" t="s">
        <v>336</v>
      </c>
      <c r="AF11" t="s">
        <v>74</v>
      </c>
      <c r="AG11">
        <v>93</v>
      </c>
      <c r="AH11">
        <v>21</v>
      </c>
      <c r="AI11">
        <v>21</v>
      </c>
      <c r="AJ11">
        <v>2</v>
      </c>
      <c r="AK11">
        <v>6</v>
      </c>
      <c r="AL11" t="s">
        <v>151</v>
      </c>
      <c r="AM11" t="s">
        <v>152</v>
      </c>
      <c r="AN11" t="s">
        <v>153</v>
      </c>
      <c r="AO11" t="s">
        <v>337</v>
      </c>
      <c r="AP11" t="s">
        <v>338</v>
      </c>
      <c r="AQ11" t="s">
        <v>74</v>
      </c>
      <c r="AR11" t="s">
        <v>324</v>
      </c>
      <c r="AS11" t="s">
        <v>339</v>
      </c>
      <c r="AT11" t="s">
        <v>99</v>
      </c>
      <c r="AU11">
        <v>2020</v>
      </c>
      <c r="AV11">
        <v>39</v>
      </c>
      <c r="AW11">
        <v>8</v>
      </c>
      <c r="AX11" t="s">
        <v>74</v>
      </c>
      <c r="AY11" t="s">
        <v>74</v>
      </c>
      <c r="AZ11" t="s">
        <v>74</v>
      </c>
      <c r="BA11" t="s">
        <v>74</v>
      </c>
      <c r="BB11" t="s">
        <v>74</v>
      </c>
      <c r="BC11" t="s">
        <v>74</v>
      </c>
      <c r="BD11" t="s">
        <v>340</v>
      </c>
      <c r="BE11" t="s">
        <v>341</v>
      </c>
      <c r="BF11" t="str">
        <f>HYPERLINK("http://dx.doi.org/10.1029/2019TC005894","http://dx.doi.org/10.1029/2019TC005894")</f>
        <v>http://dx.doi.org/10.1029/2019TC005894</v>
      </c>
      <c r="BG11" t="s">
        <v>74</v>
      </c>
      <c r="BH11" t="s">
        <v>74</v>
      </c>
      <c r="BI11">
        <v>25</v>
      </c>
      <c r="BJ11" t="s">
        <v>131</v>
      </c>
      <c r="BK11" t="s">
        <v>102</v>
      </c>
      <c r="BL11" t="s">
        <v>131</v>
      </c>
      <c r="BM11" t="s">
        <v>342</v>
      </c>
      <c r="BN11" t="s">
        <v>74</v>
      </c>
      <c r="BO11" t="s">
        <v>343</v>
      </c>
      <c r="BP11" t="s">
        <v>74</v>
      </c>
      <c r="BQ11" t="s">
        <v>74</v>
      </c>
      <c r="BR11" t="s">
        <v>106</v>
      </c>
      <c r="BS11" t="s">
        <v>344</v>
      </c>
      <c r="BT11" t="str">
        <f>HYPERLINK("https%3A%2F%2Fwww.webofscience.com%2Fwos%2Fwoscc%2Ffull-record%2FWOS:000567319100007","View Full Record in Web of Science")</f>
        <v>View Full Record in Web of Science</v>
      </c>
    </row>
    <row r="12" spans="1:72" x14ac:dyDescent="0.15">
      <c r="A12" t="s">
        <v>72</v>
      </c>
      <c r="B12" t="s">
        <v>345</v>
      </c>
      <c r="C12" t="s">
        <v>74</v>
      </c>
      <c r="D12" t="s">
        <v>74</v>
      </c>
      <c r="E12" t="s">
        <v>74</v>
      </c>
      <c r="F12" t="s">
        <v>346</v>
      </c>
      <c r="G12" t="s">
        <v>74</v>
      </c>
      <c r="H12" t="s">
        <v>74</v>
      </c>
      <c r="I12" t="s">
        <v>347</v>
      </c>
      <c r="J12" t="s">
        <v>348</v>
      </c>
      <c r="K12" t="s">
        <v>74</v>
      </c>
      <c r="L12" t="s">
        <v>74</v>
      </c>
      <c r="M12" t="s">
        <v>78</v>
      </c>
      <c r="N12" t="s">
        <v>79</v>
      </c>
      <c r="O12" t="s">
        <v>74</v>
      </c>
      <c r="P12" t="s">
        <v>74</v>
      </c>
      <c r="Q12" t="s">
        <v>74</v>
      </c>
      <c r="R12" t="s">
        <v>74</v>
      </c>
      <c r="S12" t="s">
        <v>74</v>
      </c>
      <c r="T12" t="s">
        <v>349</v>
      </c>
      <c r="U12" t="s">
        <v>350</v>
      </c>
      <c r="V12" t="s">
        <v>351</v>
      </c>
      <c r="W12" t="s">
        <v>352</v>
      </c>
      <c r="X12" t="s">
        <v>353</v>
      </c>
      <c r="Y12" t="s">
        <v>354</v>
      </c>
      <c r="Z12" t="s">
        <v>355</v>
      </c>
      <c r="AA12" t="s">
        <v>356</v>
      </c>
      <c r="AB12" t="s">
        <v>74</v>
      </c>
      <c r="AC12" t="s">
        <v>357</v>
      </c>
      <c r="AD12" t="s">
        <v>358</v>
      </c>
      <c r="AE12" t="s">
        <v>359</v>
      </c>
      <c r="AF12" t="s">
        <v>74</v>
      </c>
      <c r="AG12">
        <v>52</v>
      </c>
      <c r="AH12">
        <v>30</v>
      </c>
      <c r="AI12">
        <v>32</v>
      </c>
      <c r="AJ12">
        <v>7</v>
      </c>
      <c r="AK12">
        <v>52</v>
      </c>
      <c r="AL12" t="s">
        <v>284</v>
      </c>
      <c r="AM12" t="s">
        <v>285</v>
      </c>
      <c r="AN12" t="s">
        <v>286</v>
      </c>
      <c r="AO12" t="s">
        <v>360</v>
      </c>
      <c r="AP12" t="s">
        <v>361</v>
      </c>
      <c r="AQ12" t="s">
        <v>74</v>
      </c>
      <c r="AR12" t="s">
        <v>362</v>
      </c>
      <c r="AS12" t="s">
        <v>363</v>
      </c>
      <c r="AT12" t="s">
        <v>99</v>
      </c>
      <c r="AU12">
        <v>2020</v>
      </c>
      <c r="AV12">
        <v>36</v>
      </c>
      <c r="AW12" t="s">
        <v>74</v>
      </c>
      <c r="AX12" t="s">
        <v>74</v>
      </c>
      <c r="AY12" t="s">
        <v>74</v>
      </c>
      <c r="AZ12" t="s">
        <v>74</v>
      </c>
      <c r="BA12" t="s">
        <v>74</v>
      </c>
      <c r="BB12" t="s">
        <v>74</v>
      </c>
      <c r="BC12" t="s">
        <v>74</v>
      </c>
      <c r="BD12">
        <v>100657</v>
      </c>
      <c r="BE12" t="s">
        <v>364</v>
      </c>
      <c r="BF12" t="str">
        <f>HYPERLINK("http://dx.doi.org/10.1016/j.fbio.2020.100657","http://dx.doi.org/10.1016/j.fbio.2020.100657")</f>
        <v>http://dx.doi.org/10.1016/j.fbio.2020.100657</v>
      </c>
      <c r="BG12" t="s">
        <v>74</v>
      </c>
      <c r="BH12" t="s">
        <v>74</v>
      </c>
      <c r="BI12">
        <v>11</v>
      </c>
      <c r="BJ12" t="s">
        <v>365</v>
      </c>
      <c r="BK12" t="s">
        <v>102</v>
      </c>
      <c r="BL12" t="s">
        <v>365</v>
      </c>
      <c r="BM12" t="s">
        <v>366</v>
      </c>
      <c r="BN12" t="s">
        <v>74</v>
      </c>
      <c r="BO12" t="s">
        <v>74</v>
      </c>
      <c r="BP12" t="s">
        <v>74</v>
      </c>
      <c r="BQ12" t="s">
        <v>74</v>
      </c>
      <c r="BR12" t="s">
        <v>106</v>
      </c>
      <c r="BS12" t="s">
        <v>367</v>
      </c>
      <c r="BT12" t="str">
        <f>HYPERLINK("https%3A%2F%2Fwww.webofscience.com%2Fwos%2Fwoscc%2Ffull-record%2FWOS:000549901100005","View Full Record in Web of Science")</f>
        <v>View Full Record in Web of Science</v>
      </c>
    </row>
    <row r="13" spans="1:72" x14ac:dyDescent="0.15">
      <c r="A13" t="s">
        <v>72</v>
      </c>
      <c r="B13" t="s">
        <v>368</v>
      </c>
      <c r="C13" t="s">
        <v>74</v>
      </c>
      <c r="D13" t="s">
        <v>74</v>
      </c>
      <c r="E13" t="s">
        <v>74</v>
      </c>
      <c r="F13" t="s">
        <v>369</v>
      </c>
      <c r="G13" t="s">
        <v>74</v>
      </c>
      <c r="H13" t="s">
        <v>74</v>
      </c>
      <c r="I13" t="s">
        <v>370</v>
      </c>
      <c r="J13" t="s">
        <v>219</v>
      </c>
      <c r="K13" t="s">
        <v>74</v>
      </c>
      <c r="L13" t="s">
        <v>74</v>
      </c>
      <c r="M13" t="s">
        <v>78</v>
      </c>
      <c r="N13" t="s">
        <v>79</v>
      </c>
      <c r="O13" t="s">
        <v>74</v>
      </c>
      <c r="P13" t="s">
        <v>74</v>
      </c>
      <c r="Q13" t="s">
        <v>74</v>
      </c>
      <c r="R13" t="s">
        <v>74</v>
      </c>
      <c r="S13" t="s">
        <v>74</v>
      </c>
      <c r="T13" t="s">
        <v>371</v>
      </c>
      <c r="U13" t="s">
        <v>372</v>
      </c>
      <c r="V13" t="s">
        <v>373</v>
      </c>
      <c r="W13" t="s">
        <v>374</v>
      </c>
      <c r="X13" t="s">
        <v>74</v>
      </c>
      <c r="Y13" t="s">
        <v>375</v>
      </c>
      <c r="Z13" t="s">
        <v>376</v>
      </c>
      <c r="AA13" t="s">
        <v>74</v>
      </c>
      <c r="AB13" t="s">
        <v>74</v>
      </c>
      <c r="AC13" t="s">
        <v>377</v>
      </c>
      <c r="AD13" t="s">
        <v>378</v>
      </c>
      <c r="AE13" t="s">
        <v>379</v>
      </c>
      <c r="AF13" t="s">
        <v>74</v>
      </c>
      <c r="AG13">
        <v>51</v>
      </c>
      <c r="AH13">
        <v>16</v>
      </c>
      <c r="AI13">
        <v>17</v>
      </c>
      <c r="AJ13">
        <v>3</v>
      </c>
      <c r="AK13">
        <v>24</v>
      </c>
      <c r="AL13" t="s">
        <v>92</v>
      </c>
      <c r="AM13" t="s">
        <v>93</v>
      </c>
      <c r="AN13" t="s">
        <v>94</v>
      </c>
      <c r="AO13" t="s">
        <v>232</v>
      </c>
      <c r="AP13" t="s">
        <v>233</v>
      </c>
      <c r="AQ13" t="s">
        <v>74</v>
      </c>
      <c r="AR13" t="s">
        <v>234</v>
      </c>
      <c r="AS13" t="s">
        <v>235</v>
      </c>
      <c r="AT13" t="s">
        <v>99</v>
      </c>
      <c r="AU13">
        <v>2020</v>
      </c>
      <c r="AV13">
        <v>157</v>
      </c>
      <c r="AW13" t="s">
        <v>74</v>
      </c>
      <c r="AX13" t="s">
        <v>74</v>
      </c>
      <c r="AY13" t="s">
        <v>74</v>
      </c>
      <c r="AZ13" t="s">
        <v>74</v>
      </c>
      <c r="BA13" t="s">
        <v>74</v>
      </c>
      <c r="BB13" t="s">
        <v>74</v>
      </c>
      <c r="BC13" t="s">
        <v>74</v>
      </c>
      <c r="BD13">
        <v>111351</v>
      </c>
      <c r="BE13" t="s">
        <v>380</v>
      </c>
      <c r="BF13" t="str">
        <f>HYPERLINK("http://dx.doi.org/10.1016/j.marpolbul.2020.111351","http://dx.doi.org/10.1016/j.marpolbul.2020.111351")</f>
        <v>http://dx.doi.org/10.1016/j.marpolbul.2020.111351</v>
      </c>
      <c r="BG13" t="s">
        <v>74</v>
      </c>
      <c r="BH13" t="s">
        <v>74</v>
      </c>
      <c r="BI13">
        <v>6</v>
      </c>
      <c r="BJ13" t="s">
        <v>237</v>
      </c>
      <c r="BK13" t="s">
        <v>102</v>
      </c>
      <c r="BL13" t="s">
        <v>238</v>
      </c>
      <c r="BM13" t="s">
        <v>239</v>
      </c>
      <c r="BN13">
        <v>32658703</v>
      </c>
      <c r="BO13" t="s">
        <v>74</v>
      </c>
      <c r="BP13" t="s">
        <v>74</v>
      </c>
      <c r="BQ13" t="s">
        <v>74</v>
      </c>
      <c r="BR13" t="s">
        <v>106</v>
      </c>
      <c r="BS13" t="s">
        <v>381</v>
      </c>
      <c r="BT13" t="str">
        <f>HYPERLINK("https%3A%2F%2Fwww.webofscience.com%2Fwos%2Fwoscc%2Ffull-record%2FWOS:000548531100052","View Full Record in Web of Science")</f>
        <v>View Full Record in Web of Science</v>
      </c>
    </row>
    <row r="14" spans="1:72" x14ac:dyDescent="0.15">
      <c r="A14" t="s">
        <v>72</v>
      </c>
      <c r="B14" t="s">
        <v>382</v>
      </c>
      <c r="C14" t="s">
        <v>74</v>
      </c>
      <c r="D14" t="s">
        <v>74</v>
      </c>
      <c r="E14" t="s">
        <v>74</v>
      </c>
      <c r="F14" t="s">
        <v>383</v>
      </c>
      <c r="G14" t="s">
        <v>74</v>
      </c>
      <c r="H14" t="s">
        <v>74</v>
      </c>
      <c r="I14" t="s">
        <v>384</v>
      </c>
      <c r="J14" t="s">
        <v>385</v>
      </c>
      <c r="K14" t="s">
        <v>74</v>
      </c>
      <c r="L14" t="s">
        <v>74</v>
      </c>
      <c r="M14" t="s">
        <v>78</v>
      </c>
      <c r="N14" t="s">
        <v>79</v>
      </c>
      <c r="O14" t="s">
        <v>74</v>
      </c>
      <c r="P14" t="s">
        <v>74</v>
      </c>
      <c r="Q14" t="s">
        <v>74</v>
      </c>
      <c r="R14" t="s">
        <v>74</v>
      </c>
      <c r="S14" t="s">
        <v>74</v>
      </c>
      <c r="T14" t="s">
        <v>386</v>
      </c>
      <c r="U14" t="s">
        <v>387</v>
      </c>
      <c r="V14" t="s">
        <v>388</v>
      </c>
      <c r="W14" t="s">
        <v>389</v>
      </c>
      <c r="X14" t="s">
        <v>390</v>
      </c>
      <c r="Y14" t="s">
        <v>391</v>
      </c>
      <c r="Z14" t="s">
        <v>392</v>
      </c>
      <c r="AA14" t="s">
        <v>393</v>
      </c>
      <c r="AB14" t="s">
        <v>394</v>
      </c>
      <c r="AC14" t="s">
        <v>395</v>
      </c>
      <c r="AD14" t="s">
        <v>396</v>
      </c>
      <c r="AE14" t="s">
        <v>397</v>
      </c>
      <c r="AF14" t="s">
        <v>74</v>
      </c>
      <c r="AG14">
        <v>47</v>
      </c>
      <c r="AH14">
        <v>14</v>
      </c>
      <c r="AI14">
        <v>14</v>
      </c>
      <c r="AJ14">
        <v>1</v>
      </c>
      <c r="AK14">
        <v>9</v>
      </c>
      <c r="AL14" t="s">
        <v>398</v>
      </c>
      <c r="AM14" t="s">
        <v>399</v>
      </c>
      <c r="AN14" t="s">
        <v>400</v>
      </c>
      <c r="AO14" t="s">
        <v>401</v>
      </c>
      <c r="AP14" t="s">
        <v>402</v>
      </c>
      <c r="AQ14" t="s">
        <v>74</v>
      </c>
      <c r="AR14" t="s">
        <v>403</v>
      </c>
      <c r="AS14" t="s">
        <v>404</v>
      </c>
      <c r="AT14" t="s">
        <v>99</v>
      </c>
      <c r="AU14">
        <v>2020</v>
      </c>
      <c r="AV14">
        <v>246</v>
      </c>
      <c r="AW14" t="s">
        <v>74</v>
      </c>
      <c r="AX14" t="s">
        <v>74</v>
      </c>
      <c r="AY14" t="s">
        <v>74</v>
      </c>
      <c r="AZ14" t="s">
        <v>74</v>
      </c>
      <c r="BA14" t="s">
        <v>74</v>
      </c>
      <c r="BB14" t="s">
        <v>74</v>
      </c>
      <c r="BC14" t="s">
        <v>74</v>
      </c>
      <c r="BD14">
        <v>110705</v>
      </c>
      <c r="BE14" t="s">
        <v>405</v>
      </c>
      <c r="BF14" t="str">
        <f>HYPERLINK("http://dx.doi.org/10.1016/j.cbpa.2020.110705","http://dx.doi.org/10.1016/j.cbpa.2020.110705")</f>
        <v>http://dx.doi.org/10.1016/j.cbpa.2020.110705</v>
      </c>
      <c r="BG14" t="s">
        <v>74</v>
      </c>
      <c r="BH14" t="s">
        <v>74</v>
      </c>
      <c r="BI14">
        <v>6</v>
      </c>
      <c r="BJ14" t="s">
        <v>406</v>
      </c>
      <c r="BK14" t="s">
        <v>102</v>
      </c>
      <c r="BL14" t="s">
        <v>406</v>
      </c>
      <c r="BM14" t="s">
        <v>407</v>
      </c>
      <c r="BN14">
        <v>32339660</v>
      </c>
      <c r="BO14" t="s">
        <v>74</v>
      </c>
      <c r="BP14" t="s">
        <v>74</v>
      </c>
      <c r="BQ14" t="s">
        <v>74</v>
      </c>
      <c r="BR14" t="s">
        <v>106</v>
      </c>
      <c r="BS14" t="s">
        <v>408</v>
      </c>
      <c r="BT14" t="str">
        <f>HYPERLINK("https%3A%2F%2Fwww.webofscience.com%2Fwos%2Fwoscc%2Ffull-record%2FWOS:000546691400001","View Full Record in Web of Science")</f>
        <v>View Full Record in Web of Science</v>
      </c>
    </row>
    <row r="15" spans="1:72" x14ac:dyDescent="0.15">
      <c r="A15" t="s">
        <v>72</v>
      </c>
      <c r="B15" t="s">
        <v>409</v>
      </c>
      <c r="C15" t="s">
        <v>74</v>
      </c>
      <c r="D15" t="s">
        <v>74</v>
      </c>
      <c r="E15" t="s">
        <v>74</v>
      </c>
      <c r="F15" t="s">
        <v>410</v>
      </c>
      <c r="G15" t="s">
        <v>74</v>
      </c>
      <c r="H15" t="s">
        <v>74</v>
      </c>
      <c r="I15" t="s">
        <v>411</v>
      </c>
      <c r="J15" t="s">
        <v>412</v>
      </c>
      <c r="K15" t="s">
        <v>74</v>
      </c>
      <c r="L15" t="s">
        <v>74</v>
      </c>
      <c r="M15" t="s">
        <v>78</v>
      </c>
      <c r="N15" t="s">
        <v>79</v>
      </c>
      <c r="O15" t="s">
        <v>74</v>
      </c>
      <c r="P15" t="s">
        <v>74</v>
      </c>
      <c r="Q15" t="s">
        <v>74</v>
      </c>
      <c r="R15" t="s">
        <v>74</v>
      </c>
      <c r="S15" t="s">
        <v>74</v>
      </c>
      <c r="T15" t="s">
        <v>413</v>
      </c>
      <c r="U15" t="s">
        <v>414</v>
      </c>
      <c r="V15" t="s">
        <v>415</v>
      </c>
      <c r="W15" t="s">
        <v>416</v>
      </c>
      <c r="X15" t="s">
        <v>417</v>
      </c>
      <c r="Y15" t="s">
        <v>418</v>
      </c>
      <c r="Z15" t="s">
        <v>419</v>
      </c>
      <c r="AA15" t="s">
        <v>420</v>
      </c>
      <c r="AB15" t="s">
        <v>421</v>
      </c>
      <c r="AC15" t="s">
        <v>422</v>
      </c>
      <c r="AD15" t="s">
        <v>423</v>
      </c>
      <c r="AE15" t="s">
        <v>424</v>
      </c>
      <c r="AF15" t="s">
        <v>74</v>
      </c>
      <c r="AG15">
        <v>106</v>
      </c>
      <c r="AH15">
        <v>25</v>
      </c>
      <c r="AI15">
        <v>26</v>
      </c>
      <c r="AJ15">
        <v>1</v>
      </c>
      <c r="AK15">
        <v>4</v>
      </c>
      <c r="AL15" t="s">
        <v>92</v>
      </c>
      <c r="AM15" t="s">
        <v>93</v>
      </c>
      <c r="AN15" t="s">
        <v>94</v>
      </c>
      <c r="AO15" t="s">
        <v>425</v>
      </c>
      <c r="AP15" t="s">
        <v>426</v>
      </c>
      <c r="AQ15" t="s">
        <v>74</v>
      </c>
      <c r="AR15" t="s">
        <v>427</v>
      </c>
      <c r="AS15" t="s">
        <v>428</v>
      </c>
      <c r="AT15" t="s">
        <v>316</v>
      </c>
      <c r="AU15">
        <v>2020</v>
      </c>
      <c r="AV15">
        <v>282</v>
      </c>
      <c r="AW15" t="s">
        <v>74</v>
      </c>
      <c r="AX15" t="s">
        <v>74</v>
      </c>
      <c r="AY15" t="s">
        <v>74</v>
      </c>
      <c r="AZ15" t="s">
        <v>74</v>
      </c>
      <c r="BA15" t="s">
        <v>74</v>
      </c>
      <c r="BB15">
        <v>133</v>
      </c>
      <c r="BC15">
        <v>155</v>
      </c>
      <c r="BD15" t="s">
        <v>74</v>
      </c>
      <c r="BE15" t="s">
        <v>429</v>
      </c>
      <c r="BF15" t="str">
        <f>HYPERLINK("http://dx.doi.org/10.1016/j.gca.2020.05.014","http://dx.doi.org/10.1016/j.gca.2020.05.014")</f>
        <v>http://dx.doi.org/10.1016/j.gca.2020.05.014</v>
      </c>
      <c r="BG15" t="s">
        <v>74</v>
      </c>
      <c r="BH15" t="s">
        <v>74</v>
      </c>
      <c r="BI15">
        <v>23</v>
      </c>
      <c r="BJ15" t="s">
        <v>131</v>
      </c>
      <c r="BK15" t="s">
        <v>102</v>
      </c>
      <c r="BL15" t="s">
        <v>131</v>
      </c>
      <c r="BM15" t="s">
        <v>430</v>
      </c>
      <c r="BN15" t="s">
        <v>74</v>
      </c>
      <c r="BO15" t="s">
        <v>189</v>
      </c>
      <c r="BP15" t="s">
        <v>74</v>
      </c>
      <c r="BQ15" t="s">
        <v>74</v>
      </c>
      <c r="BR15" t="s">
        <v>106</v>
      </c>
      <c r="BS15" t="s">
        <v>431</v>
      </c>
      <c r="BT15" t="str">
        <f>HYPERLINK("https%3A%2F%2Fwww.webofscience.com%2Fwos%2Fwoscc%2Ffull-record%2FWOS:000546164200007","View Full Record in Web of Science")</f>
        <v>View Full Record in Web of Science</v>
      </c>
    </row>
    <row r="16" spans="1:72" x14ac:dyDescent="0.15">
      <c r="A16" t="s">
        <v>72</v>
      </c>
      <c r="B16" t="s">
        <v>432</v>
      </c>
      <c r="C16" t="s">
        <v>74</v>
      </c>
      <c r="D16" t="s">
        <v>74</v>
      </c>
      <c r="E16" t="s">
        <v>74</v>
      </c>
      <c r="F16" t="s">
        <v>433</v>
      </c>
      <c r="G16" t="s">
        <v>74</v>
      </c>
      <c r="H16" t="s">
        <v>74</v>
      </c>
      <c r="I16" t="s">
        <v>434</v>
      </c>
      <c r="J16" t="s">
        <v>412</v>
      </c>
      <c r="K16" t="s">
        <v>74</v>
      </c>
      <c r="L16" t="s">
        <v>74</v>
      </c>
      <c r="M16" t="s">
        <v>78</v>
      </c>
      <c r="N16" t="s">
        <v>79</v>
      </c>
      <c r="O16" t="s">
        <v>74</v>
      </c>
      <c r="P16" t="s">
        <v>74</v>
      </c>
      <c r="Q16" t="s">
        <v>74</v>
      </c>
      <c r="R16" t="s">
        <v>74</v>
      </c>
      <c r="S16" t="s">
        <v>74</v>
      </c>
      <c r="T16" t="s">
        <v>435</v>
      </c>
      <c r="U16" t="s">
        <v>436</v>
      </c>
      <c r="V16" t="s">
        <v>437</v>
      </c>
      <c r="W16" t="s">
        <v>438</v>
      </c>
      <c r="X16" t="s">
        <v>439</v>
      </c>
      <c r="Y16" t="s">
        <v>440</v>
      </c>
      <c r="Z16" t="s">
        <v>74</v>
      </c>
      <c r="AA16" t="s">
        <v>441</v>
      </c>
      <c r="AB16" t="s">
        <v>442</v>
      </c>
      <c r="AC16" t="s">
        <v>443</v>
      </c>
      <c r="AD16" t="s">
        <v>444</v>
      </c>
      <c r="AE16" t="s">
        <v>445</v>
      </c>
      <c r="AF16" t="s">
        <v>74</v>
      </c>
      <c r="AG16">
        <v>67</v>
      </c>
      <c r="AH16">
        <v>13</v>
      </c>
      <c r="AI16">
        <v>14</v>
      </c>
      <c r="AJ16">
        <v>1</v>
      </c>
      <c r="AK16">
        <v>27</v>
      </c>
      <c r="AL16" t="s">
        <v>92</v>
      </c>
      <c r="AM16" t="s">
        <v>93</v>
      </c>
      <c r="AN16" t="s">
        <v>94</v>
      </c>
      <c r="AO16" t="s">
        <v>425</v>
      </c>
      <c r="AP16" t="s">
        <v>426</v>
      </c>
      <c r="AQ16" t="s">
        <v>74</v>
      </c>
      <c r="AR16" t="s">
        <v>427</v>
      </c>
      <c r="AS16" t="s">
        <v>428</v>
      </c>
      <c r="AT16" t="s">
        <v>316</v>
      </c>
      <c r="AU16">
        <v>2020</v>
      </c>
      <c r="AV16">
        <v>282</v>
      </c>
      <c r="AW16" t="s">
        <v>74</v>
      </c>
      <c r="AX16" t="s">
        <v>74</v>
      </c>
      <c r="AY16" t="s">
        <v>74</v>
      </c>
      <c r="AZ16" t="s">
        <v>74</v>
      </c>
      <c r="BA16" t="s">
        <v>74</v>
      </c>
      <c r="BB16">
        <v>156</v>
      </c>
      <c r="BC16">
        <v>176</v>
      </c>
      <c r="BD16" t="s">
        <v>74</v>
      </c>
      <c r="BE16" t="s">
        <v>446</v>
      </c>
      <c r="BF16" t="str">
        <f>HYPERLINK("http://dx.doi.org/10.1016/j.gca.2020.05.028","http://dx.doi.org/10.1016/j.gca.2020.05.028")</f>
        <v>http://dx.doi.org/10.1016/j.gca.2020.05.028</v>
      </c>
      <c r="BG16" t="s">
        <v>74</v>
      </c>
      <c r="BH16" t="s">
        <v>74</v>
      </c>
      <c r="BI16">
        <v>21</v>
      </c>
      <c r="BJ16" t="s">
        <v>131</v>
      </c>
      <c r="BK16" t="s">
        <v>102</v>
      </c>
      <c r="BL16" t="s">
        <v>131</v>
      </c>
      <c r="BM16" t="s">
        <v>447</v>
      </c>
      <c r="BN16" t="s">
        <v>74</v>
      </c>
      <c r="BO16" t="s">
        <v>448</v>
      </c>
      <c r="BP16" t="s">
        <v>74</v>
      </c>
      <c r="BQ16" t="s">
        <v>74</v>
      </c>
      <c r="BR16" t="s">
        <v>106</v>
      </c>
      <c r="BS16" t="s">
        <v>449</v>
      </c>
      <c r="BT16" t="str">
        <f>HYPERLINK("https%3A%2F%2Fwww.webofscience.com%2Fwos%2Fwoscc%2Ffull-record%2FWOS:000545632300002","View Full Record in Web of Science")</f>
        <v>View Full Record in Web of Science</v>
      </c>
    </row>
    <row r="17" spans="1:72" x14ac:dyDescent="0.15">
      <c r="A17" t="s">
        <v>72</v>
      </c>
      <c r="B17" t="s">
        <v>450</v>
      </c>
      <c r="C17" t="s">
        <v>74</v>
      </c>
      <c r="D17" t="s">
        <v>74</v>
      </c>
      <c r="E17" t="s">
        <v>74</v>
      </c>
      <c r="F17" t="s">
        <v>451</v>
      </c>
      <c r="G17" t="s">
        <v>74</v>
      </c>
      <c r="H17" t="s">
        <v>74</v>
      </c>
      <c r="I17" t="s">
        <v>452</v>
      </c>
      <c r="J17" t="s">
        <v>453</v>
      </c>
      <c r="K17" t="s">
        <v>74</v>
      </c>
      <c r="L17" t="s">
        <v>74</v>
      </c>
      <c r="M17" t="s">
        <v>78</v>
      </c>
      <c r="N17" t="s">
        <v>79</v>
      </c>
      <c r="O17" t="s">
        <v>74</v>
      </c>
      <c r="P17" t="s">
        <v>74</v>
      </c>
      <c r="Q17" t="s">
        <v>74</v>
      </c>
      <c r="R17" t="s">
        <v>74</v>
      </c>
      <c r="S17" t="s">
        <v>74</v>
      </c>
      <c r="T17" t="s">
        <v>454</v>
      </c>
      <c r="U17" t="s">
        <v>455</v>
      </c>
      <c r="V17" t="s">
        <v>456</v>
      </c>
      <c r="W17" t="s">
        <v>457</v>
      </c>
      <c r="X17" t="s">
        <v>458</v>
      </c>
      <c r="Y17" t="s">
        <v>459</v>
      </c>
      <c r="Z17" t="s">
        <v>460</v>
      </c>
      <c r="AA17" t="s">
        <v>461</v>
      </c>
      <c r="AB17" t="s">
        <v>462</v>
      </c>
      <c r="AC17" t="s">
        <v>463</v>
      </c>
      <c r="AD17" t="s">
        <v>464</v>
      </c>
      <c r="AE17" t="s">
        <v>465</v>
      </c>
      <c r="AF17" t="s">
        <v>74</v>
      </c>
      <c r="AG17">
        <v>113</v>
      </c>
      <c r="AH17">
        <v>7</v>
      </c>
      <c r="AI17">
        <v>8</v>
      </c>
      <c r="AJ17">
        <v>0</v>
      </c>
      <c r="AK17">
        <v>4</v>
      </c>
      <c r="AL17" t="s">
        <v>284</v>
      </c>
      <c r="AM17" t="s">
        <v>285</v>
      </c>
      <c r="AN17" t="s">
        <v>286</v>
      </c>
      <c r="AO17" t="s">
        <v>466</v>
      </c>
      <c r="AP17" t="s">
        <v>467</v>
      </c>
      <c r="AQ17" t="s">
        <v>74</v>
      </c>
      <c r="AR17" t="s">
        <v>468</v>
      </c>
      <c r="AS17" t="s">
        <v>469</v>
      </c>
      <c r="AT17" t="s">
        <v>99</v>
      </c>
      <c r="AU17">
        <v>2020</v>
      </c>
      <c r="AV17">
        <v>84</v>
      </c>
      <c r="AW17" t="s">
        <v>74</v>
      </c>
      <c r="AX17" t="s">
        <v>74</v>
      </c>
      <c r="AY17" t="s">
        <v>74</v>
      </c>
      <c r="AZ17" t="s">
        <v>74</v>
      </c>
      <c r="BA17" t="s">
        <v>74</v>
      </c>
      <c r="BB17">
        <v>177</v>
      </c>
      <c r="BC17">
        <v>193</v>
      </c>
      <c r="BD17" t="s">
        <v>74</v>
      </c>
      <c r="BE17" t="s">
        <v>470</v>
      </c>
      <c r="BF17" t="str">
        <f>HYPERLINK("http://dx.doi.org/10.1016/j.gr.2020.02.011","http://dx.doi.org/10.1016/j.gr.2020.02.011")</f>
        <v>http://dx.doi.org/10.1016/j.gr.2020.02.011</v>
      </c>
      <c r="BG17" t="s">
        <v>74</v>
      </c>
      <c r="BH17" t="s">
        <v>74</v>
      </c>
      <c r="BI17">
        <v>17</v>
      </c>
      <c r="BJ17" t="s">
        <v>471</v>
      </c>
      <c r="BK17" t="s">
        <v>102</v>
      </c>
      <c r="BL17" t="s">
        <v>472</v>
      </c>
      <c r="BM17" t="s">
        <v>473</v>
      </c>
      <c r="BN17" t="s">
        <v>74</v>
      </c>
      <c r="BO17" t="s">
        <v>74</v>
      </c>
      <c r="BP17" t="s">
        <v>74</v>
      </c>
      <c r="BQ17" t="s">
        <v>74</v>
      </c>
      <c r="BR17" t="s">
        <v>106</v>
      </c>
      <c r="BS17" t="s">
        <v>474</v>
      </c>
      <c r="BT17" t="str">
        <f>HYPERLINK("https%3A%2F%2Fwww.webofscience.com%2Fwos%2Fwoscc%2Ffull-record%2FWOS:000542985400011","View Full Record in Web of Science")</f>
        <v>View Full Record in Web of Science</v>
      </c>
    </row>
    <row r="18" spans="1:72" x14ac:dyDescent="0.15">
      <c r="A18" t="s">
        <v>72</v>
      </c>
      <c r="B18" t="s">
        <v>475</v>
      </c>
      <c r="C18" t="s">
        <v>74</v>
      </c>
      <c r="D18" t="s">
        <v>74</v>
      </c>
      <c r="E18" t="s">
        <v>74</v>
      </c>
      <c r="F18" t="s">
        <v>476</v>
      </c>
      <c r="G18" t="s">
        <v>74</v>
      </c>
      <c r="H18" t="s">
        <v>74</v>
      </c>
      <c r="I18" t="s">
        <v>477</v>
      </c>
      <c r="J18" t="s">
        <v>453</v>
      </c>
      <c r="K18" t="s">
        <v>74</v>
      </c>
      <c r="L18" t="s">
        <v>74</v>
      </c>
      <c r="M18" t="s">
        <v>78</v>
      </c>
      <c r="N18" t="s">
        <v>79</v>
      </c>
      <c r="O18" t="s">
        <v>74</v>
      </c>
      <c r="P18" t="s">
        <v>74</v>
      </c>
      <c r="Q18" t="s">
        <v>74</v>
      </c>
      <c r="R18" t="s">
        <v>74</v>
      </c>
      <c r="S18" t="s">
        <v>74</v>
      </c>
      <c r="T18" t="s">
        <v>478</v>
      </c>
      <c r="U18" t="s">
        <v>479</v>
      </c>
      <c r="V18" t="s">
        <v>480</v>
      </c>
      <c r="W18" t="s">
        <v>481</v>
      </c>
      <c r="X18" t="s">
        <v>482</v>
      </c>
      <c r="Y18" t="s">
        <v>483</v>
      </c>
      <c r="Z18" t="s">
        <v>484</v>
      </c>
      <c r="AA18" t="s">
        <v>485</v>
      </c>
      <c r="AB18" t="s">
        <v>486</v>
      </c>
      <c r="AC18" t="s">
        <v>487</v>
      </c>
      <c r="AD18" t="s">
        <v>488</v>
      </c>
      <c r="AE18" t="s">
        <v>489</v>
      </c>
      <c r="AF18" t="s">
        <v>74</v>
      </c>
      <c r="AG18">
        <v>84</v>
      </c>
      <c r="AH18">
        <v>29</v>
      </c>
      <c r="AI18">
        <v>30</v>
      </c>
      <c r="AJ18">
        <v>0</v>
      </c>
      <c r="AK18">
        <v>20</v>
      </c>
      <c r="AL18" t="s">
        <v>284</v>
      </c>
      <c r="AM18" t="s">
        <v>285</v>
      </c>
      <c r="AN18" t="s">
        <v>286</v>
      </c>
      <c r="AO18" t="s">
        <v>466</v>
      </c>
      <c r="AP18" t="s">
        <v>467</v>
      </c>
      <c r="AQ18" t="s">
        <v>74</v>
      </c>
      <c r="AR18" t="s">
        <v>468</v>
      </c>
      <c r="AS18" t="s">
        <v>469</v>
      </c>
      <c r="AT18" t="s">
        <v>99</v>
      </c>
      <c r="AU18">
        <v>2020</v>
      </c>
      <c r="AV18">
        <v>84</v>
      </c>
      <c r="AW18" t="s">
        <v>74</v>
      </c>
      <c r="AX18" t="s">
        <v>74</v>
      </c>
      <c r="AY18" t="s">
        <v>74</v>
      </c>
      <c r="AZ18" t="s">
        <v>74</v>
      </c>
      <c r="BA18" t="s">
        <v>74</v>
      </c>
      <c r="BB18">
        <v>229</v>
      </c>
      <c r="BC18">
        <v>244</v>
      </c>
      <c r="BD18" t="s">
        <v>74</v>
      </c>
      <c r="BE18" t="s">
        <v>490</v>
      </c>
      <c r="BF18" t="str">
        <f>HYPERLINK("http://dx.doi.org/10.1016/j.gr.2020.03.006","http://dx.doi.org/10.1016/j.gr.2020.03.006")</f>
        <v>http://dx.doi.org/10.1016/j.gr.2020.03.006</v>
      </c>
      <c r="BG18" t="s">
        <v>74</v>
      </c>
      <c r="BH18" t="s">
        <v>74</v>
      </c>
      <c r="BI18">
        <v>16</v>
      </c>
      <c r="BJ18" t="s">
        <v>471</v>
      </c>
      <c r="BK18" t="s">
        <v>102</v>
      </c>
      <c r="BL18" t="s">
        <v>472</v>
      </c>
      <c r="BM18" t="s">
        <v>473</v>
      </c>
      <c r="BN18" t="s">
        <v>74</v>
      </c>
      <c r="BO18" t="s">
        <v>491</v>
      </c>
      <c r="BP18" t="s">
        <v>74</v>
      </c>
      <c r="BQ18" t="s">
        <v>74</v>
      </c>
      <c r="BR18" t="s">
        <v>106</v>
      </c>
      <c r="BS18" t="s">
        <v>492</v>
      </c>
      <c r="BT18" t="str">
        <f>HYPERLINK("https%3A%2F%2Fwww.webofscience.com%2Fwos%2Fwoscc%2Ffull-record%2FWOS:000542985400014","View Full Record in Web of Science")</f>
        <v>View Full Record in Web of Science</v>
      </c>
    </row>
    <row r="19" spans="1:72" x14ac:dyDescent="0.15">
      <c r="A19" t="s">
        <v>72</v>
      </c>
      <c r="B19" t="s">
        <v>493</v>
      </c>
      <c r="C19" t="s">
        <v>74</v>
      </c>
      <c r="D19" t="s">
        <v>74</v>
      </c>
      <c r="E19" t="s">
        <v>74</v>
      </c>
      <c r="F19" t="s">
        <v>494</v>
      </c>
      <c r="G19" t="s">
        <v>74</v>
      </c>
      <c r="H19" t="s">
        <v>74</v>
      </c>
      <c r="I19" t="s">
        <v>495</v>
      </c>
      <c r="J19" t="s">
        <v>453</v>
      </c>
      <c r="K19" t="s">
        <v>74</v>
      </c>
      <c r="L19" t="s">
        <v>74</v>
      </c>
      <c r="M19" t="s">
        <v>78</v>
      </c>
      <c r="N19" t="s">
        <v>79</v>
      </c>
      <c r="O19" t="s">
        <v>74</v>
      </c>
      <c r="P19" t="s">
        <v>74</v>
      </c>
      <c r="Q19" t="s">
        <v>74</v>
      </c>
      <c r="R19" t="s">
        <v>74</v>
      </c>
      <c r="S19" t="s">
        <v>74</v>
      </c>
      <c r="T19" t="s">
        <v>74</v>
      </c>
      <c r="U19" t="s">
        <v>496</v>
      </c>
      <c r="V19" t="s">
        <v>497</v>
      </c>
      <c r="W19" t="s">
        <v>498</v>
      </c>
      <c r="X19" t="s">
        <v>499</v>
      </c>
      <c r="Y19" t="s">
        <v>500</v>
      </c>
      <c r="Z19" t="s">
        <v>501</v>
      </c>
      <c r="AA19" t="s">
        <v>502</v>
      </c>
      <c r="AB19" t="s">
        <v>503</v>
      </c>
      <c r="AC19" t="s">
        <v>504</v>
      </c>
      <c r="AD19" t="s">
        <v>505</v>
      </c>
      <c r="AE19" t="s">
        <v>506</v>
      </c>
      <c r="AF19" t="s">
        <v>74</v>
      </c>
      <c r="AG19">
        <v>159</v>
      </c>
      <c r="AH19">
        <v>20</v>
      </c>
      <c r="AI19">
        <v>20</v>
      </c>
      <c r="AJ19">
        <v>4</v>
      </c>
      <c r="AK19">
        <v>15</v>
      </c>
      <c r="AL19" t="s">
        <v>284</v>
      </c>
      <c r="AM19" t="s">
        <v>285</v>
      </c>
      <c r="AN19" t="s">
        <v>286</v>
      </c>
      <c r="AO19" t="s">
        <v>466</v>
      </c>
      <c r="AP19" t="s">
        <v>467</v>
      </c>
      <c r="AQ19" t="s">
        <v>74</v>
      </c>
      <c r="AR19" t="s">
        <v>468</v>
      </c>
      <c r="AS19" t="s">
        <v>469</v>
      </c>
      <c r="AT19" t="s">
        <v>99</v>
      </c>
      <c r="AU19">
        <v>2020</v>
      </c>
      <c r="AV19">
        <v>84</v>
      </c>
      <c r="AW19" t="s">
        <v>74</v>
      </c>
      <c r="AX19" t="s">
        <v>74</v>
      </c>
      <c r="AY19" t="s">
        <v>74</v>
      </c>
      <c r="AZ19" t="s">
        <v>74</v>
      </c>
      <c r="BA19" t="s">
        <v>74</v>
      </c>
      <c r="BB19">
        <v>260</v>
      </c>
      <c r="BC19">
        <v>283</v>
      </c>
      <c r="BD19" t="s">
        <v>74</v>
      </c>
      <c r="BE19" t="s">
        <v>507</v>
      </c>
      <c r="BF19" t="str">
        <f>HYPERLINK("http://dx.doi.org/10.1016/j.gr.2020.05.002","http://dx.doi.org/10.1016/j.gr.2020.05.002")</f>
        <v>http://dx.doi.org/10.1016/j.gr.2020.05.002</v>
      </c>
      <c r="BG19" t="s">
        <v>74</v>
      </c>
      <c r="BH19" t="s">
        <v>74</v>
      </c>
      <c r="BI19">
        <v>24</v>
      </c>
      <c r="BJ19" t="s">
        <v>471</v>
      </c>
      <c r="BK19" t="s">
        <v>102</v>
      </c>
      <c r="BL19" t="s">
        <v>472</v>
      </c>
      <c r="BM19" t="s">
        <v>473</v>
      </c>
      <c r="BN19" t="s">
        <v>74</v>
      </c>
      <c r="BO19" t="s">
        <v>74</v>
      </c>
      <c r="BP19" t="s">
        <v>74</v>
      </c>
      <c r="BQ19" t="s">
        <v>74</v>
      </c>
      <c r="BR19" t="s">
        <v>106</v>
      </c>
      <c r="BS19" t="s">
        <v>508</v>
      </c>
      <c r="BT19" t="str">
        <f>HYPERLINK("https%3A%2F%2Fwww.webofscience.com%2Fwos%2Fwoscc%2Ffull-record%2FWOS:000542985400016","View Full Record in Web of Science")</f>
        <v>View Full Record in Web of Science</v>
      </c>
    </row>
    <row r="20" spans="1:72" x14ac:dyDescent="0.15">
      <c r="A20" t="s">
        <v>72</v>
      </c>
      <c r="B20" t="s">
        <v>509</v>
      </c>
      <c r="C20" t="s">
        <v>74</v>
      </c>
      <c r="D20" t="s">
        <v>74</v>
      </c>
      <c r="E20" t="s">
        <v>74</v>
      </c>
      <c r="F20" t="s">
        <v>510</v>
      </c>
      <c r="G20" t="s">
        <v>74</v>
      </c>
      <c r="H20" t="s">
        <v>74</v>
      </c>
      <c r="I20" t="s">
        <v>511</v>
      </c>
      <c r="J20" t="s">
        <v>512</v>
      </c>
      <c r="K20" t="s">
        <v>74</v>
      </c>
      <c r="L20" t="s">
        <v>74</v>
      </c>
      <c r="M20" t="s">
        <v>78</v>
      </c>
      <c r="N20" t="s">
        <v>79</v>
      </c>
      <c r="O20" t="s">
        <v>74</v>
      </c>
      <c r="P20" t="s">
        <v>74</v>
      </c>
      <c r="Q20" t="s">
        <v>74</v>
      </c>
      <c r="R20" t="s">
        <v>74</v>
      </c>
      <c r="S20" t="s">
        <v>74</v>
      </c>
      <c r="T20" t="s">
        <v>513</v>
      </c>
      <c r="U20" t="s">
        <v>514</v>
      </c>
      <c r="V20" t="s">
        <v>515</v>
      </c>
      <c r="W20" t="s">
        <v>516</v>
      </c>
      <c r="X20" t="s">
        <v>517</v>
      </c>
      <c r="Y20" t="s">
        <v>518</v>
      </c>
      <c r="Z20" t="s">
        <v>519</v>
      </c>
      <c r="AA20" t="s">
        <v>520</v>
      </c>
      <c r="AB20" t="s">
        <v>521</v>
      </c>
      <c r="AC20" t="s">
        <v>522</v>
      </c>
      <c r="AD20" t="s">
        <v>523</v>
      </c>
      <c r="AE20" t="s">
        <v>524</v>
      </c>
      <c r="AF20" t="s">
        <v>74</v>
      </c>
      <c r="AG20">
        <v>37</v>
      </c>
      <c r="AH20">
        <v>0</v>
      </c>
      <c r="AI20">
        <v>0</v>
      </c>
      <c r="AJ20">
        <v>0</v>
      </c>
      <c r="AK20">
        <v>7</v>
      </c>
      <c r="AL20" t="s">
        <v>284</v>
      </c>
      <c r="AM20" t="s">
        <v>285</v>
      </c>
      <c r="AN20" t="s">
        <v>286</v>
      </c>
      <c r="AO20" t="s">
        <v>525</v>
      </c>
      <c r="AP20" t="s">
        <v>526</v>
      </c>
      <c r="AQ20" t="s">
        <v>74</v>
      </c>
      <c r="AR20" t="s">
        <v>527</v>
      </c>
      <c r="AS20" t="s">
        <v>528</v>
      </c>
      <c r="AT20" t="s">
        <v>99</v>
      </c>
      <c r="AU20">
        <v>2020</v>
      </c>
      <c r="AV20">
        <v>52</v>
      </c>
      <c r="AW20" t="s">
        <v>74</v>
      </c>
      <c r="AX20" t="s">
        <v>74</v>
      </c>
      <c r="AY20" t="s">
        <v>74</v>
      </c>
      <c r="AZ20" t="s">
        <v>74</v>
      </c>
      <c r="BA20" t="s">
        <v>74</v>
      </c>
      <c r="BB20" t="s">
        <v>74</v>
      </c>
      <c r="BC20" t="s">
        <v>74</v>
      </c>
      <c r="BD20">
        <v>100737</v>
      </c>
      <c r="BE20" t="s">
        <v>529</v>
      </c>
      <c r="BF20" t="str">
        <f>HYPERLINK("http://dx.doi.org/10.1016/j.margen.2019.100737","http://dx.doi.org/10.1016/j.margen.2019.100737")</f>
        <v>http://dx.doi.org/10.1016/j.margen.2019.100737</v>
      </c>
      <c r="BG20" t="s">
        <v>74</v>
      </c>
      <c r="BH20" t="s">
        <v>74</v>
      </c>
      <c r="BI20">
        <v>5</v>
      </c>
      <c r="BJ20" t="s">
        <v>530</v>
      </c>
      <c r="BK20" t="s">
        <v>102</v>
      </c>
      <c r="BL20" t="s">
        <v>530</v>
      </c>
      <c r="BM20" t="s">
        <v>531</v>
      </c>
      <c r="BN20">
        <v>31892467</v>
      </c>
      <c r="BO20" t="s">
        <v>189</v>
      </c>
      <c r="BP20" t="s">
        <v>74</v>
      </c>
      <c r="BQ20" t="s">
        <v>74</v>
      </c>
      <c r="BR20" t="s">
        <v>106</v>
      </c>
      <c r="BS20" t="s">
        <v>532</v>
      </c>
      <c r="BT20" t="str">
        <f>HYPERLINK("https%3A%2F%2Fwww.webofscience.com%2Fwos%2Fwoscc%2Ffull-record%2FWOS:000543247400006","View Full Record in Web of Science")</f>
        <v>View Full Record in Web of Science</v>
      </c>
    </row>
    <row r="21" spans="1:72" x14ac:dyDescent="0.15">
      <c r="A21" t="s">
        <v>72</v>
      </c>
      <c r="B21" t="s">
        <v>533</v>
      </c>
      <c r="C21" t="s">
        <v>74</v>
      </c>
      <c r="D21" t="s">
        <v>74</v>
      </c>
      <c r="E21" t="s">
        <v>74</v>
      </c>
      <c r="F21" t="s">
        <v>534</v>
      </c>
      <c r="G21" t="s">
        <v>74</v>
      </c>
      <c r="H21" t="s">
        <v>74</v>
      </c>
      <c r="I21" t="s">
        <v>535</v>
      </c>
      <c r="J21" t="s">
        <v>536</v>
      </c>
      <c r="K21" t="s">
        <v>74</v>
      </c>
      <c r="L21" t="s">
        <v>74</v>
      </c>
      <c r="M21" t="s">
        <v>78</v>
      </c>
      <c r="N21" t="s">
        <v>79</v>
      </c>
      <c r="O21" t="s">
        <v>74</v>
      </c>
      <c r="P21" t="s">
        <v>74</v>
      </c>
      <c r="Q21" t="s">
        <v>74</v>
      </c>
      <c r="R21" t="s">
        <v>74</v>
      </c>
      <c r="S21" t="s">
        <v>74</v>
      </c>
      <c r="T21" t="s">
        <v>537</v>
      </c>
      <c r="U21" t="s">
        <v>538</v>
      </c>
      <c r="V21" t="s">
        <v>539</v>
      </c>
      <c r="W21" t="s">
        <v>540</v>
      </c>
      <c r="X21" t="s">
        <v>541</v>
      </c>
      <c r="Y21" t="s">
        <v>542</v>
      </c>
      <c r="Z21" t="s">
        <v>543</v>
      </c>
      <c r="AA21" t="s">
        <v>544</v>
      </c>
      <c r="AB21" t="s">
        <v>545</v>
      </c>
      <c r="AC21" t="s">
        <v>546</v>
      </c>
      <c r="AD21" t="s">
        <v>547</v>
      </c>
      <c r="AE21" t="s">
        <v>548</v>
      </c>
      <c r="AF21" t="s">
        <v>74</v>
      </c>
      <c r="AG21">
        <v>65</v>
      </c>
      <c r="AH21">
        <v>1</v>
      </c>
      <c r="AI21">
        <v>2</v>
      </c>
      <c r="AJ21">
        <v>2</v>
      </c>
      <c r="AK21">
        <v>29</v>
      </c>
      <c r="AL21" t="s">
        <v>549</v>
      </c>
      <c r="AM21" t="s">
        <v>550</v>
      </c>
      <c r="AN21" t="s">
        <v>551</v>
      </c>
      <c r="AO21" t="s">
        <v>552</v>
      </c>
      <c r="AP21" t="s">
        <v>553</v>
      </c>
      <c r="AQ21" t="s">
        <v>74</v>
      </c>
      <c r="AR21" t="s">
        <v>554</v>
      </c>
      <c r="AS21" t="s">
        <v>555</v>
      </c>
      <c r="AT21" t="s">
        <v>99</v>
      </c>
      <c r="AU21">
        <v>2020</v>
      </c>
      <c r="AV21">
        <v>187</v>
      </c>
      <c r="AW21" t="s">
        <v>74</v>
      </c>
      <c r="AX21" t="s">
        <v>74</v>
      </c>
      <c r="AY21" t="s">
        <v>74</v>
      </c>
      <c r="AZ21" t="s">
        <v>74</v>
      </c>
      <c r="BA21" t="s">
        <v>74</v>
      </c>
      <c r="BB21" t="s">
        <v>74</v>
      </c>
      <c r="BC21" t="s">
        <v>74</v>
      </c>
      <c r="BD21">
        <v>109680</v>
      </c>
      <c r="BE21" t="s">
        <v>556</v>
      </c>
      <c r="BF21" t="str">
        <f>HYPERLINK("http://dx.doi.org/10.1016/j.envres.2020.109680","http://dx.doi.org/10.1016/j.envres.2020.109680")</f>
        <v>http://dx.doi.org/10.1016/j.envres.2020.109680</v>
      </c>
      <c r="BG21" t="s">
        <v>74</v>
      </c>
      <c r="BH21" t="s">
        <v>74</v>
      </c>
      <c r="BI21">
        <v>7</v>
      </c>
      <c r="BJ21" t="s">
        <v>557</v>
      </c>
      <c r="BK21" t="s">
        <v>102</v>
      </c>
      <c r="BL21" t="s">
        <v>558</v>
      </c>
      <c r="BM21" t="s">
        <v>559</v>
      </c>
      <c r="BN21">
        <v>32460095</v>
      </c>
      <c r="BO21" t="s">
        <v>560</v>
      </c>
      <c r="BP21" t="s">
        <v>74</v>
      </c>
      <c r="BQ21" t="s">
        <v>74</v>
      </c>
      <c r="BR21" t="s">
        <v>106</v>
      </c>
      <c r="BS21" t="s">
        <v>561</v>
      </c>
      <c r="BT21" t="str">
        <f>HYPERLINK("https%3A%2F%2Fwww.webofscience.com%2Fwos%2Fwoscc%2Ffull-record%2FWOS:000541251900062","View Full Record in Web of Science")</f>
        <v>View Full Record in Web of Science</v>
      </c>
    </row>
    <row r="22" spans="1:72" x14ac:dyDescent="0.15">
      <c r="A22" t="s">
        <v>72</v>
      </c>
      <c r="B22" t="s">
        <v>562</v>
      </c>
      <c r="C22" t="s">
        <v>74</v>
      </c>
      <c r="D22" t="s">
        <v>74</v>
      </c>
      <c r="E22" t="s">
        <v>74</v>
      </c>
      <c r="F22" t="s">
        <v>563</v>
      </c>
      <c r="G22" t="s">
        <v>74</v>
      </c>
      <c r="H22" t="s">
        <v>74</v>
      </c>
      <c r="I22" t="s">
        <v>564</v>
      </c>
      <c r="J22" t="s">
        <v>565</v>
      </c>
      <c r="K22" t="s">
        <v>74</v>
      </c>
      <c r="L22" t="s">
        <v>74</v>
      </c>
      <c r="M22" t="s">
        <v>78</v>
      </c>
      <c r="N22" t="s">
        <v>79</v>
      </c>
      <c r="O22" t="s">
        <v>74</v>
      </c>
      <c r="P22" t="s">
        <v>74</v>
      </c>
      <c r="Q22" t="s">
        <v>74</v>
      </c>
      <c r="R22" t="s">
        <v>74</v>
      </c>
      <c r="S22" t="s">
        <v>74</v>
      </c>
      <c r="T22" t="s">
        <v>566</v>
      </c>
      <c r="U22" t="s">
        <v>567</v>
      </c>
      <c r="V22" t="s">
        <v>568</v>
      </c>
      <c r="W22" t="s">
        <v>569</v>
      </c>
      <c r="X22" t="s">
        <v>570</v>
      </c>
      <c r="Y22" t="s">
        <v>571</v>
      </c>
      <c r="Z22" t="s">
        <v>572</v>
      </c>
      <c r="AA22" t="s">
        <v>573</v>
      </c>
      <c r="AB22" t="s">
        <v>574</v>
      </c>
      <c r="AC22" t="s">
        <v>575</v>
      </c>
      <c r="AD22" t="s">
        <v>576</v>
      </c>
      <c r="AE22" t="s">
        <v>577</v>
      </c>
      <c r="AF22" t="s">
        <v>74</v>
      </c>
      <c r="AG22">
        <v>110</v>
      </c>
      <c r="AH22">
        <v>7</v>
      </c>
      <c r="AI22">
        <v>7</v>
      </c>
      <c r="AJ22">
        <v>0</v>
      </c>
      <c r="AK22">
        <v>32</v>
      </c>
      <c r="AL22" t="s">
        <v>578</v>
      </c>
      <c r="AM22" t="s">
        <v>93</v>
      </c>
      <c r="AN22" t="s">
        <v>579</v>
      </c>
      <c r="AO22" t="s">
        <v>580</v>
      </c>
      <c r="AP22" t="s">
        <v>581</v>
      </c>
      <c r="AQ22" t="s">
        <v>74</v>
      </c>
      <c r="AR22" t="s">
        <v>582</v>
      </c>
      <c r="AS22" t="s">
        <v>583</v>
      </c>
      <c r="AT22" t="s">
        <v>99</v>
      </c>
      <c r="AU22">
        <v>2020</v>
      </c>
      <c r="AV22">
        <v>263</v>
      </c>
      <c r="AW22" t="s">
        <v>74</v>
      </c>
      <c r="AX22" t="s">
        <v>584</v>
      </c>
      <c r="AY22" t="s">
        <v>74</v>
      </c>
      <c r="AZ22" t="s">
        <v>74</v>
      </c>
      <c r="BA22" t="s">
        <v>74</v>
      </c>
      <c r="BB22" t="s">
        <v>74</v>
      </c>
      <c r="BC22" t="s">
        <v>74</v>
      </c>
      <c r="BD22">
        <v>114631</v>
      </c>
      <c r="BE22" t="s">
        <v>585</v>
      </c>
      <c r="BF22" t="str">
        <f>HYPERLINK("http://dx.doi.org/10.1016/j.envpol.2020.114631","http://dx.doi.org/10.1016/j.envpol.2020.114631")</f>
        <v>http://dx.doi.org/10.1016/j.envpol.2020.114631</v>
      </c>
      <c r="BG22" t="s">
        <v>74</v>
      </c>
      <c r="BH22" t="s">
        <v>74</v>
      </c>
      <c r="BI22">
        <v>7</v>
      </c>
      <c r="BJ22" t="s">
        <v>101</v>
      </c>
      <c r="BK22" t="s">
        <v>102</v>
      </c>
      <c r="BL22" t="s">
        <v>103</v>
      </c>
      <c r="BM22" t="s">
        <v>586</v>
      </c>
      <c r="BN22" t="s">
        <v>74</v>
      </c>
      <c r="BO22" t="s">
        <v>491</v>
      </c>
      <c r="BP22" t="s">
        <v>74</v>
      </c>
      <c r="BQ22" t="s">
        <v>74</v>
      </c>
      <c r="BR22" t="s">
        <v>106</v>
      </c>
      <c r="BS22" t="s">
        <v>587</v>
      </c>
      <c r="BT22" t="str">
        <f>HYPERLINK("https%3A%2F%2Fwww.webofscience.com%2Fwos%2Fwoscc%2Ffull-record%2FWOS:000539427600017","View Full Record in Web of Science")</f>
        <v>View Full Record in Web of Science</v>
      </c>
    </row>
    <row r="23" spans="1:72" x14ac:dyDescent="0.15">
      <c r="A23" t="s">
        <v>72</v>
      </c>
      <c r="B23" t="s">
        <v>588</v>
      </c>
      <c r="C23" t="s">
        <v>74</v>
      </c>
      <c r="D23" t="s">
        <v>74</v>
      </c>
      <c r="E23" t="s">
        <v>74</v>
      </c>
      <c r="F23" t="s">
        <v>589</v>
      </c>
      <c r="G23" t="s">
        <v>74</v>
      </c>
      <c r="H23" t="s">
        <v>74</v>
      </c>
      <c r="I23" t="s">
        <v>590</v>
      </c>
      <c r="J23" t="s">
        <v>591</v>
      </c>
      <c r="K23" t="s">
        <v>74</v>
      </c>
      <c r="L23" t="s">
        <v>74</v>
      </c>
      <c r="M23" t="s">
        <v>78</v>
      </c>
      <c r="N23" t="s">
        <v>245</v>
      </c>
      <c r="O23" t="s">
        <v>74</v>
      </c>
      <c r="P23" t="s">
        <v>74</v>
      </c>
      <c r="Q23" t="s">
        <v>74</v>
      </c>
      <c r="R23" t="s">
        <v>74</v>
      </c>
      <c r="S23" t="s">
        <v>74</v>
      </c>
      <c r="T23" t="s">
        <v>592</v>
      </c>
      <c r="U23" t="s">
        <v>593</v>
      </c>
      <c r="V23" t="s">
        <v>594</v>
      </c>
      <c r="W23" t="s">
        <v>595</v>
      </c>
      <c r="X23" t="s">
        <v>596</v>
      </c>
      <c r="Y23" t="s">
        <v>597</v>
      </c>
      <c r="Z23" t="s">
        <v>598</v>
      </c>
      <c r="AA23" t="s">
        <v>599</v>
      </c>
      <c r="AB23" t="s">
        <v>600</v>
      </c>
      <c r="AC23" t="s">
        <v>74</v>
      </c>
      <c r="AD23" t="s">
        <v>74</v>
      </c>
      <c r="AE23" t="s">
        <v>74</v>
      </c>
      <c r="AF23" t="s">
        <v>74</v>
      </c>
      <c r="AG23">
        <v>74</v>
      </c>
      <c r="AH23">
        <v>17</v>
      </c>
      <c r="AI23">
        <v>17</v>
      </c>
      <c r="AJ23">
        <v>5</v>
      </c>
      <c r="AK23">
        <v>58</v>
      </c>
      <c r="AL23" t="s">
        <v>578</v>
      </c>
      <c r="AM23" t="s">
        <v>93</v>
      </c>
      <c r="AN23" t="s">
        <v>579</v>
      </c>
      <c r="AO23" t="s">
        <v>601</v>
      </c>
      <c r="AP23" t="s">
        <v>602</v>
      </c>
      <c r="AQ23" t="s">
        <v>74</v>
      </c>
      <c r="AR23" t="s">
        <v>603</v>
      </c>
      <c r="AS23" t="s">
        <v>604</v>
      </c>
      <c r="AT23" t="s">
        <v>99</v>
      </c>
      <c r="AU23">
        <v>2020</v>
      </c>
      <c r="AV23">
        <v>118</v>
      </c>
      <c r="AW23" t="s">
        <v>74</v>
      </c>
      <c r="AX23" t="s">
        <v>74</v>
      </c>
      <c r="AY23" t="s">
        <v>74</v>
      </c>
      <c r="AZ23" t="s">
        <v>74</v>
      </c>
      <c r="BA23" t="s">
        <v>74</v>
      </c>
      <c r="BB23" t="s">
        <v>74</v>
      </c>
      <c r="BC23" t="s">
        <v>74</v>
      </c>
      <c r="BD23">
        <v>103964</v>
      </c>
      <c r="BE23" t="s">
        <v>605</v>
      </c>
      <c r="BF23" t="str">
        <f>HYPERLINK("http://dx.doi.org/10.1016/j.marpol.2020.103964","http://dx.doi.org/10.1016/j.marpol.2020.103964")</f>
        <v>http://dx.doi.org/10.1016/j.marpol.2020.103964</v>
      </c>
      <c r="BG23" t="s">
        <v>74</v>
      </c>
      <c r="BH23" t="s">
        <v>74</v>
      </c>
      <c r="BI23">
        <v>9</v>
      </c>
      <c r="BJ23" t="s">
        <v>606</v>
      </c>
      <c r="BK23" t="s">
        <v>607</v>
      </c>
      <c r="BL23" t="s">
        <v>608</v>
      </c>
      <c r="BM23" t="s">
        <v>609</v>
      </c>
      <c r="BN23" t="s">
        <v>74</v>
      </c>
      <c r="BO23" t="s">
        <v>74</v>
      </c>
      <c r="BP23" t="s">
        <v>74</v>
      </c>
      <c r="BQ23" t="s">
        <v>74</v>
      </c>
      <c r="BR23" t="s">
        <v>106</v>
      </c>
      <c r="BS23" t="s">
        <v>610</v>
      </c>
      <c r="BT23" t="str">
        <f>HYPERLINK("https%3A%2F%2Fwww.webofscience.com%2Fwos%2Fwoscc%2Ffull-record%2FWOS:000541263600006","View Full Record in Web of Science")</f>
        <v>View Full Record in Web of Science</v>
      </c>
    </row>
    <row r="24" spans="1:72" x14ac:dyDescent="0.15">
      <c r="A24" t="s">
        <v>72</v>
      </c>
      <c r="B24" t="s">
        <v>611</v>
      </c>
      <c r="C24" t="s">
        <v>74</v>
      </c>
      <c r="D24" t="s">
        <v>74</v>
      </c>
      <c r="E24" t="s">
        <v>74</v>
      </c>
      <c r="F24" t="s">
        <v>612</v>
      </c>
      <c r="G24" t="s">
        <v>74</v>
      </c>
      <c r="H24" t="s">
        <v>74</v>
      </c>
      <c r="I24" t="s">
        <v>613</v>
      </c>
      <c r="J24" t="s">
        <v>591</v>
      </c>
      <c r="K24" t="s">
        <v>74</v>
      </c>
      <c r="L24" t="s">
        <v>74</v>
      </c>
      <c r="M24" t="s">
        <v>78</v>
      </c>
      <c r="N24" t="s">
        <v>79</v>
      </c>
      <c r="O24" t="s">
        <v>74</v>
      </c>
      <c r="P24" t="s">
        <v>74</v>
      </c>
      <c r="Q24" t="s">
        <v>74</v>
      </c>
      <c r="R24" t="s">
        <v>74</v>
      </c>
      <c r="S24" t="s">
        <v>74</v>
      </c>
      <c r="T24" t="s">
        <v>74</v>
      </c>
      <c r="U24" t="s">
        <v>614</v>
      </c>
      <c r="V24" t="s">
        <v>615</v>
      </c>
      <c r="W24" t="s">
        <v>616</v>
      </c>
      <c r="X24" t="s">
        <v>617</v>
      </c>
      <c r="Y24" t="s">
        <v>618</v>
      </c>
      <c r="Z24" t="s">
        <v>619</v>
      </c>
      <c r="AA24" t="s">
        <v>620</v>
      </c>
      <c r="AB24" t="s">
        <v>621</v>
      </c>
      <c r="AC24" t="s">
        <v>74</v>
      </c>
      <c r="AD24" t="s">
        <v>74</v>
      </c>
      <c r="AE24" t="s">
        <v>74</v>
      </c>
      <c r="AF24" t="s">
        <v>74</v>
      </c>
      <c r="AG24">
        <v>24</v>
      </c>
      <c r="AH24">
        <v>4</v>
      </c>
      <c r="AI24">
        <v>5</v>
      </c>
      <c r="AJ24">
        <v>1</v>
      </c>
      <c r="AK24">
        <v>13</v>
      </c>
      <c r="AL24" t="s">
        <v>578</v>
      </c>
      <c r="AM24" t="s">
        <v>93</v>
      </c>
      <c r="AN24" t="s">
        <v>579</v>
      </c>
      <c r="AO24" t="s">
        <v>601</v>
      </c>
      <c r="AP24" t="s">
        <v>602</v>
      </c>
      <c r="AQ24" t="s">
        <v>74</v>
      </c>
      <c r="AR24" t="s">
        <v>603</v>
      </c>
      <c r="AS24" t="s">
        <v>604</v>
      </c>
      <c r="AT24" t="s">
        <v>99</v>
      </c>
      <c r="AU24">
        <v>2020</v>
      </c>
      <c r="AV24">
        <v>118</v>
      </c>
      <c r="AW24" t="s">
        <v>74</v>
      </c>
      <c r="AX24" t="s">
        <v>74</v>
      </c>
      <c r="AY24" t="s">
        <v>74</v>
      </c>
      <c r="AZ24" t="s">
        <v>74</v>
      </c>
      <c r="BA24" t="s">
        <v>74</v>
      </c>
      <c r="BB24" t="s">
        <v>74</v>
      </c>
      <c r="BC24" t="s">
        <v>74</v>
      </c>
      <c r="BD24">
        <v>104002</v>
      </c>
      <c r="BE24" t="s">
        <v>622</v>
      </c>
      <c r="BF24" t="str">
        <f>HYPERLINK("http://dx.doi.org/10.1016/j.marpol.2020.104002","http://dx.doi.org/10.1016/j.marpol.2020.104002")</f>
        <v>http://dx.doi.org/10.1016/j.marpol.2020.104002</v>
      </c>
      <c r="BG24" t="s">
        <v>74</v>
      </c>
      <c r="BH24" t="s">
        <v>74</v>
      </c>
      <c r="BI24">
        <v>4</v>
      </c>
      <c r="BJ24" t="s">
        <v>606</v>
      </c>
      <c r="BK24" t="s">
        <v>607</v>
      </c>
      <c r="BL24" t="s">
        <v>608</v>
      </c>
      <c r="BM24" t="s">
        <v>609</v>
      </c>
      <c r="BN24" t="s">
        <v>74</v>
      </c>
      <c r="BO24" t="s">
        <v>74</v>
      </c>
      <c r="BP24" t="s">
        <v>74</v>
      </c>
      <c r="BQ24" t="s">
        <v>74</v>
      </c>
      <c r="BR24" t="s">
        <v>106</v>
      </c>
      <c r="BS24" t="s">
        <v>623</v>
      </c>
      <c r="BT24" t="str">
        <f>HYPERLINK("https%3A%2F%2Fwww.webofscience.com%2Fwos%2Fwoscc%2Ffull-record%2FWOS:000541263600036","View Full Record in Web of Science")</f>
        <v>View Full Record in Web of Science</v>
      </c>
    </row>
    <row r="25" spans="1:72" x14ac:dyDescent="0.15">
      <c r="A25" t="s">
        <v>72</v>
      </c>
      <c r="B25" t="s">
        <v>624</v>
      </c>
      <c r="C25" t="s">
        <v>74</v>
      </c>
      <c r="D25" t="s">
        <v>74</v>
      </c>
      <c r="E25" t="s">
        <v>74</v>
      </c>
      <c r="F25" t="s">
        <v>625</v>
      </c>
      <c r="G25" t="s">
        <v>74</v>
      </c>
      <c r="H25" t="s">
        <v>74</v>
      </c>
      <c r="I25" t="s">
        <v>626</v>
      </c>
      <c r="J25" t="s">
        <v>591</v>
      </c>
      <c r="K25" t="s">
        <v>74</v>
      </c>
      <c r="L25" t="s">
        <v>74</v>
      </c>
      <c r="M25" t="s">
        <v>78</v>
      </c>
      <c r="N25" t="s">
        <v>79</v>
      </c>
      <c r="O25" t="s">
        <v>74</v>
      </c>
      <c r="P25" t="s">
        <v>74</v>
      </c>
      <c r="Q25" t="s">
        <v>74</v>
      </c>
      <c r="R25" t="s">
        <v>74</v>
      </c>
      <c r="S25" t="s">
        <v>74</v>
      </c>
      <c r="T25" t="s">
        <v>74</v>
      </c>
      <c r="U25" t="s">
        <v>627</v>
      </c>
      <c r="V25" t="s">
        <v>628</v>
      </c>
      <c r="W25" t="s">
        <v>629</v>
      </c>
      <c r="X25" t="s">
        <v>630</v>
      </c>
      <c r="Y25" t="s">
        <v>631</v>
      </c>
      <c r="Z25" t="s">
        <v>632</v>
      </c>
      <c r="AA25" t="s">
        <v>74</v>
      </c>
      <c r="AB25" t="s">
        <v>633</v>
      </c>
      <c r="AC25" t="s">
        <v>74</v>
      </c>
      <c r="AD25" t="s">
        <v>74</v>
      </c>
      <c r="AE25" t="s">
        <v>74</v>
      </c>
      <c r="AF25" t="s">
        <v>74</v>
      </c>
      <c r="AG25">
        <v>55</v>
      </c>
      <c r="AH25">
        <v>14</v>
      </c>
      <c r="AI25">
        <v>14</v>
      </c>
      <c r="AJ25">
        <v>0</v>
      </c>
      <c r="AK25">
        <v>16</v>
      </c>
      <c r="AL25" t="s">
        <v>578</v>
      </c>
      <c r="AM25" t="s">
        <v>93</v>
      </c>
      <c r="AN25" t="s">
        <v>579</v>
      </c>
      <c r="AO25" t="s">
        <v>601</v>
      </c>
      <c r="AP25" t="s">
        <v>602</v>
      </c>
      <c r="AQ25" t="s">
        <v>74</v>
      </c>
      <c r="AR25" t="s">
        <v>603</v>
      </c>
      <c r="AS25" t="s">
        <v>604</v>
      </c>
      <c r="AT25" t="s">
        <v>99</v>
      </c>
      <c r="AU25">
        <v>2020</v>
      </c>
      <c r="AV25">
        <v>118</v>
      </c>
      <c r="AW25" t="s">
        <v>74</v>
      </c>
      <c r="AX25" t="s">
        <v>74</v>
      </c>
      <c r="AY25" t="s">
        <v>74</v>
      </c>
      <c r="AZ25" t="s">
        <v>74</v>
      </c>
      <c r="BA25" t="s">
        <v>74</v>
      </c>
      <c r="BB25" t="s">
        <v>74</v>
      </c>
      <c r="BC25" t="s">
        <v>74</v>
      </c>
      <c r="BD25">
        <v>103847</v>
      </c>
      <c r="BE25" t="s">
        <v>634</v>
      </c>
      <c r="BF25" t="str">
        <f>HYPERLINK("http://dx.doi.org/10.1016/j.marpol.2020.103847","http://dx.doi.org/10.1016/j.marpol.2020.103847")</f>
        <v>http://dx.doi.org/10.1016/j.marpol.2020.103847</v>
      </c>
      <c r="BG25" t="s">
        <v>74</v>
      </c>
      <c r="BH25" t="s">
        <v>74</v>
      </c>
      <c r="BI25">
        <v>8</v>
      </c>
      <c r="BJ25" t="s">
        <v>606</v>
      </c>
      <c r="BK25" t="s">
        <v>607</v>
      </c>
      <c r="BL25" t="s">
        <v>608</v>
      </c>
      <c r="BM25" t="s">
        <v>609</v>
      </c>
      <c r="BN25" t="s">
        <v>74</v>
      </c>
      <c r="BO25" t="s">
        <v>74</v>
      </c>
      <c r="BP25" t="s">
        <v>74</v>
      </c>
      <c r="BQ25" t="s">
        <v>74</v>
      </c>
      <c r="BR25" t="s">
        <v>106</v>
      </c>
      <c r="BS25" t="s">
        <v>635</v>
      </c>
      <c r="BT25" t="str">
        <f>HYPERLINK("https%3A%2F%2Fwww.webofscience.com%2Fwos%2Fwoscc%2Ffull-record%2FWOS:000541263600005","View Full Record in Web of Science")</f>
        <v>View Full Record in Web of Science</v>
      </c>
    </row>
    <row r="26" spans="1:72" x14ac:dyDescent="0.15">
      <c r="A26" t="s">
        <v>72</v>
      </c>
      <c r="B26" t="s">
        <v>636</v>
      </c>
      <c r="C26" t="s">
        <v>74</v>
      </c>
      <c r="D26" t="s">
        <v>74</v>
      </c>
      <c r="E26" t="s">
        <v>74</v>
      </c>
      <c r="F26" t="s">
        <v>637</v>
      </c>
      <c r="G26" t="s">
        <v>74</v>
      </c>
      <c r="H26" t="s">
        <v>74</v>
      </c>
      <c r="I26" t="s">
        <v>638</v>
      </c>
      <c r="J26" t="s">
        <v>299</v>
      </c>
      <c r="K26" t="s">
        <v>74</v>
      </c>
      <c r="L26" t="s">
        <v>74</v>
      </c>
      <c r="M26" t="s">
        <v>78</v>
      </c>
      <c r="N26" t="s">
        <v>79</v>
      </c>
      <c r="O26" t="s">
        <v>74</v>
      </c>
      <c r="P26" t="s">
        <v>74</v>
      </c>
      <c r="Q26" t="s">
        <v>74</v>
      </c>
      <c r="R26" t="s">
        <v>74</v>
      </c>
      <c r="S26" t="s">
        <v>74</v>
      </c>
      <c r="T26" t="s">
        <v>639</v>
      </c>
      <c r="U26" t="s">
        <v>640</v>
      </c>
      <c r="V26" t="s">
        <v>641</v>
      </c>
      <c r="W26" t="s">
        <v>642</v>
      </c>
      <c r="X26" t="s">
        <v>643</v>
      </c>
      <c r="Y26" t="s">
        <v>644</v>
      </c>
      <c r="Z26" t="s">
        <v>645</v>
      </c>
      <c r="AA26" t="s">
        <v>646</v>
      </c>
      <c r="AB26" t="s">
        <v>647</v>
      </c>
      <c r="AC26" t="s">
        <v>648</v>
      </c>
      <c r="AD26" t="s">
        <v>649</v>
      </c>
      <c r="AE26" t="s">
        <v>650</v>
      </c>
      <c r="AF26" t="s">
        <v>74</v>
      </c>
      <c r="AG26">
        <v>87</v>
      </c>
      <c r="AH26">
        <v>8</v>
      </c>
      <c r="AI26">
        <v>8</v>
      </c>
      <c r="AJ26">
        <v>3</v>
      </c>
      <c r="AK26">
        <v>38</v>
      </c>
      <c r="AL26" t="s">
        <v>284</v>
      </c>
      <c r="AM26" t="s">
        <v>285</v>
      </c>
      <c r="AN26" t="s">
        <v>286</v>
      </c>
      <c r="AO26" t="s">
        <v>312</v>
      </c>
      <c r="AP26" t="s">
        <v>313</v>
      </c>
      <c r="AQ26" t="s">
        <v>74</v>
      </c>
      <c r="AR26" t="s">
        <v>314</v>
      </c>
      <c r="AS26" t="s">
        <v>315</v>
      </c>
      <c r="AT26" t="s">
        <v>316</v>
      </c>
      <c r="AU26">
        <v>2020</v>
      </c>
      <c r="AV26">
        <v>728</v>
      </c>
      <c r="AW26" t="s">
        <v>74</v>
      </c>
      <c r="AX26" t="s">
        <v>74</v>
      </c>
      <c r="AY26" t="s">
        <v>74</v>
      </c>
      <c r="AZ26" t="s">
        <v>74</v>
      </c>
      <c r="BA26" t="s">
        <v>74</v>
      </c>
      <c r="BB26" t="s">
        <v>74</v>
      </c>
      <c r="BC26" t="s">
        <v>74</v>
      </c>
      <c r="BD26">
        <v>138850</v>
      </c>
      <c r="BE26" t="s">
        <v>651</v>
      </c>
      <c r="BF26" t="str">
        <f>HYPERLINK("http://dx.doi.org/10.1016/j.scitotenv.2020.138850","http://dx.doi.org/10.1016/j.scitotenv.2020.138850")</f>
        <v>http://dx.doi.org/10.1016/j.scitotenv.2020.138850</v>
      </c>
      <c r="BG26" t="s">
        <v>74</v>
      </c>
      <c r="BH26" t="s">
        <v>74</v>
      </c>
      <c r="BI26">
        <v>14</v>
      </c>
      <c r="BJ26" t="s">
        <v>101</v>
      </c>
      <c r="BK26" t="s">
        <v>102</v>
      </c>
      <c r="BL26" t="s">
        <v>103</v>
      </c>
      <c r="BM26" t="s">
        <v>652</v>
      </c>
      <c r="BN26">
        <v>32570334</v>
      </c>
      <c r="BO26" t="s">
        <v>74</v>
      </c>
      <c r="BP26" t="s">
        <v>74</v>
      </c>
      <c r="BQ26" t="s">
        <v>74</v>
      </c>
      <c r="BR26" t="s">
        <v>106</v>
      </c>
      <c r="BS26" t="s">
        <v>653</v>
      </c>
      <c r="BT26" t="str">
        <f>HYPERLINK("https%3A%2F%2Fwww.webofscience.com%2Fwos%2Fwoscc%2Ffull-record%2FWOS:000541006000009","View Full Record in Web of Science")</f>
        <v>View Full Record in Web of Science</v>
      </c>
    </row>
    <row r="27" spans="1:72" x14ac:dyDescent="0.15">
      <c r="A27" t="s">
        <v>72</v>
      </c>
      <c r="B27" t="s">
        <v>654</v>
      </c>
      <c r="C27" t="s">
        <v>74</v>
      </c>
      <c r="D27" t="s">
        <v>74</v>
      </c>
      <c r="E27" t="s">
        <v>74</v>
      </c>
      <c r="F27" t="s">
        <v>655</v>
      </c>
      <c r="G27" t="s">
        <v>74</v>
      </c>
      <c r="H27" t="s">
        <v>74</v>
      </c>
      <c r="I27" t="s">
        <v>656</v>
      </c>
      <c r="J27" t="s">
        <v>657</v>
      </c>
      <c r="K27" t="s">
        <v>74</v>
      </c>
      <c r="L27" t="s">
        <v>74</v>
      </c>
      <c r="M27" t="s">
        <v>78</v>
      </c>
      <c r="N27" t="s">
        <v>79</v>
      </c>
      <c r="O27" t="s">
        <v>74</v>
      </c>
      <c r="P27" t="s">
        <v>74</v>
      </c>
      <c r="Q27" t="s">
        <v>74</v>
      </c>
      <c r="R27" t="s">
        <v>74</v>
      </c>
      <c r="S27" t="s">
        <v>74</v>
      </c>
      <c r="T27" t="s">
        <v>658</v>
      </c>
      <c r="U27" t="s">
        <v>659</v>
      </c>
      <c r="V27" t="s">
        <v>660</v>
      </c>
      <c r="W27" t="s">
        <v>661</v>
      </c>
      <c r="X27" t="s">
        <v>662</v>
      </c>
      <c r="Y27" t="s">
        <v>663</v>
      </c>
      <c r="Z27" t="s">
        <v>664</v>
      </c>
      <c r="AA27" t="s">
        <v>665</v>
      </c>
      <c r="AB27" t="s">
        <v>666</v>
      </c>
      <c r="AC27" t="s">
        <v>74</v>
      </c>
      <c r="AD27" t="s">
        <v>74</v>
      </c>
      <c r="AE27" t="s">
        <v>74</v>
      </c>
      <c r="AF27" t="s">
        <v>74</v>
      </c>
      <c r="AG27">
        <v>50</v>
      </c>
      <c r="AH27">
        <v>9</v>
      </c>
      <c r="AI27">
        <v>11</v>
      </c>
      <c r="AJ27">
        <v>1</v>
      </c>
      <c r="AK27">
        <v>13</v>
      </c>
      <c r="AL27" t="s">
        <v>284</v>
      </c>
      <c r="AM27" t="s">
        <v>285</v>
      </c>
      <c r="AN27" t="s">
        <v>286</v>
      </c>
      <c r="AO27" t="s">
        <v>667</v>
      </c>
      <c r="AP27" t="s">
        <v>668</v>
      </c>
      <c r="AQ27" t="s">
        <v>74</v>
      </c>
      <c r="AR27" t="s">
        <v>669</v>
      </c>
      <c r="AS27" t="s">
        <v>670</v>
      </c>
      <c r="AT27" t="s">
        <v>316</v>
      </c>
      <c r="AU27">
        <v>2020</v>
      </c>
      <c r="AV27">
        <v>543</v>
      </c>
      <c r="AW27" t="s">
        <v>74</v>
      </c>
      <c r="AX27" t="s">
        <v>74</v>
      </c>
      <c r="AY27" t="s">
        <v>74</v>
      </c>
      <c r="AZ27" t="s">
        <v>74</v>
      </c>
      <c r="BA27" t="s">
        <v>74</v>
      </c>
      <c r="BB27" t="s">
        <v>74</v>
      </c>
      <c r="BC27" t="s">
        <v>74</v>
      </c>
      <c r="BD27">
        <v>116348</v>
      </c>
      <c r="BE27" t="s">
        <v>671</v>
      </c>
      <c r="BF27" t="str">
        <f>HYPERLINK("http://dx.doi.org/10.1016/j.epsl.2020.116348","http://dx.doi.org/10.1016/j.epsl.2020.116348")</f>
        <v>http://dx.doi.org/10.1016/j.epsl.2020.116348</v>
      </c>
      <c r="BG27" t="s">
        <v>74</v>
      </c>
      <c r="BH27" t="s">
        <v>74</v>
      </c>
      <c r="BI27">
        <v>10</v>
      </c>
      <c r="BJ27" t="s">
        <v>131</v>
      </c>
      <c r="BK27" t="s">
        <v>102</v>
      </c>
      <c r="BL27" t="s">
        <v>131</v>
      </c>
      <c r="BM27" t="s">
        <v>672</v>
      </c>
      <c r="BN27" t="s">
        <v>74</v>
      </c>
      <c r="BO27" t="s">
        <v>74</v>
      </c>
      <c r="BP27" t="s">
        <v>74</v>
      </c>
      <c r="BQ27" t="s">
        <v>74</v>
      </c>
      <c r="BR27" t="s">
        <v>106</v>
      </c>
      <c r="BS27" t="s">
        <v>673</v>
      </c>
      <c r="BT27" t="str">
        <f>HYPERLINK("https%3A%2F%2Fwww.webofscience.com%2Fwos%2Fwoscc%2Ffull-record%2FWOS:000540452500010","View Full Record in Web of Science")</f>
        <v>View Full Record in Web of Science</v>
      </c>
    </row>
    <row r="28" spans="1:72" x14ac:dyDescent="0.15">
      <c r="A28" t="s">
        <v>72</v>
      </c>
      <c r="B28" t="s">
        <v>674</v>
      </c>
      <c r="C28" t="s">
        <v>74</v>
      </c>
      <c r="D28" t="s">
        <v>74</v>
      </c>
      <c r="E28" t="s">
        <v>74</v>
      </c>
      <c r="F28" t="s">
        <v>675</v>
      </c>
      <c r="G28" t="s">
        <v>74</v>
      </c>
      <c r="H28" t="s">
        <v>74</v>
      </c>
      <c r="I28" t="s">
        <v>676</v>
      </c>
      <c r="J28" t="s">
        <v>677</v>
      </c>
      <c r="K28" t="s">
        <v>74</v>
      </c>
      <c r="L28" t="s">
        <v>74</v>
      </c>
      <c r="M28" t="s">
        <v>78</v>
      </c>
      <c r="N28" t="s">
        <v>79</v>
      </c>
      <c r="O28" t="s">
        <v>74</v>
      </c>
      <c r="P28" t="s">
        <v>74</v>
      </c>
      <c r="Q28" t="s">
        <v>74</v>
      </c>
      <c r="R28" t="s">
        <v>74</v>
      </c>
      <c r="S28" t="s">
        <v>74</v>
      </c>
      <c r="T28" t="s">
        <v>678</v>
      </c>
      <c r="U28" t="s">
        <v>679</v>
      </c>
      <c r="V28" t="s">
        <v>680</v>
      </c>
      <c r="W28" t="s">
        <v>681</v>
      </c>
      <c r="X28" t="s">
        <v>682</v>
      </c>
      <c r="Y28" t="s">
        <v>683</v>
      </c>
      <c r="Z28" t="s">
        <v>684</v>
      </c>
      <c r="AA28" t="s">
        <v>685</v>
      </c>
      <c r="AB28" t="s">
        <v>686</v>
      </c>
      <c r="AC28" t="s">
        <v>687</v>
      </c>
      <c r="AD28" t="s">
        <v>688</v>
      </c>
      <c r="AE28" t="s">
        <v>74</v>
      </c>
      <c r="AF28" t="s">
        <v>74</v>
      </c>
      <c r="AG28">
        <v>123</v>
      </c>
      <c r="AH28">
        <v>18</v>
      </c>
      <c r="AI28">
        <v>18</v>
      </c>
      <c r="AJ28">
        <v>0</v>
      </c>
      <c r="AK28">
        <v>23</v>
      </c>
      <c r="AL28" t="s">
        <v>284</v>
      </c>
      <c r="AM28" t="s">
        <v>285</v>
      </c>
      <c r="AN28" t="s">
        <v>286</v>
      </c>
      <c r="AO28" t="s">
        <v>689</v>
      </c>
      <c r="AP28" t="s">
        <v>690</v>
      </c>
      <c r="AQ28" t="s">
        <v>74</v>
      </c>
      <c r="AR28" t="s">
        <v>691</v>
      </c>
      <c r="AS28" t="s">
        <v>692</v>
      </c>
      <c r="AT28" t="s">
        <v>99</v>
      </c>
      <c r="AU28">
        <v>2020</v>
      </c>
      <c r="AV28">
        <v>191</v>
      </c>
      <c r="AW28" t="s">
        <v>74</v>
      </c>
      <c r="AX28" t="s">
        <v>74</v>
      </c>
      <c r="AY28" t="s">
        <v>74</v>
      </c>
      <c r="AZ28" t="s">
        <v>74</v>
      </c>
      <c r="BA28" t="s">
        <v>74</v>
      </c>
      <c r="BB28" t="s">
        <v>74</v>
      </c>
      <c r="BC28" t="s">
        <v>74</v>
      </c>
      <c r="BD28">
        <v>103221</v>
      </c>
      <c r="BE28" t="s">
        <v>693</v>
      </c>
      <c r="BF28" t="str">
        <f>HYPERLINK("http://dx.doi.org/10.1016/j.gloplacha.2020.103221","http://dx.doi.org/10.1016/j.gloplacha.2020.103221")</f>
        <v>http://dx.doi.org/10.1016/j.gloplacha.2020.103221</v>
      </c>
      <c r="BG28" t="s">
        <v>74</v>
      </c>
      <c r="BH28" t="s">
        <v>74</v>
      </c>
      <c r="BI28">
        <v>14</v>
      </c>
      <c r="BJ28" t="s">
        <v>694</v>
      </c>
      <c r="BK28" t="s">
        <v>102</v>
      </c>
      <c r="BL28" t="s">
        <v>695</v>
      </c>
      <c r="BM28" t="s">
        <v>696</v>
      </c>
      <c r="BN28" t="s">
        <v>74</v>
      </c>
      <c r="BO28" t="s">
        <v>294</v>
      </c>
      <c r="BP28" t="s">
        <v>74</v>
      </c>
      <c r="BQ28" t="s">
        <v>74</v>
      </c>
      <c r="BR28" t="s">
        <v>106</v>
      </c>
      <c r="BS28" t="s">
        <v>697</v>
      </c>
      <c r="BT28" t="str">
        <f>HYPERLINK("https%3A%2F%2Fwww.webofscience.com%2Fwos%2Fwoscc%2Ffull-record%2FWOS:000540178200016","View Full Record in Web of Science")</f>
        <v>View Full Record in Web of Science</v>
      </c>
    </row>
    <row r="29" spans="1:72" x14ac:dyDescent="0.15">
      <c r="A29" t="s">
        <v>72</v>
      </c>
      <c r="B29" t="s">
        <v>698</v>
      </c>
      <c r="C29" t="s">
        <v>74</v>
      </c>
      <c r="D29" t="s">
        <v>74</v>
      </c>
      <c r="E29" t="s">
        <v>74</v>
      </c>
      <c r="F29" t="s">
        <v>699</v>
      </c>
      <c r="G29" t="s">
        <v>74</v>
      </c>
      <c r="H29" t="s">
        <v>74</v>
      </c>
      <c r="I29" t="s">
        <v>700</v>
      </c>
      <c r="J29" t="s">
        <v>677</v>
      </c>
      <c r="K29" t="s">
        <v>74</v>
      </c>
      <c r="L29" t="s">
        <v>74</v>
      </c>
      <c r="M29" t="s">
        <v>78</v>
      </c>
      <c r="N29" t="s">
        <v>79</v>
      </c>
      <c r="O29" t="s">
        <v>74</v>
      </c>
      <c r="P29" t="s">
        <v>74</v>
      </c>
      <c r="Q29" t="s">
        <v>74</v>
      </c>
      <c r="R29" t="s">
        <v>74</v>
      </c>
      <c r="S29" t="s">
        <v>74</v>
      </c>
      <c r="T29" t="s">
        <v>701</v>
      </c>
      <c r="U29" t="s">
        <v>702</v>
      </c>
      <c r="V29" t="s">
        <v>703</v>
      </c>
      <c r="W29" t="s">
        <v>704</v>
      </c>
      <c r="X29" t="s">
        <v>705</v>
      </c>
      <c r="Y29" t="s">
        <v>706</v>
      </c>
      <c r="Z29" t="s">
        <v>707</v>
      </c>
      <c r="AA29" t="s">
        <v>708</v>
      </c>
      <c r="AB29" t="s">
        <v>709</v>
      </c>
      <c r="AC29" t="s">
        <v>710</v>
      </c>
      <c r="AD29" t="s">
        <v>711</v>
      </c>
      <c r="AE29" t="s">
        <v>712</v>
      </c>
      <c r="AF29" t="s">
        <v>74</v>
      </c>
      <c r="AG29">
        <v>83</v>
      </c>
      <c r="AH29">
        <v>7</v>
      </c>
      <c r="AI29">
        <v>8</v>
      </c>
      <c r="AJ29">
        <v>4</v>
      </c>
      <c r="AK29">
        <v>10</v>
      </c>
      <c r="AL29" t="s">
        <v>284</v>
      </c>
      <c r="AM29" t="s">
        <v>285</v>
      </c>
      <c r="AN29" t="s">
        <v>713</v>
      </c>
      <c r="AO29" t="s">
        <v>689</v>
      </c>
      <c r="AP29" t="s">
        <v>690</v>
      </c>
      <c r="AQ29" t="s">
        <v>74</v>
      </c>
      <c r="AR29" t="s">
        <v>691</v>
      </c>
      <c r="AS29" t="s">
        <v>692</v>
      </c>
      <c r="AT29" t="s">
        <v>99</v>
      </c>
      <c r="AU29">
        <v>2020</v>
      </c>
      <c r="AV29">
        <v>191</v>
      </c>
      <c r="AW29" t="s">
        <v>74</v>
      </c>
      <c r="AX29" t="s">
        <v>74</v>
      </c>
      <c r="AY29" t="s">
        <v>74</v>
      </c>
      <c r="AZ29" t="s">
        <v>74</v>
      </c>
      <c r="BA29" t="s">
        <v>74</v>
      </c>
      <c r="BB29" t="s">
        <v>74</v>
      </c>
      <c r="BC29" t="s">
        <v>74</v>
      </c>
      <c r="BD29">
        <v>103218</v>
      </c>
      <c r="BE29" t="s">
        <v>714</v>
      </c>
      <c r="BF29" t="str">
        <f>HYPERLINK("http://dx.doi.org/10.1016/j.gloplacha.2020.103218","http://dx.doi.org/10.1016/j.gloplacha.2020.103218")</f>
        <v>http://dx.doi.org/10.1016/j.gloplacha.2020.103218</v>
      </c>
      <c r="BG29" t="s">
        <v>74</v>
      </c>
      <c r="BH29" t="s">
        <v>74</v>
      </c>
      <c r="BI29">
        <v>19</v>
      </c>
      <c r="BJ29" t="s">
        <v>694</v>
      </c>
      <c r="BK29" t="s">
        <v>102</v>
      </c>
      <c r="BL29" t="s">
        <v>695</v>
      </c>
      <c r="BM29" t="s">
        <v>696</v>
      </c>
      <c r="BN29" t="s">
        <v>74</v>
      </c>
      <c r="BO29" t="s">
        <v>448</v>
      </c>
      <c r="BP29" t="s">
        <v>74</v>
      </c>
      <c r="BQ29" t="s">
        <v>74</v>
      </c>
      <c r="BR29" t="s">
        <v>106</v>
      </c>
      <c r="BS29" t="s">
        <v>715</v>
      </c>
      <c r="BT29" t="str">
        <f>HYPERLINK("https%3A%2F%2Fwww.webofscience.com%2Fwos%2Fwoscc%2Ffull-record%2FWOS:000540178200013","View Full Record in Web of Science")</f>
        <v>View Full Record in Web of Science</v>
      </c>
    </row>
    <row r="30" spans="1:72" x14ac:dyDescent="0.15">
      <c r="A30" t="s">
        <v>72</v>
      </c>
      <c r="B30" t="s">
        <v>716</v>
      </c>
      <c r="C30" t="s">
        <v>74</v>
      </c>
      <c r="D30" t="s">
        <v>74</v>
      </c>
      <c r="E30" t="s">
        <v>74</v>
      </c>
      <c r="F30" t="s">
        <v>717</v>
      </c>
      <c r="G30" t="s">
        <v>74</v>
      </c>
      <c r="H30" t="s">
        <v>74</v>
      </c>
      <c r="I30" t="s">
        <v>718</v>
      </c>
      <c r="J30" t="s">
        <v>719</v>
      </c>
      <c r="K30" t="s">
        <v>74</v>
      </c>
      <c r="L30" t="s">
        <v>74</v>
      </c>
      <c r="M30" t="s">
        <v>78</v>
      </c>
      <c r="N30" t="s">
        <v>79</v>
      </c>
      <c r="O30" t="s">
        <v>74</v>
      </c>
      <c r="P30" t="s">
        <v>74</v>
      </c>
      <c r="Q30" t="s">
        <v>74</v>
      </c>
      <c r="R30" t="s">
        <v>74</v>
      </c>
      <c r="S30" t="s">
        <v>74</v>
      </c>
      <c r="T30" t="s">
        <v>74</v>
      </c>
      <c r="U30" t="s">
        <v>720</v>
      </c>
      <c r="V30" t="s">
        <v>721</v>
      </c>
      <c r="W30" t="s">
        <v>722</v>
      </c>
      <c r="X30" t="s">
        <v>723</v>
      </c>
      <c r="Y30" t="s">
        <v>724</v>
      </c>
      <c r="Z30" t="s">
        <v>725</v>
      </c>
      <c r="AA30" t="s">
        <v>726</v>
      </c>
      <c r="AB30" t="s">
        <v>727</v>
      </c>
      <c r="AC30" t="s">
        <v>728</v>
      </c>
      <c r="AD30" t="s">
        <v>729</v>
      </c>
      <c r="AE30" t="s">
        <v>730</v>
      </c>
      <c r="AF30" t="s">
        <v>74</v>
      </c>
      <c r="AG30">
        <v>141</v>
      </c>
      <c r="AH30">
        <v>11</v>
      </c>
      <c r="AI30">
        <v>11</v>
      </c>
      <c r="AJ30">
        <v>0</v>
      </c>
      <c r="AK30">
        <v>2</v>
      </c>
      <c r="AL30" t="s">
        <v>92</v>
      </c>
      <c r="AM30" t="s">
        <v>93</v>
      </c>
      <c r="AN30" t="s">
        <v>94</v>
      </c>
      <c r="AO30" t="s">
        <v>731</v>
      </c>
      <c r="AP30" t="s">
        <v>732</v>
      </c>
      <c r="AQ30" t="s">
        <v>74</v>
      </c>
      <c r="AR30" t="s">
        <v>733</v>
      </c>
      <c r="AS30" t="s">
        <v>734</v>
      </c>
      <c r="AT30" t="s">
        <v>99</v>
      </c>
      <c r="AU30">
        <v>2020</v>
      </c>
      <c r="AV30">
        <v>101</v>
      </c>
      <c r="AW30" t="s">
        <v>74</v>
      </c>
      <c r="AX30" t="s">
        <v>74</v>
      </c>
      <c r="AY30" t="s">
        <v>74</v>
      </c>
      <c r="AZ30" t="s">
        <v>74</v>
      </c>
      <c r="BA30" t="s">
        <v>74</v>
      </c>
      <c r="BB30" t="s">
        <v>74</v>
      </c>
      <c r="BC30" t="s">
        <v>74</v>
      </c>
      <c r="BD30">
        <v>102624</v>
      </c>
      <c r="BE30" t="s">
        <v>735</v>
      </c>
      <c r="BF30" t="str">
        <f>HYPERLINK("http://dx.doi.org/10.1016/j.jsames.2020.102624","http://dx.doi.org/10.1016/j.jsames.2020.102624")</f>
        <v>http://dx.doi.org/10.1016/j.jsames.2020.102624</v>
      </c>
      <c r="BG30" t="s">
        <v>74</v>
      </c>
      <c r="BH30" t="s">
        <v>74</v>
      </c>
      <c r="BI30">
        <v>34</v>
      </c>
      <c r="BJ30" t="s">
        <v>471</v>
      </c>
      <c r="BK30" t="s">
        <v>102</v>
      </c>
      <c r="BL30" t="s">
        <v>472</v>
      </c>
      <c r="BM30" t="s">
        <v>736</v>
      </c>
      <c r="BN30" t="s">
        <v>74</v>
      </c>
      <c r="BO30" t="s">
        <v>294</v>
      </c>
      <c r="BP30" t="s">
        <v>74</v>
      </c>
      <c r="BQ30" t="s">
        <v>74</v>
      </c>
      <c r="BR30" t="s">
        <v>106</v>
      </c>
      <c r="BS30" t="s">
        <v>737</v>
      </c>
      <c r="BT30" t="str">
        <f>HYPERLINK("https%3A%2F%2Fwww.webofscience.com%2Fwos%2Fwoscc%2Ffull-record%2FWOS:000539370500030","View Full Record in Web of Science")</f>
        <v>View Full Record in Web of Science</v>
      </c>
    </row>
    <row r="31" spans="1:72" x14ac:dyDescent="0.15">
      <c r="A31" t="s">
        <v>72</v>
      </c>
      <c r="B31" t="s">
        <v>738</v>
      </c>
      <c r="C31" t="s">
        <v>74</v>
      </c>
      <c r="D31" t="s">
        <v>74</v>
      </c>
      <c r="E31" t="s">
        <v>74</v>
      </c>
      <c r="F31" t="s">
        <v>739</v>
      </c>
      <c r="G31" t="s">
        <v>74</v>
      </c>
      <c r="H31" t="s">
        <v>74</v>
      </c>
      <c r="I31" t="s">
        <v>740</v>
      </c>
      <c r="J31" t="s">
        <v>719</v>
      </c>
      <c r="K31" t="s">
        <v>74</v>
      </c>
      <c r="L31" t="s">
        <v>74</v>
      </c>
      <c r="M31" t="s">
        <v>78</v>
      </c>
      <c r="N31" t="s">
        <v>79</v>
      </c>
      <c r="O31" t="s">
        <v>74</v>
      </c>
      <c r="P31" t="s">
        <v>74</v>
      </c>
      <c r="Q31" t="s">
        <v>74</v>
      </c>
      <c r="R31" t="s">
        <v>74</v>
      </c>
      <c r="S31" t="s">
        <v>74</v>
      </c>
      <c r="T31" t="s">
        <v>741</v>
      </c>
      <c r="U31" t="s">
        <v>742</v>
      </c>
      <c r="V31" t="s">
        <v>743</v>
      </c>
      <c r="W31" t="s">
        <v>744</v>
      </c>
      <c r="X31" t="s">
        <v>745</v>
      </c>
      <c r="Y31" t="s">
        <v>746</v>
      </c>
      <c r="Z31" t="s">
        <v>747</v>
      </c>
      <c r="AA31" t="s">
        <v>74</v>
      </c>
      <c r="AB31" t="s">
        <v>748</v>
      </c>
      <c r="AC31" t="s">
        <v>749</v>
      </c>
      <c r="AD31" t="s">
        <v>750</v>
      </c>
      <c r="AE31" t="s">
        <v>751</v>
      </c>
      <c r="AF31" t="s">
        <v>74</v>
      </c>
      <c r="AG31">
        <v>128</v>
      </c>
      <c r="AH31">
        <v>17</v>
      </c>
      <c r="AI31">
        <v>18</v>
      </c>
      <c r="AJ31">
        <v>1</v>
      </c>
      <c r="AK31">
        <v>5</v>
      </c>
      <c r="AL31" t="s">
        <v>92</v>
      </c>
      <c r="AM31" t="s">
        <v>93</v>
      </c>
      <c r="AN31" t="s">
        <v>94</v>
      </c>
      <c r="AO31" t="s">
        <v>731</v>
      </c>
      <c r="AP31" t="s">
        <v>732</v>
      </c>
      <c r="AQ31" t="s">
        <v>74</v>
      </c>
      <c r="AR31" t="s">
        <v>733</v>
      </c>
      <c r="AS31" t="s">
        <v>734</v>
      </c>
      <c r="AT31" t="s">
        <v>99</v>
      </c>
      <c r="AU31">
        <v>2020</v>
      </c>
      <c r="AV31">
        <v>101</v>
      </c>
      <c r="AW31" t="s">
        <v>74</v>
      </c>
      <c r="AX31" t="s">
        <v>74</v>
      </c>
      <c r="AY31" t="s">
        <v>74</v>
      </c>
      <c r="AZ31" t="s">
        <v>74</v>
      </c>
      <c r="BA31" t="s">
        <v>74</v>
      </c>
      <c r="BB31" t="s">
        <v>74</v>
      </c>
      <c r="BC31" t="s">
        <v>74</v>
      </c>
      <c r="BD31">
        <v>102626</v>
      </c>
      <c r="BE31" t="s">
        <v>752</v>
      </c>
      <c r="BF31" t="str">
        <f>HYPERLINK("http://dx.doi.org/10.1016/j.jsames.2020.102626","http://dx.doi.org/10.1016/j.jsames.2020.102626")</f>
        <v>http://dx.doi.org/10.1016/j.jsames.2020.102626</v>
      </c>
      <c r="BG31" t="s">
        <v>74</v>
      </c>
      <c r="BH31" t="s">
        <v>74</v>
      </c>
      <c r="BI31">
        <v>24</v>
      </c>
      <c r="BJ31" t="s">
        <v>471</v>
      </c>
      <c r="BK31" t="s">
        <v>102</v>
      </c>
      <c r="BL31" t="s">
        <v>472</v>
      </c>
      <c r="BM31" t="s">
        <v>736</v>
      </c>
      <c r="BN31" t="s">
        <v>74</v>
      </c>
      <c r="BO31" t="s">
        <v>74</v>
      </c>
      <c r="BP31" t="s">
        <v>74</v>
      </c>
      <c r="BQ31" t="s">
        <v>74</v>
      </c>
      <c r="BR31" t="s">
        <v>106</v>
      </c>
      <c r="BS31" t="s">
        <v>753</v>
      </c>
      <c r="BT31" t="str">
        <f>HYPERLINK("https%3A%2F%2Fwww.webofscience.com%2Fwos%2Fwoscc%2Ffull-record%2FWOS:000539370500032","View Full Record in Web of Science")</f>
        <v>View Full Record in Web of Science</v>
      </c>
    </row>
    <row r="32" spans="1:72" x14ac:dyDescent="0.15">
      <c r="A32" t="s">
        <v>72</v>
      </c>
      <c r="B32" t="s">
        <v>754</v>
      </c>
      <c r="C32" t="s">
        <v>74</v>
      </c>
      <c r="D32" t="s">
        <v>74</v>
      </c>
      <c r="E32" t="s">
        <v>74</v>
      </c>
      <c r="F32" t="s">
        <v>755</v>
      </c>
      <c r="G32" t="s">
        <v>74</v>
      </c>
      <c r="H32" t="s">
        <v>74</v>
      </c>
      <c r="I32" t="s">
        <v>756</v>
      </c>
      <c r="J32" t="s">
        <v>757</v>
      </c>
      <c r="K32" t="s">
        <v>74</v>
      </c>
      <c r="L32" t="s">
        <v>74</v>
      </c>
      <c r="M32" t="s">
        <v>78</v>
      </c>
      <c r="N32" t="s">
        <v>245</v>
      </c>
      <c r="O32" t="s">
        <v>74</v>
      </c>
      <c r="P32" t="s">
        <v>74</v>
      </c>
      <c r="Q32" t="s">
        <v>74</v>
      </c>
      <c r="R32" t="s">
        <v>74</v>
      </c>
      <c r="S32" t="s">
        <v>74</v>
      </c>
      <c r="T32" t="s">
        <v>758</v>
      </c>
      <c r="U32" t="s">
        <v>759</v>
      </c>
      <c r="V32" t="s">
        <v>760</v>
      </c>
      <c r="W32" t="s">
        <v>761</v>
      </c>
      <c r="X32" t="s">
        <v>762</v>
      </c>
      <c r="Y32" t="s">
        <v>763</v>
      </c>
      <c r="Z32" t="s">
        <v>764</v>
      </c>
      <c r="AA32" t="s">
        <v>765</v>
      </c>
      <c r="AB32" t="s">
        <v>766</v>
      </c>
      <c r="AC32" t="s">
        <v>767</v>
      </c>
      <c r="AD32" t="s">
        <v>768</v>
      </c>
      <c r="AE32" t="s">
        <v>769</v>
      </c>
      <c r="AF32" t="s">
        <v>74</v>
      </c>
      <c r="AG32">
        <v>116</v>
      </c>
      <c r="AH32">
        <v>13</v>
      </c>
      <c r="AI32">
        <v>13</v>
      </c>
      <c r="AJ32">
        <v>2</v>
      </c>
      <c r="AK32">
        <v>24</v>
      </c>
      <c r="AL32" t="s">
        <v>92</v>
      </c>
      <c r="AM32" t="s">
        <v>93</v>
      </c>
      <c r="AN32" t="s">
        <v>94</v>
      </c>
      <c r="AO32" t="s">
        <v>770</v>
      </c>
      <c r="AP32" t="s">
        <v>74</v>
      </c>
      <c r="AQ32" t="s">
        <v>74</v>
      </c>
      <c r="AR32" t="s">
        <v>771</v>
      </c>
      <c r="AS32" t="s">
        <v>772</v>
      </c>
      <c r="AT32" t="s">
        <v>99</v>
      </c>
      <c r="AU32">
        <v>2020</v>
      </c>
      <c r="AV32">
        <v>187</v>
      </c>
      <c r="AW32" t="s">
        <v>74</v>
      </c>
      <c r="AX32" t="s">
        <v>74</v>
      </c>
      <c r="AY32" t="s">
        <v>74</v>
      </c>
      <c r="AZ32" t="s">
        <v>74</v>
      </c>
      <c r="BA32" t="s">
        <v>74</v>
      </c>
      <c r="BB32" t="s">
        <v>74</v>
      </c>
      <c r="BC32" t="s">
        <v>74</v>
      </c>
      <c r="BD32">
        <v>104900</v>
      </c>
      <c r="BE32" t="s">
        <v>773</v>
      </c>
      <c r="BF32" t="str">
        <f>HYPERLINK("http://dx.doi.org/10.1016/j.pss.2020.104900","http://dx.doi.org/10.1016/j.pss.2020.104900")</f>
        <v>http://dx.doi.org/10.1016/j.pss.2020.104900</v>
      </c>
      <c r="BG32" t="s">
        <v>74</v>
      </c>
      <c r="BH32" t="s">
        <v>74</v>
      </c>
      <c r="BI32">
        <v>12</v>
      </c>
      <c r="BJ32" t="s">
        <v>774</v>
      </c>
      <c r="BK32" t="s">
        <v>102</v>
      </c>
      <c r="BL32" t="s">
        <v>774</v>
      </c>
      <c r="BM32" t="s">
        <v>775</v>
      </c>
      <c r="BN32" t="s">
        <v>74</v>
      </c>
      <c r="BO32" t="s">
        <v>491</v>
      </c>
      <c r="BP32" t="s">
        <v>74</v>
      </c>
      <c r="BQ32" t="s">
        <v>74</v>
      </c>
      <c r="BR32" t="s">
        <v>106</v>
      </c>
      <c r="BS32" t="s">
        <v>776</v>
      </c>
      <c r="BT32" t="str">
        <f>HYPERLINK("https%3A%2F%2Fwww.webofscience.com%2Fwos%2Fwoscc%2Ffull-record%2FWOS:000539160200017","View Full Record in Web of Science")</f>
        <v>View Full Record in Web of Science</v>
      </c>
    </row>
    <row r="33" spans="1:72" x14ac:dyDescent="0.15">
      <c r="A33" t="s">
        <v>72</v>
      </c>
      <c r="B33" t="s">
        <v>777</v>
      </c>
      <c r="C33" t="s">
        <v>74</v>
      </c>
      <c r="D33" t="s">
        <v>74</v>
      </c>
      <c r="E33" t="s">
        <v>74</v>
      </c>
      <c r="F33" t="s">
        <v>778</v>
      </c>
      <c r="G33" t="s">
        <v>74</v>
      </c>
      <c r="H33" t="s">
        <v>74</v>
      </c>
      <c r="I33" t="s">
        <v>779</v>
      </c>
      <c r="J33" t="s">
        <v>565</v>
      </c>
      <c r="K33" t="s">
        <v>74</v>
      </c>
      <c r="L33" t="s">
        <v>74</v>
      </c>
      <c r="M33" t="s">
        <v>78</v>
      </c>
      <c r="N33" t="s">
        <v>79</v>
      </c>
      <c r="O33" t="s">
        <v>74</v>
      </c>
      <c r="P33" t="s">
        <v>74</v>
      </c>
      <c r="Q33" t="s">
        <v>74</v>
      </c>
      <c r="R33" t="s">
        <v>74</v>
      </c>
      <c r="S33" t="s">
        <v>74</v>
      </c>
      <c r="T33" t="s">
        <v>780</v>
      </c>
      <c r="U33" t="s">
        <v>781</v>
      </c>
      <c r="V33" t="s">
        <v>782</v>
      </c>
      <c r="W33" t="s">
        <v>783</v>
      </c>
      <c r="X33" t="s">
        <v>784</v>
      </c>
      <c r="Y33" t="s">
        <v>785</v>
      </c>
      <c r="Z33" t="s">
        <v>786</v>
      </c>
      <c r="AA33" t="s">
        <v>74</v>
      </c>
      <c r="AB33" t="s">
        <v>74</v>
      </c>
      <c r="AC33" t="s">
        <v>787</v>
      </c>
      <c r="AD33" t="s">
        <v>788</v>
      </c>
      <c r="AE33" t="s">
        <v>789</v>
      </c>
      <c r="AF33" t="s">
        <v>74</v>
      </c>
      <c r="AG33">
        <v>42</v>
      </c>
      <c r="AH33">
        <v>17</v>
      </c>
      <c r="AI33">
        <v>20</v>
      </c>
      <c r="AJ33">
        <v>9</v>
      </c>
      <c r="AK33">
        <v>88</v>
      </c>
      <c r="AL33" t="s">
        <v>578</v>
      </c>
      <c r="AM33" t="s">
        <v>93</v>
      </c>
      <c r="AN33" t="s">
        <v>579</v>
      </c>
      <c r="AO33" t="s">
        <v>580</v>
      </c>
      <c r="AP33" t="s">
        <v>581</v>
      </c>
      <c r="AQ33" t="s">
        <v>74</v>
      </c>
      <c r="AR33" t="s">
        <v>582</v>
      </c>
      <c r="AS33" t="s">
        <v>583</v>
      </c>
      <c r="AT33" t="s">
        <v>99</v>
      </c>
      <c r="AU33">
        <v>2020</v>
      </c>
      <c r="AV33">
        <v>263</v>
      </c>
      <c r="AW33" t="s">
        <v>74</v>
      </c>
      <c r="AX33" t="s">
        <v>790</v>
      </c>
      <c r="AY33" t="s">
        <v>74</v>
      </c>
      <c r="AZ33" t="s">
        <v>74</v>
      </c>
      <c r="BA33" t="s">
        <v>74</v>
      </c>
      <c r="BB33" t="s">
        <v>74</v>
      </c>
      <c r="BC33" t="s">
        <v>74</v>
      </c>
      <c r="BD33">
        <v>114459</v>
      </c>
      <c r="BE33" t="s">
        <v>791</v>
      </c>
      <c r="BF33" t="str">
        <f>HYPERLINK("http://dx.doi.org/10.1016/j.envpol.2020.114459","http://dx.doi.org/10.1016/j.envpol.2020.114459")</f>
        <v>http://dx.doi.org/10.1016/j.envpol.2020.114459</v>
      </c>
      <c r="BG33" t="s">
        <v>74</v>
      </c>
      <c r="BH33" t="s">
        <v>74</v>
      </c>
      <c r="BI33">
        <v>7</v>
      </c>
      <c r="BJ33" t="s">
        <v>101</v>
      </c>
      <c r="BK33" t="s">
        <v>102</v>
      </c>
      <c r="BL33" t="s">
        <v>103</v>
      </c>
      <c r="BM33" t="s">
        <v>792</v>
      </c>
      <c r="BN33">
        <v>32302892</v>
      </c>
      <c r="BO33" t="s">
        <v>74</v>
      </c>
      <c r="BP33" t="s">
        <v>74</v>
      </c>
      <c r="BQ33" t="s">
        <v>74</v>
      </c>
      <c r="BR33" t="s">
        <v>106</v>
      </c>
      <c r="BS33" t="s">
        <v>793</v>
      </c>
      <c r="BT33" t="str">
        <f>HYPERLINK("https%3A%2F%2Fwww.webofscience.com%2Fwos%2Fwoscc%2Ffull-record%2FWOS:000539426400004","View Full Record in Web of Science")</f>
        <v>View Full Record in Web of Science</v>
      </c>
    </row>
    <row r="34" spans="1:72" x14ac:dyDescent="0.15">
      <c r="A34" t="s">
        <v>72</v>
      </c>
      <c r="B34" t="s">
        <v>794</v>
      </c>
      <c r="C34" t="s">
        <v>74</v>
      </c>
      <c r="D34" t="s">
        <v>74</v>
      </c>
      <c r="E34" t="s">
        <v>74</v>
      </c>
      <c r="F34" t="s">
        <v>795</v>
      </c>
      <c r="G34" t="s">
        <v>74</v>
      </c>
      <c r="H34" t="s">
        <v>74</v>
      </c>
      <c r="I34" t="s">
        <v>796</v>
      </c>
      <c r="J34" t="s">
        <v>565</v>
      </c>
      <c r="K34" t="s">
        <v>74</v>
      </c>
      <c r="L34" t="s">
        <v>74</v>
      </c>
      <c r="M34" t="s">
        <v>78</v>
      </c>
      <c r="N34" t="s">
        <v>79</v>
      </c>
      <c r="O34" t="s">
        <v>74</v>
      </c>
      <c r="P34" t="s">
        <v>74</v>
      </c>
      <c r="Q34" t="s">
        <v>74</v>
      </c>
      <c r="R34" t="s">
        <v>74</v>
      </c>
      <c r="S34" t="s">
        <v>74</v>
      </c>
      <c r="T34" t="s">
        <v>797</v>
      </c>
      <c r="U34" t="s">
        <v>798</v>
      </c>
      <c r="V34" t="s">
        <v>799</v>
      </c>
      <c r="W34" t="s">
        <v>800</v>
      </c>
      <c r="X34" t="s">
        <v>801</v>
      </c>
      <c r="Y34" t="s">
        <v>802</v>
      </c>
      <c r="Z34" t="s">
        <v>803</v>
      </c>
      <c r="AA34" t="s">
        <v>804</v>
      </c>
      <c r="AB34" t="s">
        <v>805</v>
      </c>
      <c r="AC34" t="s">
        <v>806</v>
      </c>
      <c r="AD34" t="s">
        <v>807</v>
      </c>
      <c r="AE34" t="s">
        <v>808</v>
      </c>
      <c r="AF34" t="s">
        <v>74</v>
      </c>
      <c r="AG34">
        <v>38</v>
      </c>
      <c r="AH34">
        <v>15</v>
      </c>
      <c r="AI34">
        <v>16</v>
      </c>
      <c r="AJ34">
        <v>0</v>
      </c>
      <c r="AK34">
        <v>26</v>
      </c>
      <c r="AL34" t="s">
        <v>578</v>
      </c>
      <c r="AM34" t="s">
        <v>93</v>
      </c>
      <c r="AN34" t="s">
        <v>579</v>
      </c>
      <c r="AO34" t="s">
        <v>580</v>
      </c>
      <c r="AP34" t="s">
        <v>581</v>
      </c>
      <c r="AQ34" t="s">
        <v>74</v>
      </c>
      <c r="AR34" t="s">
        <v>582</v>
      </c>
      <c r="AS34" t="s">
        <v>583</v>
      </c>
      <c r="AT34" t="s">
        <v>99</v>
      </c>
      <c r="AU34">
        <v>2020</v>
      </c>
      <c r="AV34">
        <v>263</v>
      </c>
      <c r="AW34" t="s">
        <v>74</v>
      </c>
      <c r="AX34" t="s">
        <v>790</v>
      </c>
      <c r="AY34" t="s">
        <v>74</v>
      </c>
      <c r="AZ34" t="s">
        <v>74</v>
      </c>
      <c r="BA34" t="s">
        <v>74</v>
      </c>
      <c r="BB34" t="s">
        <v>74</v>
      </c>
      <c r="BC34" t="s">
        <v>74</v>
      </c>
      <c r="BD34">
        <v>114394</v>
      </c>
      <c r="BE34" t="s">
        <v>809</v>
      </c>
      <c r="BF34" t="str">
        <f>HYPERLINK("http://dx.doi.org/10.1016/j.envpol.2020.114394","http://dx.doi.org/10.1016/j.envpol.2020.114394")</f>
        <v>http://dx.doi.org/10.1016/j.envpol.2020.114394</v>
      </c>
      <c r="BG34" t="s">
        <v>74</v>
      </c>
      <c r="BH34" t="s">
        <v>74</v>
      </c>
      <c r="BI34">
        <v>7</v>
      </c>
      <c r="BJ34" t="s">
        <v>101</v>
      </c>
      <c r="BK34" t="s">
        <v>102</v>
      </c>
      <c r="BL34" t="s">
        <v>103</v>
      </c>
      <c r="BM34" t="s">
        <v>792</v>
      </c>
      <c r="BN34">
        <v>32234635</v>
      </c>
      <c r="BO34" t="s">
        <v>74</v>
      </c>
      <c r="BP34" t="s">
        <v>74</v>
      </c>
      <c r="BQ34" t="s">
        <v>74</v>
      </c>
      <c r="BR34" t="s">
        <v>106</v>
      </c>
      <c r="BS34" t="s">
        <v>810</v>
      </c>
      <c r="BT34" t="str">
        <f>HYPERLINK("https%3A%2F%2Fwww.webofscience.com%2Fwos%2Fwoscc%2Ffull-record%2FWOS:000539426400106","View Full Record in Web of Science")</f>
        <v>View Full Record in Web of Science</v>
      </c>
    </row>
    <row r="35" spans="1:72" x14ac:dyDescent="0.15">
      <c r="A35" t="s">
        <v>72</v>
      </c>
      <c r="B35" t="s">
        <v>811</v>
      </c>
      <c r="C35" t="s">
        <v>74</v>
      </c>
      <c r="D35" t="s">
        <v>74</v>
      </c>
      <c r="E35" t="s">
        <v>74</v>
      </c>
      <c r="F35" t="s">
        <v>812</v>
      </c>
      <c r="G35" t="s">
        <v>74</v>
      </c>
      <c r="H35" t="s">
        <v>74</v>
      </c>
      <c r="I35" t="s">
        <v>813</v>
      </c>
      <c r="J35" t="s">
        <v>814</v>
      </c>
      <c r="K35" t="s">
        <v>74</v>
      </c>
      <c r="L35" t="s">
        <v>74</v>
      </c>
      <c r="M35" t="s">
        <v>78</v>
      </c>
      <c r="N35" t="s">
        <v>79</v>
      </c>
      <c r="O35" t="s">
        <v>74</v>
      </c>
      <c r="P35" t="s">
        <v>74</v>
      </c>
      <c r="Q35" t="s">
        <v>74</v>
      </c>
      <c r="R35" t="s">
        <v>74</v>
      </c>
      <c r="S35" t="s">
        <v>74</v>
      </c>
      <c r="T35" t="s">
        <v>815</v>
      </c>
      <c r="U35" t="s">
        <v>816</v>
      </c>
      <c r="V35" t="s">
        <v>817</v>
      </c>
      <c r="W35" t="s">
        <v>818</v>
      </c>
      <c r="X35" t="s">
        <v>819</v>
      </c>
      <c r="Y35" t="s">
        <v>820</v>
      </c>
      <c r="Z35" t="s">
        <v>821</v>
      </c>
      <c r="AA35" t="s">
        <v>822</v>
      </c>
      <c r="AB35" t="s">
        <v>823</v>
      </c>
      <c r="AC35" t="s">
        <v>824</v>
      </c>
      <c r="AD35" t="s">
        <v>825</v>
      </c>
      <c r="AE35" t="s">
        <v>826</v>
      </c>
      <c r="AF35" t="s">
        <v>74</v>
      </c>
      <c r="AG35">
        <v>38</v>
      </c>
      <c r="AH35">
        <v>4</v>
      </c>
      <c r="AI35">
        <v>4</v>
      </c>
      <c r="AJ35">
        <v>2</v>
      </c>
      <c r="AK35">
        <v>15</v>
      </c>
      <c r="AL35" t="s">
        <v>578</v>
      </c>
      <c r="AM35" t="s">
        <v>93</v>
      </c>
      <c r="AN35" t="s">
        <v>579</v>
      </c>
      <c r="AO35" t="s">
        <v>827</v>
      </c>
      <c r="AP35" t="s">
        <v>828</v>
      </c>
      <c r="AQ35" t="s">
        <v>74</v>
      </c>
      <c r="AR35" t="s">
        <v>829</v>
      </c>
      <c r="AS35" t="s">
        <v>830</v>
      </c>
      <c r="AT35" t="s">
        <v>99</v>
      </c>
      <c r="AU35">
        <v>2020</v>
      </c>
      <c r="AV35">
        <v>45</v>
      </c>
      <c r="AW35" t="s">
        <v>74</v>
      </c>
      <c r="AX35" t="s">
        <v>74</v>
      </c>
      <c r="AY35" t="s">
        <v>74</v>
      </c>
      <c r="AZ35" t="s">
        <v>74</v>
      </c>
      <c r="BA35" t="s">
        <v>74</v>
      </c>
      <c r="BB35" t="s">
        <v>74</v>
      </c>
      <c r="BC35" t="s">
        <v>74</v>
      </c>
      <c r="BD35">
        <v>100596</v>
      </c>
      <c r="BE35" t="s">
        <v>831</v>
      </c>
      <c r="BF35" t="str">
        <f>HYPERLINK("http://dx.doi.org/10.1016/j.aeolia.2020.100596","http://dx.doi.org/10.1016/j.aeolia.2020.100596")</f>
        <v>http://dx.doi.org/10.1016/j.aeolia.2020.100596</v>
      </c>
      <c r="BG35" t="s">
        <v>74</v>
      </c>
      <c r="BH35" t="s">
        <v>74</v>
      </c>
      <c r="BI35">
        <v>9</v>
      </c>
      <c r="BJ35" t="s">
        <v>832</v>
      </c>
      <c r="BK35" t="s">
        <v>102</v>
      </c>
      <c r="BL35" t="s">
        <v>833</v>
      </c>
      <c r="BM35" t="s">
        <v>834</v>
      </c>
      <c r="BN35" t="s">
        <v>74</v>
      </c>
      <c r="BO35" t="s">
        <v>189</v>
      </c>
      <c r="BP35" t="s">
        <v>74</v>
      </c>
      <c r="BQ35" t="s">
        <v>74</v>
      </c>
      <c r="BR35" t="s">
        <v>106</v>
      </c>
      <c r="BS35" t="s">
        <v>835</v>
      </c>
      <c r="BT35" t="str">
        <f>HYPERLINK("https%3A%2F%2Fwww.webofscience.com%2Fwos%2Fwoscc%2Ffull-record%2FWOS:000537944900002","View Full Record in Web of Science")</f>
        <v>View Full Record in Web of Science</v>
      </c>
    </row>
    <row r="36" spans="1:72" x14ac:dyDescent="0.15">
      <c r="A36" t="s">
        <v>72</v>
      </c>
      <c r="B36" t="s">
        <v>836</v>
      </c>
      <c r="C36" t="s">
        <v>74</v>
      </c>
      <c r="D36" t="s">
        <v>74</v>
      </c>
      <c r="E36" t="s">
        <v>74</v>
      </c>
      <c r="F36" t="s">
        <v>837</v>
      </c>
      <c r="G36" t="s">
        <v>74</v>
      </c>
      <c r="H36" t="s">
        <v>74</v>
      </c>
      <c r="I36" t="s">
        <v>838</v>
      </c>
      <c r="J36" t="s">
        <v>839</v>
      </c>
      <c r="K36" t="s">
        <v>74</v>
      </c>
      <c r="L36" t="s">
        <v>74</v>
      </c>
      <c r="M36" t="s">
        <v>78</v>
      </c>
      <c r="N36" t="s">
        <v>79</v>
      </c>
      <c r="O36" t="s">
        <v>74</v>
      </c>
      <c r="P36" t="s">
        <v>74</v>
      </c>
      <c r="Q36" t="s">
        <v>74</v>
      </c>
      <c r="R36" t="s">
        <v>74</v>
      </c>
      <c r="S36" t="s">
        <v>74</v>
      </c>
      <c r="T36" t="s">
        <v>840</v>
      </c>
      <c r="U36" t="s">
        <v>841</v>
      </c>
      <c r="V36" t="s">
        <v>842</v>
      </c>
      <c r="W36" t="s">
        <v>843</v>
      </c>
      <c r="X36" t="s">
        <v>844</v>
      </c>
      <c r="Y36" t="s">
        <v>845</v>
      </c>
      <c r="Z36" t="s">
        <v>846</v>
      </c>
      <c r="AA36" t="s">
        <v>847</v>
      </c>
      <c r="AB36" t="s">
        <v>848</v>
      </c>
      <c r="AC36" t="s">
        <v>74</v>
      </c>
      <c r="AD36" t="s">
        <v>74</v>
      </c>
      <c r="AE36" t="s">
        <v>74</v>
      </c>
      <c r="AF36" t="s">
        <v>74</v>
      </c>
      <c r="AG36">
        <v>48</v>
      </c>
      <c r="AH36">
        <v>51</v>
      </c>
      <c r="AI36">
        <v>57</v>
      </c>
      <c r="AJ36">
        <v>4</v>
      </c>
      <c r="AK36">
        <v>33</v>
      </c>
      <c r="AL36" t="s">
        <v>398</v>
      </c>
      <c r="AM36" t="s">
        <v>399</v>
      </c>
      <c r="AN36" t="s">
        <v>400</v>
      </c>
      <c r="AO36" t="s">
        <v>849</v>
      </c>
      <c r="AP36" t="s">
        <v>850</v>
      </c>
      <c r="AQ36" t="s">
        <v>74</v>
      </c>
      <c r="AR36" t="s">
        <v>851</v>
      </c>
      <c r="AS36" t="s">
        <v>852</v>
      </c>
      <c r="AT36" t="s">
        <v>99</v>
      </c>
      <c r="AU36">
        <v>2020</v>
      </c>
      <c r="AV36">
        <v>245</v>
      </c>
      <c r="AW36" t="s">
        <v>74</v>
      </c>
      <c r="AX36" t="s">
        <v>74</v>
      </c>
      <c r="AY36" t="s">
        <v>74</v>
      </c>
      <c r="AZ36" t="s">
        <v>74</v>
      </c>
      <c r="BA36" t="s">
        <v>74</v>
      </c>
      <c r="BB36" t="s">
        <v>74</v>
      </c>
      <c r="BC36" t="s">
        <v>74</v>
      </c>
      <c r="BD36">
        <v>111827</v>
      </c>
      <c r="BE36" t="s">
        <v>853</v>
      </c>
      <c r="BF36" t="str">
        <f>HYPERLINK("http://dx.doi.org/10.1016/j.rse.2020.111827","http://dx.doi.org/10.1016/j.rse.2020.111827")</f>
        <v>http://dx.doi.org/10.1016/j.rse.2020.111827</v>
      </c>
      <c r="BG36" t="s">
        <v>74</v>
      </c>
      <c r="BH36" t="s">
        <v>74</v>
      </c>
      <c r="BI36">
        <v>8</v>
      </c>
      <c r="BJ36" t="s">
        <v>854</v>
      </c>
      <c r="BK36" t="s">
        <v>102</v>
      </c>
      <c r="BL36" t="s">
        <v>855</v>
      </c>
      <c r="BM36" t="s">
        <v>856</v>
      </c>
      <c r="BN36" t="s">
        <v>74</v>
      </c>
      <c r="BO36" t="s">
        <v>189</v>
      </c>
      <c r="BP36" t="s">
        <v>74</v>
      </c>
      <c r="BQ36" t="s">
        <v>74</v>
      </c>
      <c r="BR36" t="s">
        <v>106</v>
      </c>
      <c r="BS36" t="s">
        <v>857</v>
      </c>
      <c r="BT36" t="str">
        <f>HYPERLINK("https%3A%2F%2Fwww.webofscience.com%2Fwos%2Fwoscc%2Ffull-record%2FWOS:000537687300007","View Full Record in Web of Science")</f>
        <v>View Full Record in Web of Science</v>
      </c>
    </row>
    <row r="37" spans="1:72" x14ac:dyDescent="0.15">
      <c r="A37" t="s">
        <v>72</v>
      </c>
      <c r="B37" t="s">
        <v>858</v>
      </c>
      <c r="C37" t="s">
        <v>74</v>
      </c>
      <c r="D37" t="s">
        <v>74</v>
      </c>
      <c r="E37" t="s">
        <v>74</v>
      </c>
      <c r="F37" t="s">
        <v>859</v>
      </c>
      <c r="G37" t="s">
        <v>74</v>
      </c>
      <c r="H37" t="s">
        <v>74</v>
      </c>
      <c r="I37" t="s">
        <v>860</v>
      </c>
      <c r="J37" t="s">
        <v>861</v>
      </c>
      <c r="K37" t="s">
        <v>74</v>
      </c>
      <c r="L37" t="s">
        <v>74</v>
      </c>
      <c r="M37" t="s">
        <v>78</v>
      </c>
      <c r="N37" t="s">
        <v>79</v>
      </c>
      <c r="O37" t="s">
        <v>74</v>
      </c>
      <c r="P37" t="s">
        <v>74</v>
      </c>
      <c r="Q37" t="s">
        <v>74</v>
      </c>
      <c r="R37" t="s">
        <v>74</v>
      </c>
      <c r="S37" t="s">
        <v>74</v>
      </c>
      <c r="T37" t="s">
        <v>862</v>
      </c>
      <c r="U37" t="s">
        <v>863</v>
      </c>
      <c r="V37" t="s">
        <v>864</v>
      </c>
      <c r="W37" t="s">
        <v>865</v>
      </c>
      <c r="X37" t="s">
        <v>866</v>
      </c>
      <c r="Y37" t="s">
        <v>867</v>
      </c>
      <c r="Z37" t="s">
        <v>868</v>
      </c>
      <c r="AA37" t="s">
        <v>869</v>
      </c>
      <c r="AB37" t="s">
        <v>870</v>
      </c>
      <c r="AC37" t="s">
        <v>871</v>
      </c>
      <c r="AD37" t="s">
        <v>872</v>
      </c>
      <c r="AE37" t="s">
        <v>873</v>
      </c>
      <c r="AF37" t="s">
        <v>74</v>
      </c>
      <c r="AG37">
        <v>114</v>
      </c>
      <c r="AH37">
        <v>34</v>
      </c>
      <c r="AI37">
        <v>35</v>
      </c>
      <c r="AJ37">
        <v>0</v>
      </c>
      <c r="AK37">
        <v>10</v>
      </c>
      <c r="AL37" t="s">
        <v>549</v>
      </c>
      <c r="AM37" t="s">
        <v>550</v>
      </c>
      <c r="AN37" t="s">
        <v>551</v>
      </c>
      <c r="AO37" t="s">
        <v>874</v>
      </c>
      <c r="AP37" t="s">
        <v>875</v>
      </c>
      <c r="AQ37" t="s">
        <v>74</v>
      </c>
      <c r="AR37" t="s">
        <v>861</v>
      </c>
      <c r="AS37" t="s">
        <v>876</v>
      </c>
      <c r="AT37" t="s">
        <v>99</v>
      </c>
      <c r="AU37">
        <v>2020</v>
      </c>
      <c r="AV37">
        <v>346</v>
      </c>
      <c r="AW37" t="s">
        <v>74</v>
      </c>
      <c r="AX37" t="s">
        <v>74</v>
      </c>
      <c r="AY37" t="s">
        <v>74</v>
      </c>
      <c r="AZ37" t="s">
        <v>74</v>
      </c>
      <c r="BA37" t="s">
        <v>74</v>
      </c>
      <c r="BB37" t="s">
        <v>74</v>
      </c>
      <c r="BC37" t="s">
        <v>74</v>
      </c>
      <c r="BD37">
        <v>113760</v>
      </c>
      <c r="BE37" t="s">
        <v>877</v>
      </c>
      <c r="BF37" t="str">
        <f>HYPERLINK("http://dx.doi.org/10.1016/j.icarus.2020.113760","http://dx.doi.org/10.1016/j.icarus.2020.113760")</f>
        <v>http://dx.doi.org/10.1016/j.icarus.2020.113760</v>
      </c>
      <c r="BG37" t="s">
        <v>74</v>
      </c>
      <c r="BH37" t="s">
        <v>74</v>
      </c>
      <c r="BI37">
        <v>23</v>
      </c>
      <c r="BJ37" t="s">
        <v>774</v>
      </c>
      <c r="BK37" t="s">
        <v>102</v>
      </c>
      <c r="BL37" t="s">
        <v>774</v>
      </c>
      <c r="BM37" t="s">
        <v>878</v>
      </c>
      <c r="BN37" t="s">
        <v>74</v>
      </c>
      <c r="BO37" t="s">
        <v>491</v>
      </c>
      <c r="BP37" t="s">
        <v>74</v>
      </c>
      <c r="BQ37" t="s">
        <v>74</v>
      </c>
      <c r="BR37" t="s">
        <v>106</v>
      </c>
      <c r="BS37" t="s">
        <v>879</v>
      </c>
      <c r="BT37" t="str">
        <f>HYPERLINK("https%3A%2F%2Fwww.webofscience.com%2Fwos%2Fwoscc%2Ffull-record%2FWOS:000537431900002","View Full Record in Web of Science")</f>
        <v>View Full Record in Web of Science</v>
      </c>
    </row>
    <row r="38" spans="1:72" x14ac:dyDescent="0.15">
      <c r="A38" t="s">
        <v>72</v>
      </c>
      <c r="B38" t="s">
        <v>880</v>
      </c>
      <c r="C38" t="s">
        <v>74</v>
      </c>
      <c r="D38" t="s">
        <v>74</v>
      </c>
      <c r="E38" t="s">
        <v>74</v>
      </c>
      <c r="F38" t="s">
        <v>881</v>
      </c>
      <c r="G38" t="s">
        <v>74</v>
      </c>
      <c r="H38" t="s">
        <v>74</v>
      </c>
      <c r="I38" t="s">
        <v>882</v>
      </c>
      <c r="J38" t="s">
        <v>883</v>
      </c>
      <c r="K38" t="s">
        <v>74</v>
      </c>
      <c r="L38" t="s">
        <v>74</v>
      </c>
      <c r="M38" t="s">
        <v>78</v>
      </c>
      <c r="N38" t="s">
        <v>79</v>
      </c>
      <c r="O38" t="s">
        <v>74</v>
      </c>
      <c r="P38" t="s">
        <v>74</v>
      </c>
      <c r="Q38" t="s">
        <v>74</v>
      </c>
      <c r="R38" t="s">
        <v>74</v>
      </c>
      <c r="S38" t="s">
        <v>74</v>
      </c>
      <c r="T38" t="s">
        <v>884</v>
      </c>
      <c r="U38" t="s">
        <v>885</v>
      </c>
      <c r="V38" t="s">
        <v>886</v>
      </c>
      <c r="W38" t="s">
        <v>887</v>
      </c>
      <c r="X38" t="s">
        <v>888</v>
      </c>
      <c r="Y38" t="s">
        <v>889</v>
      </c>
      <c r="Z38" t="s">
        <v>890</v>
      </c>
      <c r="AA38" t="s">
        <v>891</v>
      </c>
      <c r="AB38" t="s">
        <v>892</v>
      </c>
      <c r="AC38" t="s">
        <v>893</v>
      </c>
      <c r="AD38" t="s">
        <v>894</v>
      </c>
      <c r="AE38" t="s">
        <v>895</v>
      </c>
      <c r="AF38" t="s">
        <v>74</v>
      </c>
      <c r="AG38">
        <v>82</v>
      </c>
      <c r="AH38">
        <v>3</v>
      </c>
      <c r="AI38">
        <v>3</v>
      </c>
      <c r="AJ38">
        <v>2</v>
      </c>
      <c r="AK38">
        <v>9</v>
      </c>
      <c r="AL38" t="s">
        <v>549</v>
      </c>
      <c r="AM38" t="s">
        <v>550</v>
      </c>
      <c r="AN38" t="s">
        <v>551</v>
      </c>
      <c r="AO38" t="s">
        <v>896</v>
      </c>
      <c r="AP38" t="s">
        <v>897</v>
      </c>
      <c r="AQ38" t="s">
        <v>74</v>
      </c>
      <c r="AR38" t="s">
        <v>898</v>
      </c>
      <c r="AS38" t="s">
        <v>899</v>
      </c>
      <c r="AT38" t="s">
        <v>316</v>
      </c>
      <c r="AU38">
        <v>2020</v>
      </c>
      <c r="AV38">
        <v>294</v>
      </c>
      <c r="AW38" t="s">
        <v>74</v>
      </c>
      <c r="AX38" t="s">
        <v>74</v>
      </c>
      <c r="AY38" t="s">
        <v>74</v>
      </c>
      <c r="AZ38" t="s">
        <v>74</v>
      </c>
      <c r="BA38" t="s">
        <v>74</v>
      </c>
      <c r="BB38" t="s">
        <v>74</v>
      </c>
      <c r="BC38" t="s">
        <v>74</v>
      </c>
      <c r="BD38">
        <v>113496</v>
      </c>
      <c r="BE38" t="s">
        <v>900</v>
      </c>
      <c r="BF38" t="str">
        <f>HYPERLINK("http://dx.doi.org/10.1016/j.ygcen.2020.113496","http://dx.doi.org/10.1016/j.ygcen.2020.113496")</f>
        <v>http://dx.doi.org/10.1016/j.ygcen.2020.113496</v>
      </c>
      <c r="BG38" t="s">
        <v>74</v>
      </c>
      <c r="BH38" t="s">
        <v>74</v>
      </c>
      <c r="BI38">
        <v>10</v>
      </c>
      <c r="BJ38" t="s">
        <v>901</v>
      </c>
      <c r="BK38" t="s">
        <v>102</v>
      </c>
      <c r="BL38" t="s">
        <v>901</v>
      </c>
      <c r="BM38" t="s">
        <v>902</v>
      </c>
      <c r="BN38">
        <v>32360560</v>
      </c>
      <c r="BO38" t="s">
        <v>74</v>
      </c>
      <c r="BP38" t="s">
        <v>74</v>
      </c>
      <c r="BQ38" t="s">
        <v>74</v>
      </c>
      <c r="BR38" t="s">
        <v>106</v>
      </c>
      <c r="BS38" t="s">
        <v>903</v>
      </c>
      <c r="BT38" t="str">
        <f>HYPERLINK("https%3A%2F%2Fwww.webofscience.com%2Fwos%2Fwoscc%2Ffull-record%2FWOS:000537015400010","View Full Record in Web of Science")</f>
        <v>View Full Record in Web of Science</v>
      </c>
    </row>
    <row r="39" spans="1:72" x14ac:dyDescent="0.15">
      <c r="A39" t="s">
        <v>72</v>
      </c>
      <c r="B39" t="s">
        <v>904</v>
      </c>
      <c r="C39" t="s">
        <v>74</v>
      </c>
      <c r="D39" t="s">
        <v>74</v>
      </c>
      <c r="E39" t="s">
        <v>74</v>
      </c>
      <c r="F39" t="s">
        <v>905</v>
      </c>
      <c r="G39" t="s">
        <v>74</v>
      </c>
      <c r="H39" t="s">
        <v>74</v>
      </c>
      <c r="I39" t="s">
        <v>906</v>
      </c>
      <c r="J39" t="s">
        <v>907</v>
      </c>
      <c r="K39" t="s">
        <v>74</v>
      </c>
      <c r="L39" t="s">
        <v>74</v>
      </c>
      <c r="M39" t="s">
        <v>78</v>
      </c>
      <c r="N39" t="s">
        <v>79</v>
      </c>
      <c r="O39" t="s">
        <v>74</v>
      </c>
      <c r="P39" t="s">
        <v>74</v>
      </c>
      <c r="Q39" t="s">
        <v>74</v>
      </c>
      <c r="R39" t="s">
        <v>74</v>
      </c>
      <c r="S39" t="s">
        <v>74</v>
      </c>
      <c r="T39" t="s">
        <v>908</v>
      </c>
      <c r="U39" t="s">
        <v>909</v>
      </c>
      <c r="V39" t="s">
        <v>910</v>
      </c>
      <c r="W39" t="s">
        <v>911</v>
      </c>
      <c r="X39" t="s">
        <v>912</v>
      </c>
      <c r="Y39" t="s">
        <v>913</v>
      </c>
      <c r="Z39" t="s">
        <v>914</v>
      </c>
      <c r="AA39" t="s">
        <v>74</v>
      </c>
      <c r="AB39" t="s">
        <v>915</v>
      </c>
      <c r="AC39" t="s">
        <v>916</v>
      </c>
      <c r="AD39" t="s">
        <v>917</v>
      </c>
      <c r="AE39" t="s">
        <v>918</v>
      </c>
      <c r="AF39" t="s">
        <v>74</v>
      </c>
      <c r="AG39">
        <v>54</v>
      </c>
      <c r="AH39">
        <v>4</v>
      </c>
      <c r="AI39">
        <v>4</v>
      </c>
      <c r="AJ39">
        <v>0</v>
      </c>
      <c r="AK39">
        <v>9</v>
      </c>
      <c r="AL39" t="s">
        <v>284</v>
      </c>
      <c r="AM39" t="s">
        <v>285</v>
      </c>
      <c r="AN39" t="s">
        <v>286</v>
      </c>
      <c r="AO39" t="s">
        <v>919</v>
      </c>
      <c r="AP39" t="s">
        <v>920</v>
      </c>
      <c r="AQ39" t="s">
        <v>74</v>
      </c>
      <c r="AR39" t="s">
        <v>921</v>
      </c>
      <c r="AS39" t="s">
        <v>922</v>
      </c>
      <c r="AT39" t="s">
        <v>99</v>
      </c>
      <c r="AU39">
        <v>2020</v>
      </c>
      <c r="AV39">
        <v>174</v>
      </c>
      <c r="AW39" t="s">
        <v>74</v>
      </c>
      <c r="AX39" t="s">
        <v>74</v>
      </c>
      <c r="AY39" t="s">
        <v>74</v>
      </c>
      <c r="AZ39" t="s">
        <v>74</v>
      </c>
      <c r="BA39" t="s">
        <v>74</v>
      </c>
      <c r="BB39" t="s">
        <v>74</v>
      </c>
      <c r="BC39" t="s">
        <v>74</v>
      </c>
      <c r="BD39">
        <v>106687</v>
      </c>
      <c r="BE39" t="s">
        <v>923</v>
      </c>
      <c r="BF39" t="str">
        <f>HYPERLINK("http://dx.doi.org/10.1016/j.ecolecon.2020.106687","http://dx.doi.org/10.1016/j.ecolecon.2020.106687")</f>
        <v>http://dx.doi.org/10.1016/j.ecolecon.2020.106687</v>
      </c>
      <c r="BG39" t="s">
        <v>74</v>
      </c>
      <c r="BH39" t="s">
        <v>74</v>
      </c>
      <c r="BI39">
        <v>9</v>
      </c>
      <c r="BJ39" t="s">
        <v>924</v>
      </c>
      <c r="BK39" t="s">
        <v>925</v>
      </c>
      <c r="BL39" t="s">
        <v>926</v>
      </c>
      <c r="BM39" t="s">
        <v>927</v>
      </c>
      <c r="BN39" t="s">
        <v>74</v>
      </c>
      <c r="BO39" t="s">
        <v>189</v>
      </c>
      <c r="BP39" t="s">
        <v>74</v>
      </c>
      <c r="BQ39" t="s">
        <v>74</v>
      </c>
      <c r="BR39" t="s">
        <v>106</v>
      </c>
      <c r="BS39" t="s">
        <v>928</v>
      </c>
      <c r="BT39" t="str">
        <f>HYPERLINK("https%3A%2F%2Fwww.webofscience.com%2Fwos%2Fwoscc%2Ffull-record%2FWOS:000535905400015","View Full Record in Web of Science")</f>
        <v>View Full Record in Web of Science</v>
      </c>
    </row>
    <row r="40" spans="1:72" x14ac:dyDescent="0.15">
      <c r="A40" t="s">
        <v>72</v>
      </c>
      <c r="B40" t="s">
        <v>929</v>
      </c>
      <c r="C40" t="s">
        <v>74</v>
      </c>
      <c r="D40" t="s">
        <v>74</v>
      </c>
      <c r="E40" t="s">
        <v>74</v>
      </c>
      <c r="F40" t="s">
        <v>930</v>
      </c>
      <c r="G40" t="s">
        <v>74</v>
      </c>
      <c r="H40" t="s">
        <v>74</v>
      </c>
      <c r="I40" t="s">
        <v>931</v>
      </c>
      <c r="J40" t="s">
        <v>932</v>
      </c>
      <c r="K40" t="s">
        <v>74</v>
      </c>
      <c r="L40" t="s">
        <v>74</v>
      </c>
      <c r="M40" t="s">
        <v>78</v>
      </c>
      <c r="N40" t="s">
        <v>79</v>
      </c>
      <c r="O40" t="s">
        <v>74</v>
      </c>
      <c r="P40" t="s">
        <v>74</v>
      </c>
      <c r="Q40" t="s">
        <v>74</v>
      </c>
      <c r="R40" t="s">
        <v>74</v>
      </c>
      <c r="S40" t="s">
        <v>74</v>
      </c>
      <c r="T40" t="s">
        <v>933</v>
      </c>
      <c r="U40" t="s">
        <v>934</v>
      </c>
      <c r="V40" t="s">
        <v>935</v>
      </c>
      <c r="W40" t="s">
        <v>936</v>
      </c>
      <c r="X40" t="s">
        <v>937</v>
      </c>
      <c r="Y40" t="s">
        <v>938</v>
      </c>
      <c r="Z40" t="s">
        <v>939</v>
      </c>
      <c r="AA40" t="s">
        <v>74</v>
      </c>
      <c r="AB40" t="s">
        <v>940</v>
      </c>
      <c r="AC40" t="s">
        <v>941</v>
      </c>
      <c r="AD40" t="s">
        <v>942</v>
      </c>
      <c r="AE40" t="s">
        <v>943</v>
      </c>
      <c r="AF40" t="s">
        <v>74</v>
      </c>
      <c r="AG40">
        <v>56</v>
      </c>
      <c r="AH40">
        <v>3</v>
      </c>
      <c r="AI40">
        <v>3</v>
      </c>
      <c r="AJ40">
        <v>1</v>
      </c>
      <c r="AK40">
        <v>30</v>
      </c>
      <c r="AL40" t="s">
        <v>944</v>
      </c>
      <c r="AM40" t="s">
        <v>945</v>
      </c>
      <c r="AN40" t="s">
        <v>946</v>
      </c>
      <c r="AO40" t="s">
        <v>947</v>
      </c>
      <c r="AP40" t="s">
        <v>948</v>
      </c>
      <c r="AQ40" t="s">
        <v>74</v>
      </c>
      <c r="AR40" t="s">
        <v>949</v>
      </c>
      <c r="AS40" t="s">
        <v>950</v>
      </c>
      <c r="AT40" t="s">
        <v>316</v>
      </c>
      <c r="AU40">
        <v>2020</v>
      </c>
      <c r="AV40">
        <v>267</v>
      </c>
      <c r="AW40" t="s">
        <v>74</v>
      </c>
      <c r="AX40" t="s">
        <v>74</v>
      </c>
      <c r="AY40" t="s">
        <v>74</v>
      </c>
      <c r="AZ40" t="s">
        <v>74</v>
      </c>
      <c r="BA40" t="s">
        <v>74</v>
      </c>
      <c r="BB40" t="s">
        <v>74</v>
      </c>
      <c r="BC40" t="s">
        <v>74</v>
      </c>
      <c r="BD40">
        <v>110648</v>
      </c>
      <c r="BE40" t="s">
        <v>951</v>
      </c>
      <c r="BF40" t="str">
        <f>HYPERLINK("http://dx.doi.org/10.1016/j.jenvman.2020.110648","http://dx.doi.org/10.1016/j.jenvman.2020.110648")</f>
        <v>http://dx.doi.org/10.1016/j.jenvman.2020.110648</v>
      </c>
      <c r="BG40" t="s">
        <v>74</v>
      </c>
      <c r="BH40" t="s">
        <v>74</v>
      </c>
      <c r="BI40">
        <v>9</v>
      </c>
      <c r="BJ40" t="s">
        <v>101</v>
      </c>
      <c r="BK40" t="s">
        <v>102</v>
      </c>
      <c r="BL40" t="s">
        <v>103</v>
      </c>
      <c r="BM40" t="s">
        <v>952</v>
      </c>
      <c r="BN40">
        <v>32421678</v>
      </c>
      <c r="BO40" t="s">
        <v>74</v>
      </c>
      <c r="BP40" t="s">
        <v>74</v>
      </c>
      <c r="BQ40" t="s">
        <v>74</v>
      </c>
      <c r="BR40" t="s">
        <v>106</v>
      </c>
      <c r="BS40" t="s">
        <v>953</v>
      </c>
      <c r="BT40" t="str">
        <f>HYPERLINK("https%3A%2F%2Fwww.webofscience.com%2Fwos%2Fwoscc%2Ffull-record%2FWOS:000533525100034","View Full Record in Web of Science")</f>
        <v>View Full Record in Web of Science</v>
      </c>
    </row>
    <row r="41" spans="1:72" x14ac:dyDescent="0.15">
      <c r="A41" t="s">
        <v>72</v>
      </c>
      <c r="B41" t="s">
        <v>954</v>
      </c>
      <c r="C41" t="s">
        <v>74</v>
      </c>
      <c r="D41" t="s">
        <v>74</v>
      </c>
      <c r="E41" t="s">
        <v>74</v>
      </c>
      <c r="F41" t="s">
        <v>955</v>
      </c>
      <c r="G41" t="s">
        <v>74</v>
      </c>
      <c r="H41" t="s">
        <v>74</v>
      </c>
      <c r="I41" t="s">
        <v>956</v>
      </c>
      <c r="J41" t="s">
        <v>957</v>
      </c>
      <c r="K41" t="s">
        <v>74</v>
      </c>
      <c r="L41" t="s">
        <v>74</v>
      </c>
      <c r="M41" t="s">
        <v>78</v>
      </c>
      <c r="N41" t="s">
        <v>79</v>
      </c>
      <c r="O41" t="s">
        <v>74</v>
      </c>
      <c r="P41" t="s">
        <v>74</v>
      </c>
      <c r="Q41" t="s">
        <v>74</v>
      </c>
      <c r="R41" t="s">
        <v>74</v>
      </c>
      <c r="S41" t="s">
        <v>74</v>
      </c>
      <c r="T41" t="s">
        <v>958</v>
      </c>
      <c r="U41" t="s">
        <v>959</v>
      </c>
      <c r="V41" t="s">
        <v>960</v>
      </c>
      <c r="W41" t="s">
        <v>961</v>
      </c>
      <c r="X41" t="s">
        <v>962</v>
      </c>
      <c r="Y41" t="s">
        <v>963</v>
      </c>
      <c r="Z41" t="s">
        <v>964</v>
      </c>
      <c r="AA41" t="s">
        <v>965</v>
      </c>
      <c r="AB41" t="s">
        <v>966</v>
      </c>
      <c r="AC41" t="s">
        <v>967</v>
      </c>
      <c r="AD41" t="s">
        <v>967</v>
      </c>
      <c r="AE41" t="s">
        <v>968</v>
      </c>
      <c r="AF41" t="s">
        <v>74</v>
      </c>
      <c r="AG41">
        <v>63</v>
      </c>
      <c r="AH41">
        <v>17</v>
      </c>
      <c r="AI41">
        <v>17</v>
      </c>
      <c r="AJ41">
        <v>2</v>
      </c>
      <c r="AK41">
        <v>15</v>
      </c>
      <c r="AL41" t="s">
        <v>284</v>
      </c>
      <c r="AM41" t="s">
        <v>285</v>
      </c>
      <c r="AN41" t="s">
        <v>713</v>
      </c>
      <c r="AO41" t="s">
        <v>969</v>
      </c>
      <c r="AP41" t="s">
        <v>970</v>
      </c>
      <c r="AQ41" t="s">
        <v>74</v>
      </c>
      <c r="AR41" t="s">
        <v>957</v>
      </c>
      <c r="AS41" t="s">
        <v>971</v>
      </c>
      <c r="AT41" t="s">
        <v>99</v>
      </c>
      <c r="AU41">
        <v>2020</v>
      </c>
      <c r="AV41">
        <v>191</v>
      </c>
      <c r="AW41" t="s">
        <v>74</v>
      </c>
      <c r="AX41" t="s">
        <v>74</v>
      </c>
      <c r="AY41" t="s">
        <v>74</v>
      </c>
      <c r="AZ41" t="s">
        <v>74</v>
      </c>
      <c r="BA41" t="s">
        <v>74</v>
      </c>
      <c r="BB41" t="s">
        <v>74</v>
      </c>
      <c r="BC41" t="s">
        <v>74</v>
      </c>
      <c r="BD41">
        <v>104577</v>
      </c>
      <c r="BE41" t="s">
        <v>972</v>
      </c>
      <c r="BF41" t="str">
        <f>HYPERLINK("http://dx.doi.org/10.1016/j.catena.2020.104577","http://dx.doi.org/10.1016/j.catena.2020.104577")</f>
        <v>http://dx.doi.org/10.1016/j.catena.2020.104577</v>
      </c>
      <c r="BG41" t="s">
        <v>74</v>
      </c>
      <c r="BH41" t="s">
        <v>74</v>
      </c>
      <c r="BI41">
        <v>9</v>
      </c>
      <c r="BJ41" t="s">
        <v>973</v>
      </c>
      <c r="BK41" t="s">
        <v>102</v>
      </c>
      <c r="BL41" t="s">
        <v>974</v>
      </c>
      <c r="BM41" t="s">
        <v>975</v>
      </c>
      <c r="BN41" t="s">
        <v>74</v>
      </c>
      <c r="BO41" t="s">
        <v>976</v>
      </c>
      <c r="BP41" t="s">
        <v>74</v>
      </c>
      <c r="BQ41" t="s">
        <v>74</v>
      </c>
      <c r="BR41" t="s">
        <v>106</v>
      </c>
      <c r="BS41" t="s">
        <v>977</v>
      </c>
      <c r="BT41" t="str">
        <f>HYPERLINK("https%3A%2F%2Fwww.webofscience.com%2Fwos%2Fwoscc%2Ffull-record%2FWOS:000531077700014","View Full Record in Web of Science")</f>
        <v>View Full Record in Web of Science</v>
      </c>
    </row>
    <row r="42" spans="1:72" x14ac:dyDescent="0.15">
      <c r="A42" t="s">
        <v>72</v>
      </c>
      <c r="B42" t="s">
        <v>978</v>
      </c>
      <c r="C42" t="s">
        <v>74</v>
      </c>
      <c r="D42" t="s">
        <v>74</v>
      </c>
      <c r="E42" t="s">
        <v>74</v>
      </c>
      <c r="F42" t="s">
        <v>979</v>
      </c>
      <c r="G42" t="s">
        <v>74</v>
      </c>
      <c r="H42" t="s">
        <v>74</v>
      </c>
      <c r="I42" t="s">
        <v>980</v>
      </c>
      <c r="J42" t="s">
        <v>981</v>
      </c>
      <c r="K42" t="s">
        <v>74</v>
      </c>
      <c r="L42" t="s">
        <v>74</v>
      </c>
      <c r="M42" t="s">
        <v>78</v>
      </c>
      <c r="N42" t="s">
        <v>79</v>
      </c>
      <c r="O42" t="s">
        <v>74</v>
      </c>
      <c r="P42" t="s">
        <v>74</v>
      </c>
      <c r="Q42" t="s">
        <v>74</v>
      </c>
      <c r="R42" t="s">
        <v>74</v>
      </c>
      <c r="S42" t="s">
        <v>74</v>
      </c>
      <c r="T42" t="s">
        <v>982</v>
      </c>
      <c r="U42" t="s">
        <v>983</v>
      </c>
      <c r="V42" t="s">
        <v>984</v>
      </c>
      <c r="W42" t="s">
        <v>985</v>
      </c>
      <c r="X42" t="s">
        <v>986</v>
      </c>
      <c r="Y42" t="s">
        <v>987</v>
      </c>
      <c r="Z42" t="s">
        <v>988</v>
      </c>
      <c r="AA42" t="s">
        <v>989</v>
      </c>
      <c r="AB42" t="s">
        <v>990</v>
      </c>
      <c r="AC42" t="s">
        <v>991</v>
      </c>
      <c r="AD42" t="s">
        <v>992</v>
      </c>
      <c r="AE42" t="s">
        <v>993</v>
      </c>
      <c r="AF42" t="s">
        <v>74</v>
      </c>
      <c r="AG42">
        <v>110</v>
      </c>
      <c r="AH42">
        <v>19</v>
      </c>
      <c r="AI42">
        <v>21</v>
      </c>
      <c r="AJ42">
        <v>3</v>
      </c>
      <c r="AK42">
        <v>13</v>
      </c>
      <c r="AL42" t="s">
        <v>994</v>
      </c>
      <c r="AM42" t="s">
        <v>995</v>
      </c>
      <c r="AN42" t="s">
        <v>996</v>
      </c>
      <c r="AO42" t="s">
        <v>997</v>
      </c>
      <c r="AP42" t="s">
        <v>998</v>
      </c>
      <c r="AQ42" t="s">
        <v>74</v>
      </c>
      <c r="AR42" t="s">
        <v>999</v>
      </c>
      <c r="AS42" t="s">
        <v>1000</v>
      </c>
      <c r="AT42" t="s">
        <v>1001</v>
      </c>
      <c r="AU42">
        <v>2020</v>
      </c>
      <c r="AV42">
        <v>26</v>
      </c>
      <c r="AW42">
        <v>10</v>
      </c>
      <c r="AX42" t="s">
        <v>74</v>
      </c>
      <c r="AY42" t="s">
        <v>74</v>
      </c>
      <c r="AZ42" t="s">
        <v>74</v>
      </c>
      <c r="BA42" t="s">
        <v>74</v>
      </c>
      <c r="BB42">
        <v>1315</v>
      </c>
      <c r="BC42">
        <v>1329</v>
      </c>
      <c r="BD42" t="s">
        <v>74</v>
      </c>
      <c r="BE42" t="s">
        <v>1002</v>
      </c>
      <c r="BF42" t="str">
        <f>HYPERLINK("http://dx.doi.org/10.1111/ddi.13130","http://dx.doi.org/10.1111/ddi.13130")</f>
        <v>http://dx.doi.org/10.1111/ddi.13130</v>
      </c>
      <c r="BG42" t="s">
        <v>74</v>
      </c>
      <c r="BH42" t="s">
        <v>1003</v>
      </c>
      <c r="BI42">
        <v>15</v>
      </c>
      <c r="BJ42" t="s">
        <v>1004</v>
      </c>
      <c r="BK42" t="s">
        <v>102</v>
      </c>
      <c r="BL42" t="s">
        <v>1005</v>
      </c>
      <c r="BM42" t="s">
        <v>1006</v>
      </c>
      <c r="BN42" t="s">
        <v>74</v>
      </c>
      <c r="BO42" t="s">
        <v>491</v>
      </c>
      <c r="BP42" t="s">
        <v>74</v>
      </c>
      <c r="BQ42" t="s">
        <v>74</v>
      </c>
      <c r="BR42" t="s">
        <v>106</v>
      </c>
      <c r="BS42" t="s">
        <v>1007</v>
      </c>
      <c r="BT42" t="str">
        <f>HYPERLINK("https%3A%2F%2Fwww.webofscience.com%2Fwos%2Fwoscc%2Ffull-record%2FWOS:000563865100001","View Full Record in Web of Science")</f>
        <v>View Full Record in Web of Science</v>
      </c>
    </row>
    <row r="43" spans="1:72" x14ac:dyDescent="0.15">
      <c r="A43" t="s">
        <v>72</v>
      </c>
      <c r="B43" t="s">
        <v>1008</v>
      </c>
      <c r="C43" t="s">
        <v>74</v>
      </c>
      <c r="D43" t="s">
        <v>74</v>
      </c>
      <c r="E43" t="s">
        <v>74</v>
      </c>
      <c r="F43" t="s">
        <v>1009</v>
      </c>
      <c r="G43" t="s">
        <v>74</v>
      </c>
      <c r="H43" t="s">
        <v>74</v>
      </c>
      <c r="I43" t="s">
        <v>1010</v>
      </c>
      <c r="J43" t="s">
        <v>1011</v>
      </c>
      <c r="K43" t="s">
        <v>74</v>
      </c>
      <c r="L43" t="s">
        <v>74</v>
      </c>
      <c r="M43" t="s">
        <v>78</v>
      </c>
      <c r="N43" t="s">
        <v>245</v>
      </c>
      <c r="O43" t="s">
        <v>74</v>
      </c>
      <c r="P43" t="s">
        <v>74</v>
      </c>
      <c r="Q43" t="s">
        <v>74</v>
      </c>
      <c r="R43" t="s">
        <v>74</v>
      </c>
      <c r="S43" t="s">
        <v>74</v>
      </c>
      <c r="T43" t="s">
        <v>1012</v>
      </c>
      <c r="U43" t="s">
        <v>1013</v>
      </c>
      <c r="V43" t="s">
        <v>1014</v>
      </c>
      <c r="W43" t="s">
        <v>1015</v>
      </c>
      <c r="X43" t="s">
        <v>1016</v>
      </c>
      <c r="Y43" t="s">
        <v>1017</v>
      </c>
      <c r="Z43" t="s">
        <v>1018</v>
      </c>
      <c r="AA43" t="s">
        <v>1019</v>
      </c>
      <c r="AB43" t="s">
        <v>1020</v>
      </c>
      <c r="AC43" t="s">
        <v>1021</v>
      </c>
      <c r="AD43" t="s">
        <v>1022</v>
      </c>
      <c r="AE43" t="s">
        <v>1023</v>
      </c>
      <c r="AF43" t="s">
        <v>74</v>
      </c>
      <c r="AG43">
        <v>129</v>
      </c>
      <c r="AH43">
        <v>24</v>
      </c>
      <c r="AI43">
        <v>25</v>
      </c>
      <c r="AJ43">
        <v>6</v>
      </c>
      <c r="AK43">
        <v>49</v>
      </c>
      <c r="AL43" t="s">
        <v>1024</v>
      </c>
      <c r="AM43" t="s">
        <v>1025</v>
      </c>
      <c r="AN43" t="s">
        <v>1026</v>
      </c>
      <c r="AO43" t="s">
        <v>1027</v>
      </c>
      <c r="AP43" t="s">
        <v>74</v>
      </c>
      <c r="AQ43" t="s">
        <v>74</v>
      </c>
      <c r="AR43" t="s">
        <v>1028</v>
      </c>
      <c r="AS43" t="s">
        <v>1029</v>
      </c>
      <c r="AT43" t="s">
        <v>1030</v>
      </c>
      <c r="AU43">
        <v>2020</v>
      </c>
      <c r="AV43">
        <v>11</v>
      </c>
      <c r="AW43" t="s">
        <v>74</v>
      </c>
      <c r="AX43" t="s">
        <v>74</v>
      </c>
      <c r="AY43" t="s">
        <v>74</v>
      </c>
      <c r="AZ43" t="s">
        <v>74</v>
      </c>
      <c r="BA43" t="s">
        <v>74</v>
      </c>
      <c r="BB43" t="s">
        <v>74</v>
      </c>
      <c r="BC43" t="s">
        <v>74</v>
      </c>
      <c r="BD43">
        <v>1086</v>
      </c>
      <c r="BE43" t="s">
        <v>1031</v>
      </c>
      <c r="BF43" t="str">
        <f>HYPERLINK("http://dx.doi.org/10.3389/fphar.2020.01086","http://dx.doi.org/10.3389/fphar.2020.01086")</f>
        <v>http://dx.doi.org/10.3389/fphar.2020.01086</v>
      </c>
      <c r="BG43" t="s">
        <v>74</v>
      </c>
      <c r="BH43" t="s">
        <v>74</v>
      </c>
      <c r="BI43">
        <v>11</v>
      </c>
      <c r="BJ43" t="s">
        <v>1032</v>
      </c>
      <c r="BK43" t="s">
        <v>102</v>
      </c>
      <c r="BL43" t="s">
        <v>1032</v>
      </c>
      <c r="BM43" t="s">
        <v>1033</v>
      </c>
      <c r="BN43">
        <v>32848730</v>
      </c>
      <c r="BO43" t="s">
        <v>1034</v>
      </c>
      <c r="BP43" t="s">
        <v>74</v>
      </c>
      <c r="BQ43" t="s">
        <v>74</v>
      </c>
      <c r="BR43" t="s">
        <v>106</v>
      </c>
      <c r="BS43" t="s">
        <v>1035</v>
      </c>
      <c r="BT43" t="str">
        <f>HYPERLINK("https%3A%2F%2Fwww.webofscience.com%2Fwos%2Fwoscc%2Ffull-record%2FWOS:000561955400001","View Full Record in Web of Science")</f>
        <v>View Full Record in Web of Science</v>
      </c>
    </row>
    <row r="44" spans="1:72" x14ac:dyDescent="0.15">
      <c r="A44" t="s">
        <v>72</v>
      </c>
      <c r="B44" t="s">
        <v>1036</v>
      </c>
      <c r="C44" t="s">
        <v>74</v>
      </c>
      <c r="D44" t="s">
        <v>74</v>
      </c>
      <c r="E44" t="s">
        <v>74</v>
      </c>
      <c r="F44" t="s">
        <v>1037</v>
      </c>
      <c r="G44" t="s">
        <v>74</v>
      </c>
      <c r="H44" t="s">
        <v>74</v>
      </c>
      <c r="I44" t="s">
        <v>1038</v>
      </c>
      <c r="J44" t="s">
        <v>1039</v>
      </c>
      <c r="K44" t="s">
        <v>74</v>
      </c>
      <c r="L44" t="s">
        <v>74</v>
      </c>
      <c r="M44" t="s">
        <v>78</v>
      </c>
      <c r="N44" t="s">
        <v>1040</v>
      </c>
      <c r="O44" t="s">
        <v>74</v>
      </c>
      <c r="P44" t="s">
        <v>74</v>
      </c>
      <c r="Q44" t="s">
        <v>74</v>
      </c>
      <c r="R44" t="s">
        <v>74</v>
      </c>
      <c r="S44" t="s">
        <v>74</v>
      </c>
      <c r="T44" t="s">
        <v>74</v>
      </c>
      <c r="U44" t="s">
        <v>1041</v>
      </c>
      <c r="V44" t="s">
        <v>1042</v>
      </c>
      <c r="W44" t="s">
        <v>1043</v>
      </c>
      <c r="X44" t="s">
        <v>1044</v>
      </c>
      <c r="Y44" t="s">
        <v>1045</v>
      </c>
      <c r="Z44" t="s">
        <v>1046</v>
      </c>
      <c r="AA44" t="s">
        <v>1047</v>
      </c>
      <c r="AB44" t="s">
        <v>1048</v>
      </c>
      <c r="AC44" t="s">
        <v>74</v>
      </c>
      <c r="AD44" t="s">
        <v>74</v>
      </c>
      <c r="AE44" t="s">
        <v>74</v>
      </c>
      <c r="AF44" t="s">
        <v>74</v>
      </c>
      <c r="AG44">
        <v>31</v>
      </c>
      <c r="AH44">
        <v>11</v>
      </c>
      <c r="AI44">
        <v>11</v>
      </c>
      <c r="AJ44">
        <v>2</v>
      </c>
      <c r="AK44">
        <v>10</v>
      </c>
      <c r="AL44" t="s">
        <v>1049</v>
      </c>
      <c r="AM44" t="s">
        <v>1050</v>
      </c>
      <c r="AN44" t="s">
        <v>1051</v>
      </c>
      <c r="AO44" t="s">
        <v>1052</v>
      </c>
      <c r="AP44" t="s">
        <v>1053</v>
      </c>
      <c r="AQ44" t="s">
        <v>74</v>
      </c>
      <c r="AR44" t="s">
        <v>1054</v>
      </c>
      <c r="AS44" t="s">
        <v>1055</v>
      </c>
      <c r="AT44" t="s">
        <v>1030</v>
      </c>
      <c r="AU44">
        <v>2020</v>
      </c>
      <c r="AV44">
        <v>12</v>
      </c>
      <c r="AW44">
        <v>3</v>
      </c>
      <c r="AX44" t="s">
        <v>74</v>
      </c>
      <c r="AY44" t="s">
        <v>74</v>
      </c>
      <c r="AZ44" t="s">
        <v>74</v>
      </c>
      <c r="BA44" t="s">
        <v>74</v>
      </c>
      <c r="BB44">
        <v>1697</v>
      </c>
      <c r="BC44">
        <v>1709</v>
      </c>
      <c r="BD44" t="s">
        <v>74</v>
      </c>
      <c r="BE44" t="s">
        <v>1056</v>
      </c>
      <c r="BF44" t="str">
        <f>HYPERLINK("http://dx.doi.org/10.5194/essd-12-1697-2020","http://dx.doi.org/10.5194/essd-12-1697-2020")</f>
        <v>http://dx.doi.org/10.5194/essd-12-1697-2020</v>
      </c>
      <c r="BG44" t="s">
        <v>74</v>
      </c>
      <c r="BH44" t="s">
        <v>74</v>
      </c>
      <c r="BI44">
        <v>13</v>
      </c>
      <c r="BJ44" t="s">
        <v>1057</v>
      </c>
      <c r="BK44" t="s">
        <v>102</v>
      </c>
      <c r="BL44" t="s">
        <v>1058</v>
      </c>
      <c r="BM44" t="s">
        <v>1059</v>
      </c>
      <c r="BN44" t="s">
        <v>74</v>
      </c>
      <c r="BO44" t="s">
        <v>1060</v>
      </c>
      <c r="BP44" t="s">
        <v>74</v>
      </c>
      <c r="BQ44" t="s">
        <v>74</v>
      </c>
      <c r="BR44" t="s">
        <v>106</v>
      </c>
      <c r="BS44" t="s">
        <v>1061</v>
      </c>
      <c r="BT44" t="str">
        <f>HYPERLINK("https%3A%2F%2Fwww.webofscience.com%2Fwos%2Fwoscc%2Ffull-record%2FWOS:000558640900001","View Full Record in Web of Science")</f>
        <v>View Full Record in Web of Science</v>
      </c>
    </row>
    <row r="45" spans="1:72" x14ac:dyDescent="0.15">
      <c r="A45" t="s">
        <v>72</v>
      </c>
      <c r="B45" t="s">
        <v>1062</v>
      </c>
      <c r="C45" t="s">
        <v>74</v>
      </c>
      <c r="D45" t="s">
        <v>74</v>
      </c>
      <c r="E45" t="s">
        <v>74</v>
      </c>
      <c r="F45" t="s">
        <v>1063</v>
      </c>
      <c r="G45" t="s">
        <v>74</v>
      </c>
      <c r="H45" t="s">
        <v>74</v>
      </c>
      <c r="I45" t="s">
        <v>1064</v>
      </c>
      <c r="J45" t="s">
        <v>1065</v>
      </c>
      <c r="K45" t="s">
        <v>74</v>
      </c>
      <c r="L45" t="s">
        <v>74</v>
      </c>
      <c r="M45" t="s">
        <v>78</v>
      </c>
      <c r="N45" t="s">
        <v>79</v>
      </c>
      <c r="O45" t="s">
        <v>74</v>
      </c>
      <c r="P45" t="s">
        <v>74</v>
      </c>
      <c r="Q45" t="s">
        <v>74</v>
      </c>
      <c r="R45" t="s">
        <v>74</v>
      </c>
      <c r="S45" t="s">
        <v>74</v>
      </c>
      <c r="T45" t="s">
        <v>1066</v>
      </c>
      <c r="U45" t="s">
        <v>1067</v>
      </c>
      <c r="V45" t="s">
        <v>1068</v>
      </c>
      <c r="W45" t="s">
        <v>1069</v>
      </c>
      <c r="X45" t="s">
        <v>1070</v>
      </c>
      <c r="Y45" t="s">
        <v>1071</v>
      </c>
      <c r="Z45" t="s">
        <v>1072</v>
      </c>
      <c r="AA45" t="s">
        <v>1073</v>
      </c>
      <c r="AB45" t="s">
        <v>1074</v>
      </c>
      <c r="AC45" t="s">
        <v>1075</v>
      </c>
      <c r="AD45" t="s">
        <v>1076</v>
      </c>
      <c r="AE45" t="s">
        <v>1077</v>
      </c>
      <c r="AF45" t="s">
        <v>74</v>
      </c>
      <c r="AG45">
        <v>65</v>
      </c>
      <c r="AH45">
        <v>18</v>
      </c>
      <c r="AI45">
        <v>18</v>
      </c>
      <c r="AJ45">
        <v>4</v>
      </c>
      <c r="AK45">
        <v>27</v>
      </c>
      <c r="AL45" t="s">
        <v>1024</v>
      </c>
      <c r="AM45" t="s">
        <v>1025</v>
      </c>
      <c r="AN45" t="s">
        <v>1026</v>
      </c>
      <c r="AO45" t="s">
        <v>74</v>
      </c>
      <c r="AP45" t="s">
        <v>1078</v>
      </c>
      <c r="AQ45" t="s">
        <v>74</v>
      </c>
      <c r="AR45" t="s">
        <v>1079</v>
      </c>
      <c r="AS45" t="s">
        <v>1080</v>
      </c>
      <c r="AT45" t="s">
        <v>1030</v>
      </c>
      <c r="AU45">
        <v>2020</v>
      </c>
      <c r="AV45">
        <v>7</v>
      </c>
      <c r="AW45" t="s">
        <v>74</v>
      </c>
      <c r="AX45" t="s">
        <v>74</v>
      </c>
      <c r="AY45" t="s">
        <v>74</v>
      </c>
      <c r="AZ45" t="s">
        <v>74</v>
      </c>
      <c r="BA45" t="s">
        <v>74</v>
      </c>
      <c r="BB45" t="s">
        <v>74</v>
      </c>
      <c r="BC45" t="s">
        <v>74</v>
      </c>
      <c r="BD45">
        <v>597</v>
      </c>
      <c r="BE45" t="s">
        <v>1081</v>
      </c>
      <c r="BF45" t="str">
        <f>HYPERLINK("http://dx.doi.org/10.3389/fmars.2020.00597","http://dx.doi.org/10.3389/fmars.2020.00597")</f>
        <v>http://dx.doi.org/10.3389/fmars.2020.00597</v>
      </c>
      <c r="BG45" t="s">
        <v>74</v>
      </c>
      <c r="BH45" t="s">
        <v>74</v>
      </c>
      <c r="BI45">
        <v>10</v>
      </c>
      <c r="BJ45" t="s">
        <v>237</v>
      </c>
      <c r="BK45" t="s">
        <v>102</v>
      </c>
      <c r="BL45" t="s">
        <v>238</v>
      </c>
      <c r="BM45" t="s">
        <v>1082</v>
      </c>
      <c r="BN45" t="s">
        <v>74</v>
      </c>
      <c r="BO45" t="s">
        <v>161</v>
      </c>
      <c r="BP45" t="s">
        <v>74</v>
      </c>
      <c r="BQ45" t="s">
        <v>74</v>
      </c>
      <c r="BR45" t="s">
        <v>106</v>
      </c>
      <c r="BS45" t="s">
        <v>1083</v>
      </c>
      <c r="BT45" t="str">
        <f>HYPERLINK("https%3A%2F%2Fwww.webofscience.com%2Fwos%2Fwoscc%2Ffull-record%2FWOS:000556191000001","View Full Record in Web of Science")</f>
        <v>View Full Record in Web of Science</v>
      </c>
    </row>
    <row r="46" spans="1:72" x14ac:dyDescent="0.15">
      <c r="A46" t="s">
        <v>72</v>
      </c>
      <c r="B46" t="s">
        <v>1084</v>
      </c>
      <c r="C46" t="s">
        <v>74</v>
      </c>
      <c r="D46" t="s">
        <v>74</v>
      </c>
      <c r="E46" t="s">
        <v>74</v>
      </c>
      <c r="F46" t="s">
        <v>1085</v>
      </c>
      <c r="G46" t="s">
        <v>74</v>
      </c>
      <c r="H46" t="s">
        <v>74</v>
      </c>
      <c r="I46" t="s">
        <v>1086</v>
      </c>
      <c r="J46" t="s">
        <v>1065</v>
      </c>
      <c r="K46" t="s">
        <v>74</v>
      </c>
      <c r="L46" t="s">
        <v>74</v>
      </c>
      <c r="M46" t="s">
        <v>78</v>
      </c>
      <c r="N46" t="s">
        <v>79</v>
      </c>
      <c r="O46" t="s">
        <v>74</v>
      </c>
      <c r="P46" t="s">
        <v>74</v>
      </c>
      <c r="Q46" t="s">
        <v>74</v>
      </c>
      <c r="R46" t="s">
        <v>74</v>
      </c>
      <c r="S46" t="s">
        <v>74</v>
      </c>
      <c r="T46" t="s">
        <v>1087</v>
      </c>
      <c r="U46" t="s">
        <v>1088</v>
      </c>
      <c r="V46" t="s">
        <v>1089</v>
      </c>
      <c r="W46" t="s">
        <v>1090</v>
      </c>
      <c r="X46" t="s">
        <v>1091</v>
      </c>
      <c r="Y46" t="s">
        <v>1092</v>
      </c>
      <c r="Z46" t="s">
        <v>1093</v>
      </c>
      <c r="AA46" t="s">
        <v>1094</v>
      </c>
      <c r="AB46" t="s">
        <v>1095</v>
      </c>
      <c r="AC46" t="s">
        <v>1096</v>
      </c>
      <c r="AD46" t="s">
        <v>1097</v>
      </c>
      <c r="AE46" t="s">
        <v>1098</v>
      </c>
      <c r="AF46" t="s">
        <v>74</v>
      </c>
      <c r="AG46">
        <v>338</v>
      </c>
      <c r="AH46">
        <v>104</v>
      </c>
      <c r="AI46">
        <v>110</v>
      </c>
      <c r="AJ46">
        <v>17</v>
      </c>
      <c r="AK46">
        <v>169</v>
      </c>
      <c r="AL46" t="s">
        <v>1024</v>
      </c>
      <c r="AM46" t="s">
        <v>1025</v>
      </c>
      <c r="AN46" t="s">
        <v>1026</v>
      </c>
      <c r="AO46" t="s">
        <v>74</v>
      </c>
      <c r="AP46" t="s">
        <v>1078</v>
      </c>
      <c r="AQ46" t="s">
        <v>74</v>
      </c>
      <c r="AR46" t="s">
        <v>1079</v>
      </c>
      <c r="AS46" t="s">
        <v>1080</v>
      </c>
      <c r="AT46" t="s">
        <v>1030</v>
      </c>
      <c r="AU46">
        <v>2020</v>
      </c>
      <c r="AV46">
        <v>7</v>
      </c>
      <c r="AW46" t="s">
        <v>74</v>
      </c>
      <c r="AX46" t="s">
        <v>74</v>
      </c>
      <c r="AY46" t="s">
        <v>74</v>
      </c>
      <c r="AZ46" t="s">
        <v>74</v>
      </c>
      <c r="BA46" t="s">
        <v>74</v>
      </c>
      <c r="BB46" t="s">
        <v>74</v>
      </c>
      <c r="BC46" t="s">
        <v>74</v>
      </c>
      <c r="BD46">
        <v>581</v>
      </c>
      <c r="BE46" t="s">
        <v>1099</v>
      </c>
      <c r="BF46" t="str">
        <f>HYPERLINK("http://dx.doi.org/10.3389/fmars.2020.00581","http://dx.doi.org/10.3389/fmars.2020.00581")</f>
        <v>http://dx.doi.org/10.3389/fmars.2020.00581</v>
      </c>
      <c r="BG46" t="s">
        <v>74</v>
      </c>
      <c r="BH46" t="s">
        <v>74</v>
      </c>
      <c r="BI46">
        <v>31</v>
      </c>
      <c r="BJ46" t="s">
        <v>237</v>
      </c>
      <c r="BK46" t="s">
        <v>102</v>
      </c>
      <c r="BL46" t="s">
        <v>238</v>
      </c>
      <c r="BM46" t="s">
        <v>1100</v>
      </c>
      <c r="BN46" t="s">
        <v>74</v>
      </c>
      <c r="BO46" t="s">
        <v>1101</v>
      </c>
      <c r="BP46" t="s">
        <v>162</v>
      </c>
      <c r="BQ46" t="s">
        <v>163</v>
      </c>
      <c r="BR46" t="s">
        <v>106</v>
      </c>
      <c r="BS46" t="s">
        <v>1102</v>
      </c>
      <c r="BT46" t="str">
        <f>HYPERLINK("https%3A%2F%2Fwww.webofscience.com%2Fwos%2Fwoscc%2Ffull-record%2FWOS:000556194400001","View Full Record in Web of Science")</f>
        <v>View Full Record in Web of Science</v>
      </c>
    </row>
    <row r="47" spans="1:72" x14ac:dyDescent="0.15">
      <c r="A47" t="s">
        <v>72</v>
      </c>
      <c r="B47" t="s">
        <v>1103</v>
      </c>
      <c r="C47" t="s">
        <v>74</v>
      </c>
      <c r="D47" t="s">
        <v>74</v>
      </c>
      <c r="E47" t="s">
        <v>74</v>
      </c>
      <c r="F47" t="s">
        <v>1104</v>
      </c>
      <c r="G47" t="s">
        <v>74</v>
      </c>
      <c r="H47" t="s">
        <v>74</v>
      </c>
      <c r="I47" t="s">
        <v>1105</v>
      </c>
      <c r="J47" t="s">
        <v>1106</v>
      </c>
      <c r="K47" t="s">
        <v>74</v>
      </c>
      <c r="L47" t="s">
        <v>74</v>
      </c>
      <c r="M47" t="s">
        <v>78</v>
      </c>
      <c r="N47" t="s">
        <v>79</v>
      </c>
      <c r="O47" t="s">
        <v>74</v>
      </c>
      <c r="P47" t="s">
        <v>74</v>
      </c>
      <c r="Q47" t="s">
        <v>74</v>
      </c>
      <c r="R47" t="s">
        <v>74</v>
      </c>
      <c r="S47" t="s">
        <v>74</v>
      </c>
      <c r="T47" t="s">
        <v>74</v>
      </c>
      <c r="U47" t="s">
        <v>1107</v>
      </c>
      <c r="V47" t="s">
        <v>1108</v>
      </c>
      <c r="W47" t="s">
        <v>1109</v>
      </c>
      <c r="X47" t="s">
        <v>1110</v>
      </c>
      <c r="Y47" t="s">
        <v>1111</v>
      </c>
      <c r="Z47" t="s">
        <v>1112</v>
      </c>
      <c r="AA47" t="s">
        <v>1113</v>
      </c>
      <c r="AB47" t="s">
        <v>1114</v>
      </c>
      <c r="AC47" t="s">
        <v>1115</v>
      </c>
      <c r="AD47" t="s">
        <v>1116</v>
      </c>
      <c r="AE47" t="s">
        <v>1117</v>
      </c>
      <c r="AF47" t="s">
        <v>74</v>
      </c>
      <c r="AG47">
        <v>67</v>
      </c>
      <c r="AH47">
        <v>21</v>
      </c>
      <c r="AI47">
        <v>23</v>
      </c>
      <c r="AJ47">
        <v>3</v>
      </c>
      <c r="AK47">
        <v>7</v>
      </c>
      <c r="AL47" t="s">
        <v>1118</v>
      </c>
      <c r="AM47" t="s">
        <v>1119</v>
      </c>
      <c r="AN47" t="s">
        <v>1120</v>
      </c>
      <c r="AO47" t="s">
        <v>1121</v>
      </c>
      <c r="AP47" t="s">
        <v>74</v>
      </c>
      <c r="AQ47" t="s">
        <v>74</v>
      </c>
      <c r="AR47" t="s">
        <v>1122</v>
      </c>
      <c r="AS47" t="s">
        <v>1123</v>
      </c>
      <c r="AT47" t="s">
        <v>1030</v>
      </c>
      <c r="AU47">
        <v>2020</v>
      </c>
      <c r="AV47">
        <v>10</v>
      </c>
      <c r="AW47">
        <v>1</v>
      </c>
      <c r="AX47" t="s">
        <v>74</v>
      </c>
      <c r="AY47" t="s">
        <v>74</v>
      </c>
      <c r="AZ47" t="s">
        <v>74</v>
      </c>
      <c r="BA47" t="s">
        <v>74</v>
      </c>
      <c r="BB47" t="s">
        <v>74</v>
      </c>
      <c r="BC47" t="s">
        <v>74</v>
      </c>
      <c r="BD47">
        <v>12985</v>
      </c>
      <c r="BE47" t="s">
        <v>1124</v>
      </c>
      <c r="BF47" t="str">
        <f>HYPERLINK("http://dx.doi.org/10.1038/s41598-020-69887-y","http://dx.doi.org/10.1038/s41598-020-69887-y")</f>
        <v>http://dx.doi.org/10.1038/s41598-020-69887-y</v>
      </c>
      <c r="BG47" t="s">
        <v>74</v>
      </c>
      <c r="BH47" t="s">
        <v>74</v>
      </c>
      <c r="BI47">
        <v>12</v>
      </c>
      <c r="BJ47" t="s">
        <v>1125</v>
      </c>
      <c r="BK47" t="s">
        <v>102</v>
      </c>
      <c r="BL47" t="s">
        <v>1126</v>
      </c>
      <c r="BM47" t="s">
        <v>1127</v>
      </c>
      <c r="BN47">
        <v>32737390</v>
      </c>
      <c r="BO47" t="s">
        <v>1128</v>
      </c>
      <c r="BP47" t="s">
        <v>74</v>
      </c>
      <c r="BQ47" t="s">
        <v>74</v>
      </c>
      <c r="BR47" t="s">
        <v>106</v>
      </c>
      <c r="BS47" t="s">
        <v>1129</v>
      </c>
      <c r="BT47" t="str">
        <f>HYPERLINK("https%3A%2F%2Fwww.webofscience.com%2Fwos%2Fwoscc%2Ffull-record%2FWOS:000556413400033","View Full Record in Web of Science")</f>
        <v>View Full Record in Web of Science</v>
      </c>
    </row>
    <row r="48" spans="1:72" x14ac:dyDescent="0.15">
      <c r="A48" t="s">
        <v>72</v>
      </c>
      <c r="B48" t="s">
        <v>1130</v>
      </c>
      <c r="C48" t="s">
        <v>74</v>
      </c>
      <c r="D48" t="s">
        <v>74</v>
      </c>
      <c r="E48" t="s">
        <v>74</v>
      </c>
      <c r="F48" t="s">
        <v>1131</v>
      </c>
      <c r="G48" t="s">
        <v>74</v>
      </c>
      <c r="H48" t="s">
        <v>74</v>
      </c>
      <c r="I48" t="s">
        <v>1132</v>
      </c>
      <c r="J48" t="s">
        <v>1133</v>
      </c>
      <c r="K48" t="s">
        <v>74</v>
      </c>
      <c r="L48" t="s">
        <v>74</v>
      </c>
      <c r="M48" t="s">
        <v>78</v>
      </c>
      <c r="N48" t="s">
        <v>79</v>
      </c>
      <c r="O48" t="s">
        <v>74</v>
      </c>
      <c r="P48" t="s">
        <v>74</v>
      </c>
      <c r="Q48" t="s">
        <v>74</v>
      </c>
      <c r="R48" t="s">
        <v>74</v>
      </c>
      <c r="S48" t="s">
        <v>74</v>
      </c>
      <c r="T48" t="s">
        <v>74</v>
      </c>
      <c r="U48" t="s">
        <v>1134</v>
      </c>
      <c r="V48" t="s">
        <v>1135</v>
      </c>
      <c r="W48" t="s">
        <v>1136</v>
      </c>
      <c r="X48" t="s">
        <v>1137</v>
      </c>
      <c r="Y48" t="s">
        <v>1138</v>
      </c>
      <c r="Z48" t="s">
        <v>74</v>
      </c>
      <c r="AA48" t="s">
        <v>1139</v>
      </c>
      <c r="AB48" t="s">
        <v>1140</v>
      </c>
      <c r="AC48" t="s">
        <v>1141</v>
      </c>
      <c r="AD48" t="s">
        <v>1142</v>
      </c>
      <c r="AE48" t="s">
        <v>1143</v>
      </c>
      <c r="AF48" t="s">
        <v>74</v>
      </c>
      <c r="AG48">
        <v>228</v>
      </c>
      <c r="AH48">
        <v>65</v>
      </c>
      <c r="AI48">
        <v>66</v>
      </c>
      <c r="AJ48">
        <v>0</v>
      </c>
      <c r="AK48">
        <v>4</v>
      </c>
      <c r="AL48" t="s">
        <v>1144</v>
      </c>
      <c r="AM48" t="s">
        <v>1145</v>
      </c>
      <c r="AN48" t="s">
        <v>1146</v>
      </c>
      <c r="AO48" t="s">
        <v>1147</v>
      </c>
      <c r="AP48" t="s">
        <v>1148</v>
      </c>
      <c r="AQ48" t="s">
        <v>74</v>
      </c>
      <c r="AR48" t="s">
        <v>1149</v>
      </c>
      <c r="AS48" t="s">
        <v>1150</v>
      </c>
      <c r="AT48" t="s">
        <v>1030</v>
      </c>
      <c r="AU48">
        <v>2020</v>
      </c>
      <c r="AV48">
        <v>102</v>
      </c>
      <c r="AW48">
        <v>1</v>
      </c>
      <c r="AX48" t="s">
        <v>74</v>
      </c>
      <c r="AY48" t="s">
        <v>74</v>
      </c>
      <c r="AZ48" t="s">
        <v>74</v>
      </c>
      <c r="BA48" t="s">
        <v>74</v>
      </c>
      <c r="BB48" t="s">
        <v>74</v>
      </c>
      <c r="BC48" t="s">
        <v>74</v>
      </c>
      <c r="BD48">
        <v>15031</v>
      </c>
      <c r="BE48" t="s">
        <v>1151</v>
      </c>
      <c r="BF48" t="str">
        <f>HYPERLINK("http://dx.doi.org/10.1103/PhysRevD.102.015031","http://dx.doi.org/10.1103/PhysRevD.102.015031")</f>
        <v>http://dx.doi.org/10.1103/PhysRevD.102.015031</v>
      </c>
      <c r="BG48" t="s">
        <v>74</v>
      </c>
      <c r="BH48" t="s">
        <v>74</v>
      </c>
      <c r="BI48">
        <v>33</v>
      </c>
      <c r="BJ48" t="s">
        <v>1152</v>
      </c>
      <c r="BK48" t="s">
        <v>102</v>
      </c>
      <c r="BL48" t="s">
        <v>1153</v>
      </c>
      <c r="BM48" t="s">
        <v>1154</v>
      </c>
      <c r="BN48" t="s">
        <v>74</v>
      </c>
      <c r="BO48" t="s">
        <v>319</v>
      </c>
      <c r="BP48" t="s">
        <v>74</v>
      </c>
      <c r="BQ48" t="s">
        <v>74</v>
      </c>
      <c r="BR48" t="s">
        <v>106</v>
      </c>
      <c r="BS48" t="s">
        <v>1155</v>
      </c>
      <c r="BT48" t="str">
        <f>HYPERLINK("https%3A%2F%2Fwww.webofscience.com%2Fwos%2Fwoscc%2Ffull-record%2FWOS:000554411300009","View Full Record in Web of Science")</f>
        <v>View Full Record in Web of Science</v>
      </c>
    </row>
    <row r="49" spans="1:72" x14ac:dyDescent="0.15">
      <c r="A49" t="s">
        <v>72</v>
      </c>
      <c r="B49" t="s">
        <v>1156</v>
      </c>
      <c r="C49" t="s">
        <v>74</v>
      </c>
      <c r="D49" t="s">
        <v>74</v>
      </c>
      <c r="E49" t="s">
        <v>74</v>
      </c>
      <c r="F49" t="s">
        <v>1157</v>
      </c>
      <c r="G49" t="s">
        <v>74</v>
      </c>
      <c r="H49" t="s">
        <v>74</v>
      </c>
      <c r="I49" t="s">
        <v>1158</v>
      </c>
      <c r="J49" t="s">
        <v>1159</v>
      </c>
      <c r="K49" t="s">
        <v>74</v>
      </c>
      <c r="L49" t="s">
        <v>74</v>
      </c>
      <c r="M49" t="s">
        <v>78</v>
      </c>
      <c r="N49" t="s">
        <v>79</v>
      </c>
      <c r="O49" t="s">
        <v>74</v>
      </c>
      <c r="P49" t="s">
        <v>74</v>
      </c>
      <c r="Q49" t="s">
        <v>74</v>
      </c>
      <c r="R49" t="s">
        <v>74</v>
      </c>
      <c r="S49" t="s">
        <v>74</v>
      </c>
      <c r="T49" t="s">
        <v>1160</v>
      </c>
      <c r="U49" t="s">
        <v>1161</v>
      </c>
      <c r="V49" t="s">
        <v>1162</v>
      </c>
      <c r="W49" t="s">
        <v>1163</v>
      </c>
      <c r="X49" t="s">
        <v>1164</v>
      </c>
      <c r="Y49" t="s">
        <v>1165</v>
      </c>
      <c r="Z49" t="s">
        <v>1166</v>
      </c>
      <c r="AA49" t="s">
        <v>1167</v>
      </c>
      <c r="AB49" t="s">
        <v>1168</v>
      </c>
      <c r="AC49" t="s">
        <v>1169</v>
      </c>
      <c r="AD49" t="s">
        <v>1170</v>
      </c>
      <c r="AE49" t="s">
        <v>1171</v>
      </c>
      <c r="AF49" t="s">
        <v>74</v>
      </c>
      <c r="AG49">
        <v>227</v>
      </c>
      <c r="AH49">
        <v>56</v>
      </c>
      <c r="AI49">
        <v>58</v>
      </c>
      <c r="AJ49">
        <v>16</v>
      </c>
      <c r="AK49">
        <v>77</v>
      </c>
      <c r="AL49" t="s">
        <v>994</v>
      </c>
      <c r="AM49" t="s">
        <v>995</v>
      </c>
      <c r="AN49" t="s">
        <v>996</v>
      </c>
      <c r="AO49" t="s">
        <v>1172</v>
      </c>
      <c r="AP49" t="s">
        <v>1173</v>
      </c>
      <c r="AQ49" t="s">
        <v>74</v>
      </c>
      <c r="AR49" t="s">
        <v>1174</v>
      </c>
      <c r="AS49" t="s">
        <v>1175</v>
      </c>
      <c r="AT49" t="s">
        <v>1176</v>
      </c>
      <c r="AU49">
        <v>2020</v>
      </c>
      <c r="AV49">
        <v>95</v>
      </c>
      <c r="AW49">
        <v>6</v>
      </c>
      <c r="AX49" t="s">
        <v>74</v>
      </c>
      <c r="AY49" t="s">
        <v>74</v>
      </c>
      <c r="AZ49" t="s">
        <v>74</v>
      </c>
      <c r="BA49" t="s">
        <v>74</v>
      </c>
      <c r="BB49">
        <v>1812</v>
      </c>
      <c r="BC49">
        <v>1837</v>
      </c>
      <c r="BD49" t="s">
        <v>74</v>
      </c>
      <c r="BE49" t="s">
        <v>1177</v>
      </c>
      <c r="BF49" t="str">
        <f>HYPERLINK("http://dx.doi.org/10.1111/brv.12640","http://dx.doi.org/10.1111/brv.12640")</f>
        <v>http://dx.doi.org/10.1111/brv.12640</v>
      </c>
      <c r="BG49" t="s">
        <v>74</v>
      </c>
      <c r="BH49" t="s">
        <v>1003</v>
      </c>
      <c r="BI49">
        <v>26</v>
      </c>
      <c r="BJ49" t="s">
        <v>1178</v>
      </c>
      <c r="BK49" t="s">
        <v>102</v>
      </c>
      <c r="BL49" t="s">
        <v>1179</v>
      </c>
      <c r="BM49" t="s">
        <v>1180</v>
      </c>
      <c r="BN49">
        <v>32737956</v>
      </c>
      <c r="BO49" t="s">
        <v>1181</v>
      </c>
      <c r="BP49" t="s">
        <v>74</v>
      </c>
      <c r="BQ49" t="s">
        <v>74</v>
      </c>
      <c r="BR49" t="s">
        <v>106</v>
      </c>
      <c r="BS49" t="s">
        <v>1182</v>
      </c>
      <c r="BT49" t="str">
        <f>HYPERLINK("https%3A%2F%2Fwww.webofscience.com%2Fwos%2Fwoscc%2Ffull-record%2FWOS:000554064300001","View Full Record in Web of Science")</f>
        <v>View Full Record in Web of Science</v>
      </c>
    </row>
    <row r="50" spans="1:72" x14ac:dyDescent="0.15">
      <c r="A50" t="s">
        <v>72</v>
      </c>
      <c r="B50" t="s">
        <v>1183</v>
      </c>
      <c r="C50" t="s">
        <v>74</v>
      </c>
      <c r="D50" t="s">
        <v>74</v>
      </c>
      <c r="E50" t="s">
        <v>74</v>
      </c>
      <c r="F50" t="s">
        <v>1184</v>
      </c>
      <c r="G50" t="s">
        <v>74</v>
      </c>
      <c r="H50" t="s">
        <v>74</v>
      </c>
      <c r="I50" t="s">
        <v>1185</v>
      </c>
      <c r="J50" t="s">
        <v>1186</v>
      </c>
      <c r="K50" t="s">
        <v>74</v>
      </c>
      <c r="L50" t="s">
        <v>74</v>
      </c>
      <c r="M50" t="s">
        <v>78</v>
      </c>
      <c r="N50" t="s">
        <v>79</v>
      </c>
      <c r="O50" t="s">
        <v>74</v>
      </c>
      <c r="P50" t="s">
        <v>74</v>
      </c>
      <c r="Q50" t="s">
        <v>74</v>
      </c>
      <c r="R50" t="s">
        <v>74</v>
      </c>
      <c r="S50" t="s">
        <v>74</v>
      </c>
      <c r="T50" t="s">
        <v>1187</v>
      </c>
      <c r="U50" t="s">
        <v>1188</v>
      </c>
      <c r="V50" t="s">
        <v>1189</v>
      </c>
      <c r="W50" t="s">
        <v>1190</v>
      </c>
      <c r="X50" t="s">
        <v>1191</v>
      </c>
      <c r="Y50" t="s">
        <v>1192</v>
      </c>
      <c r="Z50" t="s">
        <v>1193</v>
      </c>
      <c r="AA50" t="s">
        <v>1194</v>
      </c>
      <c r="AB50" t="s">
        <v>1195</v>
      </c>
      <c r="AC50" t="s">
        <v>1196</v>
      </c>
      <c r="AD50" t="s">
        <v>1197</v>
      </c>
      <c r="AE50" t="s">
        <v>1198</v>
      </c>
      <c r="AF50" t="s">
        <v>74</v>
      </c>
      <c r="AG50">
        <v>90</v>
      </c>
      <c r="AH50">
        <v>3</v>
      </c>
      <c r="AI50">
        <v>3</v>
      </c>
      <c r="AJ50">
        <v>0</v>
      </c>
      <c r="AK50">
        <v>21</v>
      </c>
      <c r="AL50" t="s">
        <v>1199</v>
      </c>
      <c r="AM50" t="s">
        <v>1200</v>
      </c>
      <c r="AN50" t="s">
        <v>1201</v>
      </c>
      <c r="AO50" t="s">
        <v>1202</v>
      </c>
      <c r="AP50" t="s">
        <v>1203</v>
      </c>
      <c r="AQ50" t="s">
        <v>74</v>
      </c>
      <c r="AR50" t="s">
        <v>1204</v>
      </c>
      <c r="AS50" t="s">
        <v>1205</v>
      </c>
      <c r="AT50" t="s">
        <v>1206</v>
      </c>
      <c r="AU50">
        <v>2020</v>
      </c>
      <c r="AV50">
        <v>646</v>
      </c>
      <c r="AW50" t="s">
        <v>74</v>
      </c>
      <c r="AX50" t="s">
        <v>74</v>
      </c>
      <c r="AY50" t="s">
        <v>74</v>
      </c>
      <c r="AZ50" t="s">
        <v>74</v>
      </c>
      <c r="BA50" t="s">
        <v>74</v>
      </c>
      <c r="BB50">
        <v>93</v>
      </c>
      <c r="BC50">
        <v>107</v>
      </c>
      <c r="BD50" t="s">
        <v>74</v>
      </c>
      <c r="BE50" t="s">
        <v>1207</v>
      </c>
      <c r="BF50" t="str">
        <f>HYPERLINK("http://dx.doi.org/10.3354/meps13381","http://dx.doi.org/10.3354/meps13381")</f>
        <v>http://dx.doi.org/10.3354/meps13381</v>
      </c>
      <c r="BG50" t="s">
        <v>74</v>
      </c>
      <c r="BH50" t="s">
        <v>74</v>
      </c>
      <c r="BI50">
        <v>15</v>
      </c>
      <c r="BJ50" t="s">
        <v>1208</v>
      </c>
      <c r="BK50" t="s">
        <v>102</v>
      </c>
      <c r="BL50" t="s">
        <v>1209</v>
      </c>
      <c r="BM50" t="s">
        <v>1210</v>
      </c>
      <c r="BN50" t="s">
        <v>74</v>
      </c>
      <c r="BO50" t="s">
        <v>74</v>
      </c>
      <c r="BP50" t="s">
        <v>74</v>
      </c>
      <c r="BQ50" t="s">
        <v>74</v>
      </c>
      <c r="BR50" t="s">
        <v>106</v>
      </c>
      <c r="BS50" t="s">
        <v>1211</v>
      </c>
      <c r="BT50" t="str">
        <f>HYPERLINK("https%3A%2F%2Fwww.webofscience.com%2Fwos%2Fwoscc%2Ffull-record%2FWOS:000621208500007","View Full Record in Web of Science")</f>
        <v>View Full Record in Web of Science</v>
      </c>
    </row>
    <row r="51" spans="1:72" x14ac:dyDescent="0.15">
      <c r="A51" t="s">
        <v>72</v>
      </c>
      <c r="B51" t="s">
        <v>1212</v>
      </c>
      <c r="C51" t="s">
        <v>74</v>
      </c>
      <c r="D51" t="s">
        <v>74</v>
      </c>
      <c r="E51" t="s">
        <v>74</v>
      </c>
      <c r="F51" t="s">
        <v>1213</v>
      </c>
      <c r="G51" t="s">
        <v>74</v>
      </c>
      <c r="H51" t="s">
        <v>74</v>
      </c>
      <c r="I51" t="s">
        <v>1214</v>
      </c>
      <c r="J51" t="s">
        <v>1186</v>
      </c>
      <c r="K51" t="s">
        <v>74</v>
      </c>
      <c r="L51" t="s">
        <v>74</v>
      </c>
      <c r="M51" t="s">
        <v>78</v>
      </c>
      <c r="N51" t="s">
        <v>79</v>
      </c>
      <c r="O51" t="s">
        <v>74</v>
      </c>
      <c r="P51" t="s">
        <v>74</v>
      </c>
      <c r="Q51" t="s">
        <v>74</v>
      </c>
      <c r="R51" t="s">
        <v>74</v>
      </c>
      <c r="S51" t="s">
        <v>74</v>
      </c>
      <c r="T51" t="s">
        <v>1215</v>
      </c>
      <c r="U51" t="s">
        <v>1216</v>
      </c>
      <c r="V51" t="s">
        <v>1217</v>
      </c>
      <c r="W51" t="s">
        <v>1218</v>
      </c>
      <c r="X51" t="s">
        <v>1219</v>
      </c>
      <c r="Y51" t="s">
        <v>1220</v>
      </c>
      <c r="Z51" t="s">
        <v>1221</v>
      </c>
      <c r="AA51" t="s">
        <v>74</v>
      </c>
      <c r="AB51" t="s">
        <v>1222</v>
      </c>
      <c r="AC51" t="s">
        <v>1223</v>
      </c>
      <c r="AD51" t="s">
        <v>1224</v>
      </c>
      <c r="AE51" t="s">
        <v>1225</v>
      </c>
      <c r="AF51" t="s">
        <v>74</v>
      </c>
      <c r="AG51">
        <v>62</v>
      </c>
      <c r="AH51">
        <v>7</v>
      </c>
      <c r="AI51">
        <v>7</v>
      </c>
      <c r="AJ51">
        <v>1</v>
      </c>
      <c r="AK51">
        <v>7</v>
      </c>
      <c r="AL51" t="s">
        <v>1199</v>
      </c>
      <c r="AM51" t="s">
        <v>1200</v>
      </c>
      <c r="AN51" t="s">
        <v>1201</v>
      </c>
      <c r="AO51" t="s">
        <v>1202</v>
      </c>
      <c r="AP51" t="s">
        <v>1203</v>
      </c>
      <c r="AQ51" t="s">
        <v>74</v>
      </c>
      <c r="AR51" t="s">
        <v>1204</v>
      </c>
      <c r="AS51" t="s">
        <v>1205</v>
      </c>
      <c r="AT51" t="s">
        <v>1206</v>
      </c>
      <c r="AU51">
        <v>2020</v>
      </c>
      <c r="AV51">
        <v>646</v>
      </c>
      <c r="AW51" t="s">
        <v>74</v>
      </c>
      <c r="AX51" t="s">
        <v>74</v>
      </c>
      <c r="AY51" t="s">
        <v>74</v>
      </c>
      <c r="AZ51" t="s">
        <v>74</v>
      </c>
      <c r="BA51" t="s">
        <v>74</v>
      </c>
      <c r="BB51">
        <v>189</v>
      </c>
      <c r="BC51">
        <v>200</v>
      </c>
      <c r="BD51" t="s">
        <v>74</v>
      </c>
      <c r="BE51" t="s">
        <v>1226</v>
      </c>
      <c r="BF51" t="str">
        <f>HYPERLINK("http://dx.doi.org/10.3354/meps13387","http://dx.doi.org/10.3354/meps13387")</f>
        <v>http://dx.doi.org/10.3354/meps13387</v>
      </c>
      <c r="BG51" t="s">
        <v>74</v>
      </c>
      <c r="BH51" t="s">
        <v>74</v>
      </c>
      <c r="BI51">
        <v>12</v>
      </c>
      <c r="BJ51" t="s">
        <v>1208</v>
      </c>
      <c r="BK51" t="s">
        <v>102</v>
      </c>
      <c r="BL51" t="s">
        <v>1209</v>
      </c>
      <c r="BM51" t="s">
        <v>1210</v>
      </c>
      <c r="BN51" t="s">
        <v>74</v>
      </c>
      <c r="BO51" t="s">
        <v>74</v>
      </c>
      <c r="BP51" t="s">
        <v>74</v>
      </c>
      <c r="BQ51" t="s">
        <v>74</v>
      </c>
      <c r="BR51" t="s">
        <v>106</v>
      </c>
      <c r="BS51" t="s">
        <v>1227</v>
      </c>
      <c r="BT51" t="str">
        <f>HYPERLINK("https%3A%2F%2Fwww.webofscience.com%2Fwos%2Fwoscc%2Ffull-record%2FWOS:000621208500013","View Full Record in Web of Science")</f>
        <v>View Full Record in Web of Science</v>
      </c>
    </row>
    <row r="52" spans="1:72" x14ac:dyDescent="0.15">
      <c r="A52" t="s">
        <v>72</v>
      </c>
      <c r="B52" t="s">
        <v>1228</v>
      </c>
      <c r="C52" t="s">
        <v>74</v>
      </c>
      <c r="D52" t="s">
        <v>74</v>
      </c>
      <c r="E52" t="s">
        <v>74</v>
      </c>
      <c r="F52" t="s">
        <v>1229</v>
      </c>
      <c r="G52" t="s">
        <v>74</v>
      </c>
      <c r="H52" t="s">
        <v>74</v>
      </c>
      <c r="I52" t="s">
        <v>1230</v>
      </c>
      <c r="J52" t="s">
        <v>1231</v>
      </c>
      <c r="K52" t="s">
        <v>74</v>
      </c>
      <c r="L52" t="s">
        <v>74</v>
      </c>
      <c r="M52" t="s">
        <v>78</v>
      </c>
      <c r="N52" t="s">
        <v>79</v>
      </c>
      <c r="O52" t="s">
        <v>74</v>
      </c>
      <c r="P52" t="s">
        <v>74</v>
      </c>
      <c r="Q52" t="s">
        <v>74</v>
      </c>
      <c r="R52" t="s">
        <v>74</v>
      </c>
      <c r="S52" t="s">
        <v>74</v>
      </c>
      <c r="T52" t="s">
        <v>74</v>
      </c>
      <c r="U52" t="s">
        <v>1232</v>
      </c>
      <c r="V52" t="s">
        <v>1233</v>
      </c>
      <c r="W52" t="s">
        <v>1234</v>
      </c>
      <c r="X52" t="s">
        <v>1235</v>
      </c>
      <c r="Y52" t="s">
        <v>1236</v>
      </c>
      <c r="Z52" t="s">
        <v>1237</v>
      </c>
      <c r="AA52" t="s">
        <v>1238</v>
      </c>
      <c r="AB52" t="s">
        <v>1239</v>
      </c>
      <c r="AC52" t="s">
        <v>74</v>
      </c>
      <c r="AD52" t="s">
        <v>74</v>
      </c>
      <c r="AE52" t="s">
        <v>74</v>
      </c>
      <c r="AF52" t="s">
        <v>74</v>
      </c>
      <c r="AG52">
        <v>34</v>
      </c>
      <c r="AH52">
        <v>33</v>
      </c>
      <c r="AI52">
        <v>39</v>
      </c>
      <c r="AJ52">
        <v>1</v>
      </c>
      <c r="AK52">
        <v>36</v>
      </c>
      <c r="AL52" t="s">
        <v>1240</v>
      </c>
      <c r="AM52" t="s">
        <v>1119</v>
      </c>
      <c r="AN52" t="s">
        <v>1120</v>
      </c>
      <c r="AO52" t="s">
        <v>1241</v>
      </c>
      <c r="AP52" t="s">
        <v>1242</v>
      </c>
      <c r="AQ52" t="s">
        <v>74</v>
      </c>
      <c r="AR52" t="s">
        <v>1231</v>
      </c>
      <c r="AS52" t="s">
        <v>1243</v>
      </c>
      <c r="AT52" t="s">
        <v>1206</v>
      </c>
      <c r="AU52">
        <v>2020</v>
      </c>
      <c r="AV52">
        <v>583</v>
      </c>
      <c r="AW52">
        <v>7818</v>
      </c>
      <c r="AX52" t="s">
        <v>74</v>
      </c>
      <c r="AY52" t="s">
        <v>74</v>
      </c>
      <c r="AZ52" t="s">
        <v>74</v>
      </c>
      <c r="BA52" t="s">
        <v>74</v>
      </c>
      <c r="BB52">
        <v>771</v>
      </c>
      <c r="BC52" t="s">
        <v>1244</v>
      </c>
      <c r="BD52" t="s">
        <v>74</v>
      </c>
      <c r="BE52" t="s">
        <v>1245</v>
      </c>
      <c r="BF52" t="str">
        <f>HYPERLINK("http://dx.doi.org/10.1038/s41586-020-2489-0","http://dx.doi.org/10.1038/s41586-020-2489-0")</f>
        <v>http://dx.doi.org/10.1038/s41586-020-2489-0</v>
      </c>
      <c r="BG52" t="s">
        <v>74</v>
      </c>
      <c r="BH52" t="s">
        <v>74</v>
      </c>
      <c r="BI52">
        <v>7</v>
      </c>
      <c r="BJ52" t="s">
        <v>1125</v>
      </c>
      <c r="BK52" t="s">
        <v>102</v>
      </c>
      <c r="BL52" t="s">
        <v>1126</v>
      </c>
      <c r="BM52" t="s">
        <v>1246</v>
      </c>
      <c r="BN52">
        <v>32728236</v>
      </c>
      <c r="BO52" t="s">
        <v>976</v>
      </c>
      <c r="BP52" t="s">
        <v>74</v>
      </c>
      <c r="BQ52" t="s">
        <v>74</v>
      </c>
      <c r="BR52" t="s">
        <v>106</v>
      </c>
      <c r="BS52" t="s">
        <v>1247</v>
      </c>
      <c r="BT52" t="str">
        <f>HYPERLINK("https%3A%2F%2Fwww.webofscience.com%2Fwos%2Fwoscc%2Ffull-record%2FWOS:000554831500029","View Full Record in Web of Science")</f>
        <v>View Full Record in Web of Science</v>
      </c>
    </row>
    <row r="53" spans="1:72" x14ac:dyDescent="0.15">
      <c r="A53" t="s">
        <v>72</v>
      </c>
      <c r="B53" t="s">
        <v>1248</v>
      </c>
      <c r="C53" t="s">
        <v>74</v>
      </c>
      <c r="D53" t="s">
        <v>74</v>
      </c>
      <c r="E53" t="s">
        <v>74</v>
      </c>
      <c r="F53" t="s">
        <v>1249</v>
      </c>
      <c r="G53" t="s">
        <v>74</v>
      </c>
      <c r="H53" t="s">
        <v>74</v>
      </c>
      <c r="I53" t="s">
        <v>1250</v>
      </c>
      <c r="J53" t="s">
        <v>1106</v>
      </c>
      <c r="K53" t="s">
        <v>74</v>
      </c>
      <c r="L53" t="s">
        <v>74</v>
      </c>
      <c r="M53" t="s">
        <v>78</v>
      </c>
      <c r="N53" t="s">
        <v>79</v>
      </c>
      <c r="O53" t="s">
        <v>74</v>
      </c>
      <c r="P53" t="s">
        <v>74</v>
      </c>
      <c r="Q53" t="s">
        <v>74</v>
      </c>
      <c r="R53" t="s">
        <v>74</v>
      </c>
      <c r="S53" t="s">
        <v>74</v>
      </c>
      <c r="T53" t="s">
        <v>74</v>
      </c>
      <c r="U53" t="s">
        <v>1251</v>
      </c>
      <c r="V53" t="s">
        <v>1252</v>
      </c>
      <c r="W53" t="s">
        <v>1253</v>
      </c>
      <c r="X53" t="s">
        <v>1254</v>
      </c>
      <c r="Y53" t="s">
        <v>1255</v>
      </c>
      <c r="Z53" t="s">
        <v>1256</v>
      </c>
      <c r="AA53" t="s">
        <v>1257</v>
      </c>
      <c r="AB53" t="s">
        <v>1258</v>
      </c>
      <c r="AC53" t="s">
        <v>1259</v>
      </c>
      <c r="AD53" t="s">
        <v>1260</v>
      </c>
      <c r="AE53" t="s">
        <v>1261</v>
      </c>
      <c r="AF53" t="s">
        <v>74</v>
      </c>
      <c r="AG53">
        <v>61</v>
      </c>
      <c r="AH53">
        <v>8</v>
      </c>
      <c r="AI53">
        <v>8</v>
      </c>
      <c r="AJ53">
        <v>0</v>
      </c>
      <c r="AK53">
        <v>8</v>
      </c>
      <c r="AL53" t="s">
        <v>1118</v>
      </c>
      <c r="AM53" t="s">
        <v>1119</v>
      </c>
      <c r="AN53" t="s">
        <v>1120</v>
      </c>
      <c r="AO53" t="s">
        <v>1121</v>
      </c>
      <c r="AP53" t="s">
        <v>74</v>
      </c>
      <c r="AQ53" t="s">
        <v>74</v>
      </c>
      <c r="AR53" t="s">
        <v>1122</v>
      </c>
      <c r="AS53" t="s">
        <v>1123</v>
      </c>
      <c r="AT53" t="s">
        <v>1206</v>
      </c>
      <c r="AU53">
        <v>2020</v>
      </c>
      <c r="AV53">
        <v>10</v>
      </c>
      <c r="AW53">
        <v>1</v>
      </c>
      <c r="AX53" t="s">
        <v>74</v>
      </c>
      <c r="AY53" t="s">
        <v>74</v>
      </c>
      <c r="AZ53" t="s">
        <v>74</v>
      </c>
      <c r="BA53" t="s">
        <v>74</v>
      </c>
      <c r="BB53" t="s">
        <v>74</v>
      </c>
      <c r="BC53" t="s">
        <v>74</v>
      </c>
      <c r="BD53">
        <v>12807</v>
      </c>
      <c r="BE53" t="s">
        <v>1262</v>
      </c>
      <c r="BF53" t="str">
        <f>HYPERLINK("http://dx.doi.org/10.1038/s41598-020-69124-6","http://dx.doi.org/10.1038/s41598-020-69124-6")</f>
        <v>http://dx.doi.org/10.1038/s41598-020-69124-6</v>
      </c>
      <c r="BG53" t="s">
        <v>74</v>
      </c>
      <c r="BH53" t="s">
        <v>74</v>
      </c>
      <c r="BI53">
        <v>12</v>
      </c>
      <c r="BJ53" t="s">
        <v>1125</v>
      </c>
      <c r="BK53" t="s">
        <v>102</v>
      </c>
      <c r="BL53" t="s">
        <v>1126</v>
      </c>
      <c r="BM53" t="s">
        <v>1263</v>
      </c>
      <c r="BN53">
        <v>32732896</v>
      </c>
      <c r="BO53" t="s">
        <v>161</v>
      </c>
      <c r="BP53" t="s">
        <v>74</v>
      </c>
      <c r="BQ53" t="s">
        <v>74</v>
      </c>
      <c r="BR53" t="s">
        <v>106</v>
      </c>
      <c r="BS53" t="s">
        <v>1264</v>
      </c>
      <c r="BT53" t="str">
        <f>HYPERLINK("https%3A%2F%2Fwww.webofscience.com%2Fwos%2Fwoscc%2Ffull-record%2FWOS:000559797100025","View Full Record in Web of Science")</f>
        <v>View Full Record in Web of Science</v>
      </c>
    </row>
    <row r="54" spans="1:72" x14ac:dyDescent="0.15">
      <c r="A54" t="s">
        <v>72</v>
      </c>
      <c r="B54" t="s">
        <v>1265</v>
      </c>
      <c r="C54" t="s">
        <v>74</v>
      </c>
      <c r="D54" t="s">
        <v>74</v>
      </c>
      <c r="E54" t="s">
        <v>74</v>
      </c>
      <c r="F54" t="s">
        <v>1266</v>
      </c>
      <c r="G54" t="s">
        <v>74</v>
      </c>
      <c r="H54" t="s">
        <v>74</v>
      </c>
      <c r="I54" t="s">
        <v>1267</v>
      </c>
      <c r="J54" t="s">
        <v>1268</v>
      </c>
      <c r="K54" t="s">
        <v>74</v>
      </c>
      <c r="L54" t="s">
        <v>74</v>
      </c>
      <c r="M54" t="s">
        <v>78</v>
      </c>
      <c r="N54" t="s">
        <v>79</v>
      </c>
      <c r="O54" t="s">
        <v>74</v>
      </c>
      <c r="P54" t="s">
        <v>74</v>
      </c>
      <c r="Q54" t="s">
        <v>74</v>
      </c>
      <c r="R54" t="s">
        <v>74</v>
      </c>
      <c r="S54" t="s">
        <v>74</v>
      </c>
      <c r="T54" t="s">
        <v>74</v>
      </c>
      <c r="U54" t="s">
        <v>1269</v>
      </c>
      <c r="V54" t="s">
        <v>1270</v>
      </c>
      <c r="W54" t="s">
        <v>1271</v>
      </c>
      <c r="X54" t="s">
        <v>1272</v>
      </c>
      <c r="Y54" t="s">
        <v>1273</v>
      </c>
      <c r="Z54" t="s">
        <v>1274</v>
      </c>
      <c r="AA54" t="s">
        <v>1275</v>
      </c>
      <c r="AB54" t="s">
        <v>1276</v>
      </c>
      <c r="AC54" t="s">
        <v>1277</v>
      </c>
      <c r="AD54" t="s">
        <v>1278</v>
      </c>
      <c r="AE54" t="s">
        <v>1279</v>
      </c>
      <c r="AF54" t="s">
        <v>74</v>
      </c>
      <c r="AG54">
        <v>38</v>
      </c>
      <c r="AH54">
        <v>14</v>
      </c>
      <c r="AI54">
        <v>14</v>
      </c>
      <c r="AJ54">
        <v>3</v>
      </c>
      <c r="AK54">
        <v>10</v>
      </c>
      <c r="AL54" t="s">
        <v>1049</v>
      </c>
      <c r="AM54" t="s">
        <v>1050</v>
      </c>
      <c r="AN54" t="s">
        <v>1051</v>
      </c>
      <c r="AO54" t="s">
        <v>1280</v>
      </c>
      <c r="AP54" t="s">
        <v>1281</v>
      </c>
      <c r="AQ54" t="s">
        <v>74</v>
      </c>
      <c r="AR54" t="s">
        <v>1282</v>
      </c>
      <c r="AS54" t="s">
        <v>1283</v>
      </c>
      <c r="AT54" t="s">
        <v>1206</v>
      </c>
      <c r="AU54">
        <v>2020</v>
      </c>
      <c r="AV54">
        <v>24</v>
      </c>
      <c r="AW54">
        <v>7</v>
      </c>
      <c r="AX54" t="s">
        <v>74</v>
      </c>
      <c r="AY54" t="s">
        <v>74</v>
      </c>
      <c r="AZ54" t="s">
        <v>74</v>
      </c>
      <c r="BA54" t="s">
        <v>74</v>
      </c>
      <c r="BB54">
        <v>3851</v>
      </c>
      <c r="BC54">
        <v>3870</v>
      </c>
      <c r="BD54" t="s">
        <v>74</v>
      </c>
      <c r="BE54" t="s">
        <v>1284</v>
      </c>
      <c r="BF54" t="str">
        <f>HYPERLINK("http://dx.doi.org/10.5194/hess-24-3851-2020","http://dx.doi.org/10.5194/hess-24-3851-2020")</f>
        <v>http://dx.doi.org/10.5194/hess-24-3851-2020</v>
      </c>
      <c r="BG54" t="s">
        <v>74</v>
      </c>
      <c r="BH54" t="s">
        <v>74</v>
      </c>
      <c r="BI54">
        <v>20</v>
      </c>
      <c r="BJ54" t="s">
        <v>1285</v>
      </c>
      <c r="BK54" t="s">
        <v>102</v>
      </c>
      <c r="BL54" t="s">
        <v>1286</v>
      </c>
      <c r="BM54" t="s">
        <v>1287</v>
      </c>
      <c r="BN54" t="s">
        <v>74</v>
      </c>
      <c r="BO54" t="s">
        <v>1060</v>
      </c>
      <c r="BP54" t="s">
        <v>74</v>
      </c>
      <c r="BQ54" t="s">
        <v>74</v>
      </c>
      <c r="BR54" t="s">
        <v>106</v>
      </c>
      <c r="BS54" t="s">
        <v>1288</v>
      </c>
      <c r="BT54" t="str">
        <f>HYPERLINK("https%3A%2F%2Fwww.webofscience.com%2Fwos%2Fwoscc%2Ffull-record%2FWOS:000557883500001","View Full Record in Web of Science")</f>
        <v>View Full Record in Web of Science</v>
      </c>
    </row>
    <row r="55" spans="1:72" x14ac:dyDescent="0.15">
      <c r="A55" t="s">
        <v>72</v>
      </c>
      <c r="B55" t="s">
        <v>1289</v>
      </c>
      <c r="C55" t="s">
        <v>74</v>
      </c>
      <c r="D55" t="s">
        <v>74</v>
      </c>
      <c r="E55" t="s">
        <v>74</v>
      </c>
      <c r="F55" t="s">
        <v>1290</v>
      </c>
      <c r="G55" t="s">
        <v>74</v>
      </c>
      <c r="H55" t="s">
        <v>74</v>
      </c>
      <c r="I55" t="s">
        <v>1291</v>
      </c>
      <c r="J55" t="s">
        <v>1065</v>
      </c>
      <c r="K55" t="s">
        <v>74</v>
      </c>
      <c r="L55" t="s">
        <v>74</v>
      </c>
      <c r="M55" t="s">
        <v>78</v>
      </c>
      <c r="N55" t="s">
        <v>79</v>
      </c>
      <c r="O55" t="s">
        <v>74</v>
      </c>
      <c r="P55" t="s">
        <v>74</v>
      </c>
      <c r="Q55" t="s">
        <v>74</v>
      </c>
      <c r="R55" t="s">
        <v>74</v>
      </c>
      <c r="S55" t="s">
        <v>74</v>
      </c>
      <c r="T55" t="s">
        <v>1292</v>
      </c>
      <c r="U55" t="s">
        <v>1293</v>
      </c>
      <c r="V55" t="s">
        <v>1294</v>
      </c>
      <c r="W55" t="s">
        <v>1295</v>
      </c>
      <c r="X55" t="s">
        <v>1296</v>
      </c>
      <c r="Y55" t="s">
        <v>1297</v>
      </c>
      <c r="Z55" t="s">
        <v>1298</v>
      </c>
      <c r="AA55" t="s">
        <v>1299</v>
      </c>
      <c r="AB55" t="s">
        <v>74</v>
      </c>
      <c r="AC55" t="s">
        <v>1300</v>
      </c>
      <c r="AD55" t="s">
        <v>1300</v>
      </c>
      <c r="AE55" t="s">
        <v>1301</v>
      </c>
      <c r="AF55" t="s">
        <v>74</v>
      </c>
      <c r="AG55">
        <v>56</v>
      </c>
      <c r="AH55">
        <v>4</v>
      </c>
      <c r="AI55">
        <v>4</v>
      </c>
      <c r="AJ55">
        <v>0</v>
      </c>
      <c r="AK55">
        <v>6</v>
      </c>
      <c r="AL55" t="s">
        <v>1024</v>
      </c>
      <c r="AM55" t="s">
        <v>1025</v>
      </c>
      <c r="AN55" t="s">
        <v>1026</v>
      </c>
      <c r="AO55" t="s">
        <v>74</v>
      </c>
      <c r="AP55" t="s">
        <v>1078</v>
      </c>
      <c r="AQ55" t="s">
        <v>74</v>
      </c>
      <c r="AR55" t="s">
        <v>1079</v>
      </c>
      <c r="AS55" t="s">
        <v>1080</v>
      </c>
      <c r="AT55" t="s">
        <v>1206</v>
      </c>
      <c r="AU55">
        <v>2020</v>
      </c>
      <c r="AV55">
        <v>7</v>
      </c>
      <c r="AW55" t="s">
        <v>74</v>
      </c>
      <c r="AX55" t="s">
        <v>74</v>
      </c>
      <c r="AY55" t="s">
        <v>74</v>
      </c>
      <c r="AZ55" t="s">
        <v>74</v>
      </c>
      <c r="BA55" t="s">
        <v>74</v>
      </c>
      <c r="BB55" t="s">
        <v>74</v>
      </c>
      <c r="BC55" t="s">
        <v>74</v>
      </c>
      <c r="BD55">
        <v>522</v>
      </c>
      <c r="BE55" t="s">
        <v>1302</v>
      </c>
      <c r="BF55" t="str">
        <f>HYPERLINK("http://dx.doi.org/10.3389/fmars.2020.00522","http://dx.doi.org/10.3389/fmars.2020.00522")</f>
        <v>http://dx.doi.org/10.3389/fmars.2020.00522</v>
      </c>
      <c r="BG55" t="s">
        <v>74</v>
      </c>
      <c r="BH55" t="s">
        <v>74</v>
      </c>
      <c r="BI55">
        <v>13</v>
      </c>
      <c r="BJ55" t="s">
        <v>237</v>
      </c>
      <c r="BK55" t="s">
        <v>102</v>
      </c>
      <c r="BL55" t="s">
        <v>238</v>
      </c>
      <c r="BM55" t="s">
        <v>1303</v>
      </c>
      <c r="BN55" t="s">
        <v>74</v>
      </c>
      <c r="BO55" t="s">
        <v>105</v>
      </c>
      <c r="BP55" t="s">
        <v>74</v>
      </c>
      <c r="BQ55" t="s">
        <v>74</v>
      </c>
      <c r="BR55" t="s">
        <v>106</v>
      </c>
      <c r="BS55" t="s">
        <v>1304</v>
      </c>
      <c r="BT55" t="str">
        <f>HYPERLINK("https%3A%2F%2Fwww.webofscience.com%2Fwos%2Fwoscc%2Ffull-record%2FWOS:000556181300001","View Full Record in Web of Science")</f>
        <v>View Full Record in Web of Science</v>
      </c>
    </row>
    <row r="56" spans="1:72" x14ac:dyDescent="0.15">
      <c r="A56" t="s">
        <v>72</v>
      </c>
      <c r="B56" t="s">
        <v>1305</v>
      </c>
      <c r="C56" t="s">
        <v>74</v>
      </c>
      <c r="D56" t="s">
        <v>74</v>
      </c>
      <c r="E56" t="s">
        <v>74</v>
      </c>
      <c r="F56" t="s">
        <v>1306</v>
      </c>
      <c r="G56" t="s">
        <v>74</v>
      </c>
      <c r="H56" t="s">
        <v>74</v>
      </c>
      <c r="I56" t="s">
        <v>1307</v>
      </c>
      <c r="J56" t="s">
        <v>1308</v>
      </c>
      <c r="K56" t="s">
        <v>74</v>
      </c>
      <c r="L56" t="s">
        <v>74</v>
      </c>
      <c r="M56" t="s">
        <v>78</v>
      </c>
      <c r="N56" t="s">
        <v>79</v>
      </c>
      <c r="O56" t="s">
        <v>74</v>
      </c>
      <c r="P56" t="s">
        <v>74</v>
      </c>
      <c r="Q56" t="s">
        <v>74</v>
      </c>
      <c r="R56" t="s">
        <v>74</v>
      </c>
      <c r="S56" t="s">
        <v>74</v>
      </c>
      <c r="T56" t="s">
        <v>1309</v>
      </c>
      <c r="U56" t="s">
        <v>1310</v>
      </c>
      <c r="V56" t="s">
        <v>1311</v>
      </c>
      <c r="W56" t="s">
        <v>1312</v>
      </c>
      <c r="X56" t="s">
        <v>1313</v>
      </c>
      <c r="Y56" t="s">
        <v>1314</v>
      </c>
      <c r="Z56" t="s">
        <v>1315</v>
      </c>
      <c r="AA56" t="s">
        <v>1316</v>
      </c>
      <c r="AB56" t="s">
        <v>1317</v>
      </c>
      <c r="AC56" t="s">
        <v>1318</v>
      </c>
      <c r="AD56" t="s">
        <v>1319</v>
      </c>
      <c r="AE56" t="s">
        <v>1320</v>
      </c>
      <c r="AF56" t="s">
        <v>74</v>
      </c>
      <c r="AG56">
        <v>38</v>
      </c>
      <c r="AH56">
        <v>3</v>
      </c>
      <c r="AI56">
        <v>4</v>
      </c>
      <c r="AJ56">
        <v>4</v>
      </c>
      <c r="AK56">
        <v>38</v>
      </c>
      <c r="AL56" t="s">
        <v>1321</v>
      </c>
      <c r="AM56" t="s">
        <v>1322</v>
      </c>
      <c r="AN56" t="s">
        <v>1323</v>
      </c>
      <c r="AO56" t="s">
        <v>1324</v>
      </c>
      <c r="AP56" t="s">
        <v>1325</v>
      </c>
      <c r="AQ56" t="s">
        <v>74</v>
      </c>
      <c r="AR56" t="s">
        <v>1326</v>
      </c>
      <c r="AS56" t="s">
        <v>1327</v>
      </c>
      <c r="AT56" t="s">
        <v>1001</v>
      </c>
      <c r="AU56">
        <v>2020</v>
      </c>
      <c r="AV56">
        <v>27</v>
      </c>
      <c r="AW56">
        <v>30</v>
      </c>
      <c r="AX56" t="s">
        <v>74</v>
      </c>
      <c r="AY56" t="s">
        <v>74</v>
      </c>
      <c r="AZ56" t="s">
        <v>74</v>
      </c>
      <c r="BA56" t="s">
        <v>74</v>
      </c>
      <c r="BB56">
        <v>38344</v>
      </c>
      <c r="BC56">
        <v>38352</v>
      </c>
      <c r="BD56" t="s">
        <v>74</v>
      </c>
      <c r="BE56" t="s">
        <v>1328</v>
      </c>
      <c r="BF56" t="str">
        <f>HYPERLINK("http://dx.doi.org/10.1007/s11356-020-10164-w","http://dx.doi.org/10.1007/s11356-020-10164-w")</f>
        <v>http://dx.doi.org/10.1007/s11356-020-10164-w</v>
      </c>
      <c r="BG56" t="s">
        <v>74</v>
      </c>
      <c r="BH56" t="s">
        <v>1003</v>
      </c>
      <c r="BI56">
        <v>9</v>
      </c>
      <c r="BJ56" t="s">
        <v>101</v>
      </c>
      <c r="BK56" t="s">
        <v>102</v>
      </c>
      <c r="BL56" t="s">
        <v>103</v>
      </c>
      <c r="BM56" t="s">
        <v>1329</v>
      </c>
      <c r="BN56">
        <v>32734542</v>
      </c>
      <c r="BO56" t="s">
        <v>74</v>
      </c>
      <c r="BP56" t="s">
        <v>74</v>
      </c>
      <c r="BQ56" t="s">
        <v>74</v>
      </c>
      <c r="BR56" t="s">
        <v>106</v>
      </c>
      <c r="BS56" t="s">
        <v>1330</v>
      </c>
      <c r="BT56" t="str">
        <f>HYPERLINK("https%3A%2F%2Fwww.webofscience.com%2Fwos%2Fwoscc%2Ffull-record%2FWOS:000554055200001","View Full Record in Web of Science")</f>
        <v>View Full Record in Web of Science</v>
      </c>
    </row>
    <row r="57" spans="1:72" x14ac:dyDescent="0.15">
      <c r="A57" t="s">
        <v>72</v>
      </c>
      <c r="B57" t="s">
        <v>1331</v>
      </c>
      <c r="C57" t="s">
        <v>74</v>
      </c>
      <c r="D57" t="s">
        <v>74</v>
      </c>
      <c r="E57" t="s">
        <v>74</v>
      </c>
      <c r="F57" t="s">
        <v>1332</v>
      </c>
      <c r="G57" t="s">
        <v>74</v>
      </c>
      <c r="H57" t="s">
        <v>74</v>
      </c>
      <c r="I57" t="s">
        <v>1333</v>
      </c>
      <c r="J57" t="s">
        <v>1334</v>
      </c>
      <c r="K57" t="s">
        <v>74</v>
      </c>
      <c r="L57" t="s">
        <v>74</v>
      </c>
      <c r="M57" t="s">
        <v>78</v>
      </c>
      <c r="N57" t="s">
        <v>79</v>
      </c>
      <c r="O57" t="s">
        <v>74</v>
      </c>
      <c r="P57" t="s">
        <v>74</v>
      </c>
      <c r="Q57" t="s">
        <v>74</v>
      </c>
      <c r="R57" t="s">
        <v>74</v>
      </c>
      <c r="S57" t="s">
        <v>74</v>
      </c>
      <c r="T57" t="s">
        <v>1335</v>
      </c>
      <c r="U57" t="s">
        <v>1336</v>
      </c>
      <c r="V57" t="s">
        <v>1337</v>
      </c>
      <c r="W57" t="s">
        <v>1338</v>
      </c>
      <c r="X57" t="s">
        <v>1339</v>
      </c>
      <c r="Y57" t="s">
        <v>1340</v>
      </c>
      <c r="Z57" t="s">
        <v>1341</v>
      </c>
      <c r="AA57" t="s">
        <v>74</v>
      </c>
      <c r="AB57" t="s">
        <v>1342</v>
      </c>
      <c r="AC57" t="s">
        <v>74</v>
      </c>
      <c r="AD57" t="s">
        <v>74</v>
      </c>
      <c r="AE57" t="s">
        <v>74</v>
      </c>
      <c r="AF57" t="s">
        <v>74</v>
      </c>
      <c r="AG57">
        <v>47</v>
      </c>
      <c r="AH57">
        <v>2</v>
      </c>
      <c r="AI57">
        <v>2</v>
      </c>
      <c r="AJ57">
        <v>0</v>
      </c>
      <c r="AK57">
        <v>1</v>
      </c>
      <c r="AL57" t="s">
        <v>1343</v>
      </c>
      <c r="AM57" t="s">
        <v>1344</v>
      </c>
      <c r="AN57" t="s">
        <v>1345</v>
      </c>
      <c r="AO57" t="s">
        <v>74</v>
      </c>
      <c r="AP57" t="s">
        <v>1346</v>
      </c>
      <c r="AQ57" t="s">
        <v>74</v>
      </c>
      <c r="AR57" t="s">
        <v>1347</v>
      </c>
      <c r="AS57" t="s">
        <v>1348</v>
      </c>
      <c r="AT57" t="s">
        <v>1206</v>
      </c>
      <c r="AU57">
        <v>2020</v>
      </c>
      <c r="AV57">
        <v>694</v>
      </c>
      <c r="AW57" t="s">
        <v>74</v>
      </c>
      <c r="AX57" t="s">
        <v>74</v>
      </c>
      <c r="AY57" t="s">
        <v>74</v>
      </c>
      <c r="AZ57" t="s">
        <v>74</v>
      </c>
      <c r="BA57" t="s">
        <v>74</v>
      </c>
      <c r="BB57" t="s">
        <v>74</v>
      </c>
      <c r="BC57" t="s">
        <v>74</v>
      </c>
      <c r="BD57" t="s">
        <v>74</v>
      </c>
      <c r="BE57" t="s">
        <v>1349</v>
      </c>
      <c r="BF57" t="str">
        <f>HYPERLINK("http://dx.doi.org/10.5852/ejt.2020.694","http://dx.doi.org/10.5852/ejt.2020.694")</f>
        <v>http://dx.doi.org/10.5852/ejt.2020.694</v>
      </c>
      <c r="BG57" t="s">
        <v>74</v>
      </c>
      <c r="BH57" t="s">
        <v>74</v>
      </c>
      <c r="BI57">
        <v>30</v>
      </c>
      <c r="BJ57" t="s">
        <v>1350</v>
      </c>
      <c r="BK57" t="s">
        <v>102</v>
      </c>
      <c r="BL57" t="s">
        <v>1350</v>
      </c>
      <c r="BM57" t="s">
        <v>1351</v>
      </c>
      <c r="BN57" t="s">
        <v>74</v>
      </c>
      <c r="BO57" t="s">
        <v>1352</v>
      </c>
      <c r="BP57" t="s">
        <v>74</v>
      </c>
      <c r="BQ57" t="s">
        <v>74</v>
      </c>
      <c r="BR57" t="s">
        <v>106</v>
      </c>
      <c r="BS57" t="s">
        <v>1353</v>
      </c>
      <c r="BT57" t="str">
        <f>HYPERLINK("https%3A%2F%2Fwww.webofscience.com%2Fwos%2Fwoscc%2Ffull-record%2FWOS:000553572700001","View Full Record in Web of Science")</f>
        <v>View Full Record in Web of Science</v>
      </c>
    </row>
    <row r="58" spans="1:72" x14ac:dyDescent="0.15">
      <c r="A58" t="s">
        <v>72</v>
      </c>
      <c r="B58" t="s">
        <v>1354</v>
      </c>
      <c r="C58" t="s">
        <v>74</v>
      </c>
      <c r="D58" t="s">
        <v>74</v>
      </c>
      <c r="E58" t="s">
        <v>74</v>
      </c>
      <c r="F58" t="s">
        <v>1355</v>
      </c>
      <c r="G58" t="s">
        <v>74</v>
      </c>
      <c r="H58" t="s">
        <v>74</v>
      </c>
      <c r="I58" t="s">
        <v>1356</v>
      </c>
      <c r="J58" t="s">
        <v>1357</v>
      </c>
      <c r="K58" t="s">
        <v>74</v>
      </c>
      <c r="L58" t="s">
        <v>74</v>
      </c>
      <c r="M58" t="s">
        <v>78</v>
      </c>
      <c r="N58" t="s">
        <v>79</v>
      </c>
      <c r="O58" t="s">
        <v>74</v>
      </c>
      <c r="P58" t="s">
        <v>74</v>
      </c>
      <c r="Q58" t="s">
        <v>74</v>
      </c>
      <c r="R58" t="s">
        <v>74</v>
      </c>
      <c r="S58" t="s">
        <v>74</v>
      </c>
      <c r="T58" t="s">
        <v>1358</v>
      </c>
      <c r="U58" t="s">
        <v>1359</v>
      </c>
      <c r="V58" t="s">
        <v>1360</v>
      </c>
      <c r="W58" t="s">
        <v>1361</v>
      </c>
      <c r="X58" t="s">
        <v>1362</v>
      </c>
      <c r="Y58" t="s">
        <v>1363</v>
      </c>
      <c r="Z58" t="s">
        <v>1364</v>
      </c>
      <c r="AA58" t="s">
        <v>1365</v>
      </c>
      <c r="AB58" t="s">
        <v>1366</v>
      </c>
      <c r="AC58" t="s">
        <v>1367</v>
      </c>
      <c r="AD58" t="s">
        <v>1368</v>
      </c>
      <c r="AE58" t="s">
        <v>1369</v>
      </c>
      <c r="AF58" t="s">
        <v>74</v>
      </c>
      <c r="AG58">
        <v>67</v>
      </c>
      <c r="AH58">
        <v>17</v>
      </c>
      <c r="AI58">
        <v>21</v>
      </c>
      <c r="AJ58">
        <v>7</v>
      </c>
      <c r="AK58">
        <v>71</v>
      </c>
      <c r="AL58" t="s">
        <v>994</v>
      </c>
      <c r="AM58" t="s">
        <v>995</v>
      </c>
      <c r="AN58" t="s">
        <v>996</v>
      </c>
      <c r="AO58" t="s">
        <v>1370</v>
      </c>
      <c r="AP58" t="s">
        <v>1371</v>
      </c>
      <c r="AQ58" t="s">
        <v>74</v>
      </c>
      <c r="AR58" t="s">
        <v>1372</v>
      </c>
      <c r="AS58" t="s">
        <v>1373</v>
      </c>
      <c r="AT58" t="s">
        <v>1001</v>
      </c>
      <c r="AU58">
        <v>2020</v>
      </c>
      <c r="AV58">
        <v>26</v>
      </c>
      <c r="AW58">
        <v>10</v>
      </c>
      <c r="AX58" t="s">
        <v>74</v>
      </c>
      <c r="AY58" t="s">
        <v>74</v>
      </c>
      <c r="AZ58" t="s">
        <v>74</v>
      </c>
      <c r="BA58" t="s">
        <v>74</v>
      </c>
      <c r="BB58">
        <v>5630</v>
      </c>
      <c r="BC58">
        <v>5645</v>
      </c>
      <c r="BD58" t="s">
        <v>74</v>
      </c>
      <c r="BE58" t="s">
        <v>1374</v>
      </c>
      <c r="BF58" t="str">
        <f>HYPERLINK("http://dx.doi.org/10.1111/gcb.15259","http://dx.doi.org/10.1111/gcb.15259")</f>
        <v>http://dx.doi.org/10.1111/gcb.15259</v>
      </c>
      <c r="BG58" t="s">
        <v>74</v>
      </c>
      <c r="BH58" t="s">
        <v>1003</v>
      </c>
      <c r="BI58">
        <v>16</v>
      </c>
      <c r="BJ58" t="s">
        <v>1375</v>
      </c>
      <c r="BK58" t="s">
        <v>102</v>
      </c>
      <c r="BL58" t="s">
        <v>1005</v>
      </c>
      <c r="BM58" t="s">
        <v>1376</v>
      </c>
      <c r="BN58">
        <v>32597547</v>
      </c>
      <c r="BO58" t="s">
        <v>74</v>
      </c>
      <c r="BP58" t="s">
        <v>74</v>
      </c>
      <c r="BQ58" t="s">
        <v>74</v>
      </c>
      <c r="BR58" t="s">
        <v>106</v>
      </c>
      <c r="BS58" t="s">
        <v>1377</v>
      </c>
      <c r="BT58" t="str">
        <f>HYPERLINK("https%3A%2F%2Fwww.webofscience.com%2Fwos%2Fwoscc%2Ffull-record%2FWOS:000553795800001","View Full Record in Web of Science")</f>
        <v>View Full Record in Web of Science</v>
      </c>
    </row>
    <row r="59" spans="1:72" x14ac:dyDescent="0.15">
      <c r="A59" t="s">
        <v>72</v>
      </c>
      <c r="B59" t="s">
        <v>1378</v>
      </c>
      <c r="C59" t="s">
        <v>74</v>
      </c>
      <c r="D59" t="s">
        <v>74</v>
      </c>
      <c r="E59" t="s">
        <v>74</v>
      </c>
      <c r="F59" t="s">
        <v>1379</v>
      </c>
      <c r="G59" t="s">
        <v>74</v>
      </c>
      <c r="H59" t="s">
        <v>74</v>
      </c>
      <c r="I59" t="s">
        <v>1380</v>
      </c>
      <c r="J59" t="s">
        <v>1106</v>
      </c>
      <c r="K59" t="s">
        <v>74</v>
      </c>
      <c r="L59" t="s">
        <v>74</v>
      </c>
      <c r="M59" t="s">
        <v>78</v>
      </c>
      <c r="N59" t="s">
        <v>79</v>
      </c>
      <c r="O59" t="s">
        <v>74</v>
      </c>
      <c r="P59" t="s">
        <v>74</v>
      </c>
      <c r="Q59" t="s">
        <v>74</v>
      </c>
      <c r="R59" t="s">
        <v>74</v>
      </c>
      <c r="S59" t="s">
        <v>74</v>
      </c>
      <c r="T59" t="s">
        <v>74</v>
      </c>
      <c r="U59" t="s">
        <v>1381</v>
      </c>
      <c r="V59" t="s">
        <v>1382</v>
      </c>
      <c r="W59" t="s">
        <v>1383</v>
      </c>
      <c r="X59" t="s">
        <v>1384</v>
      </c>
      <c r="Y59" t="s">
        <v>1385</v>
      </c>
      <c r="Z59" t="s">
        <v>1386</v>
      </c>
      <c r="AA59" t="s">
        <v>74</v>
      </c>
      <c r="AB59" t="s">
        <v>74</v>
      </c>
      <c r="AC59" t="s">
        <v>1387</v>
      </c>
      <c r="AD59" t="s">
        <v>1387</v>
      </c>
      <c r="AE59" t="s">
        <v>1388</v>
      </c>
      <c r="AF59" t="s">
        <v>74</v>
      </c>
      <c r="AG59">
        <v>50</v>
      </c>
      <c r="AH59">
        <v>13</v>
      </c>
      <c r="AI59">
        <v>13</v>
      </c>
      <c r="AJ59">
        <v>0</v>
      </c>
      <c r="AK59">
        <v>10</v>
      </c>
      <c r="AL59" t="s">
        <v>1389</v>
      </c>
      <c r="AM59" t="s">
        <v>945</v>
      </c>
      <c r="AN59" t="s">
        <v>1390</v>
      </c>
      <c r="AO59" t="s">
        <v>1121</v>
      </c>
      <c r="AP59" t="s">
        <v>74</v>
      </c>
      <c r="AQ59" t="s">
        <v>74</v>
      </c>
      <c r="AR59" t="s">
        <v>1122</v>
      </c>
      <c r="AS59" t="s">
        <v>1123</v>
      </c>
      <c r="AT59" t="s">
        <v>1391</v>
      </c>
      <c r="AU59">
        <v>2020</v>
      </c>
      <c r="AV59">
        <v>10</v>
      </c>
      <c r="AW59">
        <v>1</v>
      </c>
      <c r="AX59" t="s">
        <v>74</v>
      </c>
      <c r="AY59" t="s">
        <v>74</v>
      </c>
      <c r="AZ59" t="s">
        <v>74</v>
      </c>
      <c r="BA59" t="s">
        <v>74</v>
      </c>
      <c r="BB59" t="s">
        <v>74</v>
      </c>
      <c r="BC59" t="s">
        <v>74</v>
      </c>
      <c r="BD59">
        <v>12774</v>
      </c>
      <c r="BE59" t="s">
        <v>1392</v>
      </c>
      <c r="BF59" t="str">
        <f>HYPERLINK("http://dx.doi.org/10.1038/s41598-020-68613-y","http://dx.doi.org/10.1038/s41598-020-68613-y")</f>
        <v>http://dx.doi.org/10.1038/s41598-020-68613-y</v>
      </c>
      <c r="BG59" t="s">
        <v>74</v>
      </c>
      <c r="BH59" t="s">
        <v>74</v>
      </c>
      <c r="BI59">
        <v>8</v>
      </c>
      <c r="BJ59" t="s">
        <v>1125</v>
      </c>
      <c r="BK59" t="s">
        <v>102</v>
      </c>
      <c r="BL59" t="s">
        <v>1126</v>
      </c>
      <c r="BM59" t="s">
        <v>1393</v>
      </c>
      <c r="BN59">
        <v>32728072</v>
      </c>
      <c r="BO59" t="s">
        <v>161</v>
      </c>
      <c r="BP59" t="s">
        <v>74</v>
      </c>
      <c r="BQ59" t="s">
        <v>74</v>
      </c>
      <c r="BR59" t="s">
        <v>106</v>
      </c>
      <c r="BS59" t="s">
        <v>1394</v>
      </c>
      <c r="BT59" t="str">
        <f>HYPERLINK("https%3A%2F%2Fwww.webofscience.com%2Fwos%2Fwoscc%2Ffull-record%2FWOS:000556388300028","View Full Record in Web of Science")</f>
        <v>View Full Record in Web of Science</v>
      </c>
    </row>
    <row r="60" spans="1:72" x14ac:dyDescent="0.15">
      <c r="A60" t="s">
        <v>72</v>
      </c>
      <c r="B60" t="s">
        <v>1395</v>
      </c>
      <c r="C60" t="s">
        <v>74</v>
      </c>
      <c r="D60" t="s">
        <v>74</v>
      </c>
      <c r="E60" t="s">
        <v>74</v>
      </c>
      <c r="F60" t="s">
        <v>1396</v>
      </c>
      <c r="G60" t="s">
        <v>74</v>
      </c>
      <c r="H60" t="s">
        <v>74</v>
      </c>
      <c r="I60" t="s">
        <v>1397</v>
      </c>
      <c r="J60" t="s">
        <v>1398</v>
      </c>
      <c r="K60" t="s">
        <v>74</v>
      </c>
      <c r="L60" t="s">
        <v>74</v>
      </c>
      <c r="M60" t="s">
        <v>78</v>
      </c>
      <c r="N60" t="s">
        <v>79</v>
      </c>
      <c r="O60" t="s">
        <v>74</v>
      </c>
      <c r="P60" t="s">
        <v>74</v>
      </c>
      <c r="Q60" t="s">
        <v>74</v>
      </c>
      <c r="R60" t="s">
        <v>74</v>
      </c>
      <c r="S60" t="s">
        <v>74</v>
      </c>
      <c r="T60" t="s">
        <v>1399</v>
      </c>
      <c r="U60" t="s">
        <v>1400</v>
      </c>
      <c r="V60" t="s">
        <v>1401</v>
      </c>
      <c r="W60" t="s">
        <v>1402</v>
      </c>
      <c r="X60" t="s">
        <v>1403</v>
      </c>
      <c r="Y60" t="s">
        <v>1404</v>
      </c>
      <c r="Z60" t="s">
        <v>1405</v>
      </c>
      <c r="AA60" t="s">
        <v>1406</v>
      </c>
      <c r="AB60" t="s">
        <v>1407</v>
      </c>
      <c r="AC60" t="s">
        <v>1408</v>
      </c>
      <c r="AD60" t="s">
        <v>1409</v>
      </c>
      <c r="AE60" t="s">
        <v>1410</v>
      </c>
      <c r="AF60" t="s">
        <v>74</v>
      </c>
      <c r="AG60">
        <v>52</v>
      </c>
      <c r="AH60">
        <v>7</v>
      </c>
      <c r="AI60">
        <v>7</v>
      </c>
      <c r="AJ60">
        <v>4</v>
      </c>
      <c r="AK60">
        <v>30</v>
      </c>
      <c r="AL60" t="s">
        <v>1411</v>
      </c>
      <c r="AM60" t="s">
        <v>1412</v>
      </c>
      <c r="AN60" t="s">
        <v>1413</v>
      </c>
      <c r="AO60" t="s">
        <v>1414</v>
      </c>
      <c r="AP60" t="s">
        <v>1415</v>
      </c>
      <c r="AQ60" t="s">
        <v>74</v>
      </c>
      <c r="AR60" t="s">
        <v>1416</v>
      </c>
      <c r="AS60" t="s">
        <v>1417</v>
      </c>
      <c r="AT60" t="s">
        <v>1418</v>
      </c>
      <c r="AU60">
        <v>2021</v>
      </c>
      <c r="AV60">
        <v>14</v>
      </c>
      <c r="AW60">
        <v>1</v>
      </c>
      <c r="AX60" t="s">
        <v>74</v>
      </c>
      <c r="AY60" t="s">
        <v>74</v>
      </c>
      <c r="AZ60" t="s">
        <v>74</v>
      </c>
      <c r="BA60" t="s">
        <v>74</v>
      </c>
      <c r="BB60">
        <v>88</v>
      </c>
      <c r="BC60">
        <v>105</v>
      </c>
      <c r="BD60" t="s">
        <v>74</v>
      </c>
      <c r="BE60" t="s">
        <v>1419</v>
      </c>
      <c r="BF60" t="str">
        <f>HYPERLINK("http://dx.doi.org/10.1080/17538947.2020.1798522","http://dx.doi.org/10.1080/17538947.2020.1798522")</f>
        <v>http://dx.doi.org/10.1080/17538947.2020.1798522</v>
      </c>
      <c r="BG60" t="s">
        <v>74</v>
      </c>
      <c r="BH60" t="s">
        <v>1003</v>
      </c>
      <c r="BI60">
        <v>18</v>
      </c>
      <c r="BJ60" t="s">
        <v>1420</v>
      </c>
      <c r="BK60" t="s">
        <v>102</v>
      </c>
      <c r="BL60" t="s">
        <v>1421</v>
      </c>
      <c r="BM60" t="s">
        <v>1422</v>
      </c>
      <c r="BN60" t="s">
        <v>74</v>
      </c>
      <c r="BO60" t="s">
        <v>189</v>
      </c>
      <c r="BP60" t="s">
        <v>74</v>
      </c>
      <c r="BQ60" t="s">
        <v>74</v>
      </c>
      <c r="BR60" t="s">
        <v>106</v>
      </c>
      <c r="BS60" t="s">
        <v>1423</v>
      </c>
      <c r="BT60" t="str">
        <f>HYPERLINK("https%3A%2F%2Fwww.webofscience.com%2Fwos%2Fwoscc%2Ffull-record%2FWOS:000555138600001","View Full Record in Web of Science")</f>
        <v>View Full Record in Web of Science</v>
      </c>
    </row>
    <row r="61" spans="1:72" x14ac:dyDescent="0.15">
      <c r="A61" t="s">
        <v>72</v>
      </c>
      <c r="B61" t="s">
        <v>1424</v>
      </c>
      <c r="C61" t="s">
        <v>74</v>
      </c>
      <c r="D61" t="s">
        <v>74</v>
      </c>
      <c r="E61" t="s">
        <v>74</v>
      </c>
      <c r="F61" t="s">
        <v>1425</v>
      </c>
      <c r="G61" t="s">
        <v>74</v>
      </c>
      <c r="H61" t="s">
        <v>74</v>
      </c>
      <c r="I61" t="s">
        <v>1426</v>
      </c>
      <c r="J61" t="s">
        <v>1427</v>
      </c>
      <c r="K61" t="s">
        <v>74</v>
      </c>
      <c r="L61" t="s">
        <v>74</v>
      </c>
      <c r="M61" t="s">
        <v>78</v>
      </c>
      <c r="N61" t="s">
        <v>79</v>
      </c>
      <c r="O61" t="s">
        <v>74</v>
      </c>
      <c r="P61" t="s">
        <v>74</v>
      </c>
      <c r="Q61" t="s">
        <v>74</v>
      </c>
      <c r="R61" t="s">
        <v>74</v>
      </c>
      <c r="S61" t="s">
        <v>74</v>
      </c>
      <c r="T61" t="s">
        <v>1428</v>
      </c>
      <c r="U61" t="s">
        <v>1429</v>
      </c>
      <c r="V61" t="s">
        <v>1430</v>
      </c>
      <c r="W61" t="s">
        <v>1431</v>
      </c>
      <c r="X61" t="s">
        <v>1432</v>
      </c>
      <c r="Y61" t="s">
        <v>1433</v>
      </c>
      <c r="Z61" t="s">
        <v>1434</v>
      </c>
      <c r="AA61" t="s">
        <v>1435</v>
      </c>
      <c r="AB61" t="s">
        <v>1436</v>
      </c>
      <c r="AC61" t="s">
        <v>1437</v>
      </c>
      <c r="AD61" t="s">
        <v>1438</v>
      </c>
      <c r="AE61" t="s">
        <v>1439</v>
      </c>
      <c r="AF61" t="s">
        <v>74</v>
      </c>
      <c r="AG61">
        <v>39</v>
      </c>
      <c r="AH61">
        <v>19</v>
      </c>
      <c r="AI61">
        <v>19</v>
      </c>
      <c r="AJ61">
        <v>0</v>
      </c>
      <c r="AK61">
        <v>15</v>
      </c>
      <c r="AL61" t="s">
        <v>1440</v>
      </c>
      <c r="AM61" t="s">
        <v>399</v>
      </c>
      <c r="AN61" t="s">
        <v>1441</v>
      </c>
      <c r="AO61" t="s">
        <v>1442</v>
      </c>
      <c r="AP61" t="s">
        <v>1443</v>
      </c>
      <c r="AQ61" t="s">
        <v>74</v>
      </c>
      <c r="AR61" t="s">
        <v>1427</v>
      </c>
      <c r="AS61" t="s">
        <v>1444</v>
      </c>
      <c r="AT61" t="s">
        <v>1176</v>
      </c>
      <c r="AU61">
        <v>2020</v>
      </c>
      <c r="AV61">
        <v>194</v>
      </c>
      <c r="AW61">
        <v>4</v>
      </c>
      <c r="AX61" t="s">
        <v>74</v>
      </c>
      <c r="AY61" t="s">
        <v>74</v>
      </c>
      <c r="AZ61" t="s">
        <v>74</v>
      </c>
      <c r="BA61" t="s">
        <v>74</v>
      </c>
      <c r="BB61">
        <v>529</v>
      </c>
      <c r="BC61">
        <v>539</v>
      </c>
      <c r="BD61" t="s">
        <v>74</v>
      </c>
      <c r="BE61" t="s">
        <v>1445</v>
      </c>
      <c r="BF61" t="str">
        <f>HYPERLINK("http://dx.doi.org/10.1007/s00442-020-04714-9","http://dx.doi.org/10.1007/s00442-020-04714-9")</f>
        <v>http://dx.doi.org/10.1007/s00442-020-04714-9</v>
      </c>
      <c r="BG61" t="s">
        <v>74</v>
      </c>
      <c r="BH61" t="s">
        <v>1003</v>
      </c>
      <c r="BI61">
        <v>11</v>
      </c>
      <c r="BJ61" t="s">
        <v>1446</v>
      </c>
      <c r="BK61" t="s">
        <v>102</v>
      </c>
      <c r="BL61" t="s">
        <v>103</v>
      </c>
      <c r="BM61" t="s">
        <v>1447</v>
      </c>
      <c r="BN61">
        <v>32725300</v>
      </c>
      <c r="BO61" t="s">
        <v>448</v>
      </c>
      <c r="BP61" t="s">
        <v>74</v>
      </c>
      <c r="BQ61" t="s">
        <v>74</v>
      </c>
      <c r="BR61" t="s">
        <v>106</v>
      </c>
      <c r="BS61" t="s">
        <v>1448</v>
      </c>
      <c r="BT61" t="str">
        <f>HYPERLINK("https%3A%2F%2Fwww.webofscience.com%2Fwos%2Fwoscc%2Ffull-record%2FWOS:000555600400001","View Full Record in Web of Science")</f>
        <v>View Full Record in Web of Science</v>
      </c>
    </row>
    <row r="62" spans="1:72" x14ac:dyDescent="0.15">
      <c r="A62" t="s">
        <v>72</v>
      </c>
      <c r="B62" t="s">
        <v>1449</v>
      </c>
      <c r="C62" t="s">
        <v>74</v>
      </c>
      <c r="D62" t="s">
        <v>74</v>
      </c>
      <c r="E62" t="s">
        <v>74</v>
      </c>
      <c r="F62" t="s">
        <v>1450</v>
      </c>
      <c r="G62" t="s">
        <v>74</v>
      </c>
      <c r="H62" t="s">
        <v>74</v>
      </c>
      <c r="I62" t="s">
        <v>1451</v>
      </c>
      <c r="J62" t="s">
        <v>1452</v>
      </c>
      <c r="K62" t="s">
        <v>74</v>
      </c>
      <c r="L62" t="s">
        <v>74</v>
      </c>
      <c r="M62" t="s">
        <v>78</v>
      </c>
      <c r="N62" t="s">
        <v>79</v>
      </c>
      <c r="O62" t="s">
        <v>74</v>
      </c>
      <c r="P62" t="s">
        <v>74</v>
      </c>
      <c r="Q62" t="s">
        <v>74</v>
      </c>
      <c r="R62" t="s">
        <v>74</v>
      </c>
      <c r="S62" t="s">
        <v>74</v>
      </c>
      <c r="T62" t="s">
        <v>1453</v>
      </c>
      <c r="U62" t="s">
        <v>1454</v>
      </c>
      <c r="V62" t="s">
        <v>1455</v>
      </c>
      <c r="W62" t="s">
        <v>1456</v>
      </c>
      <c r="X62" t="s">
        <v>1457</v>
      </c>
      <c r="Y62" t="s">
        <v>1458</v>
      </c>
      <c r="Z62" t="s">
        <v>1459</v>
      </c>
      <c r="AA62" t="s">
        <v>74</v>
      </c>
      <c r="AB62" t="s">
        <v>1460</v>
      </c>
      <c r="AC62" t="s">
        <v>1461</v>
      </c>
      <c r="AD62" t="s">
        <v>1462</v>
      </c>
      <c r="AE62" t="s">
        <v>1463</v>
      </c>
      <c r="AF62" t="s">
        <v>74</v>
      </c>
      <c r="AG62">
        <v>51</v>
      </c>
      <c r="AH62">
        <v>18</v>
      </c>
      <c r="AI62">
        <v>20</v>
      </c>
      <c r="AJ62">
        <v>1</v>
      </c>
      <c r="AK62">
        <v>22</v>
      </c>
      <c r="AL62" t="s">
        <v>1464</v>
      </c>
      <c r="AM62" t="s">
        <v>945</v>
      </c>
      <c r="AN62" t="s">
        <v>1465</v>
      </c>
      <c r="AO62" t="s">
        <v>1466</v>
      </c>
      <c r="AP62" t="s">
        <v>1467</v>
      </c>
      <c r="AQ62" t="s">
        <v>74</v>
      </c>
      <c r="AR62" t="s">
        <v>1468</v>
      </c>
      <c r="AS62" t="s">
        <v>1469</v>
      </c>
      <c r="AT62" t="s">
        <v>1391</v>
      </c>
      <c r="AU62">
        <v>2020</v>
      </c>
      <c r="AV62">
        <v>287</v>
      </c>
      <c r="AW62">
        <v>1931</v>
      </c>
      <c r="AX62" t="s">
        <v>74</v>
      </c>
      <c r="AY62" t="s">
        <v>74</v>
      </c>
      <c r="AZ62" t="s">
        <v>74</v>
      </c>
      <c r="BA62" t="s">
        <v>74</v>
      </c>
      <c r="BB62" t="s">
        <v>74</v>
      </c>
      <c r="BC62" t="s">
        <v>74</v>
      </c>
      <c r="BD62">
        <v>20201134</v>
      </c>
      <c r="BE62" t="s">
        <v>1470</v>
      </c>
      <c r="BF62" t="str">
        <f>HYPERLINK("http://dx.doi.org/10.1098/rspb.2020.1134","http://dx.doi.org/10.1098/rspb.2020.1134")</f>
        <v>http://dx.doi.org/10.1098/rspb.2020.1134</v>
      </c>
      <c r="BG62" t="s">
        <v>74</v>
      </c>
      <c r="BH62" t="s">
        <v>74</v>
      </c>
      <c r="BI62">
        <v>9</v>
      </c>
      <c r="BJ62" t="s">
        <v>1471</v>
      </c>
      <c r="BK62" t="s">
        <v>102</v>
      </c>
      <c r="BL62" t="s">
        <v>1472</v>
      </c>
      <c r="BM62" t="s">
        <v>1473</v>
      </c>
      <c r="BN62">
        <v>32693727</v>
      </c>
      <c r="BO62" t="s">
        <v>1474</v>
      </c>
      <c r="BP62" t="s">
        <v>74</v>
      </c>
      <c r="BQ62" t="s">
        <v>74</v>
      </c>
      <c r="BR62" t="s">
        <v>106</v>
      </c>
      <c r="BS62" t="s">
        <v>1475</v>
      </c>
      <c r="BT62" t="str">
        <f>HYPERLINK("https%3A%2F%2Fwww.webofscience.com%2Fwos%2Fwoscc%2Ffull-record%2FWOS:000554927100014","View Full Record in Web of Science")</f>
        <v>View Full Record in Web of Science</v>
      </c>
    </row>
    <row r="63" spans="1:72" x14ac:dyDescent="0.15">
      <c r="A63" t="s">
        <v>72</v>
      </c>
      <c r="B63" t="s">
        <v>1476</v>
      </c>
      <c r="C63" t="s">
        <v>74</v>
      </c>
      <c r="D63" t="s">
        <v>74</v>
      </c>
      <c r="E63" t="s">
        <v>74</v>
      </c>
      <c r="F63" t="s">
        <v>1477</v>
      </c>
      <c r="G63" t="s">
        <v>74</v>
      </c>
      <c r="H63" t="s">
        <v>74</v>
      </c>
      <c r="I63" t="s">
        <v>1478</v>
      </c>
      <c r="J63" t="s">
        <v>1479</v>
      </c>
      <c r="K63" t="s">
        <v>74</v>
      </c>
      <c r="L63" t="s">
        <v>74</v>
      </c>
      <c r="M63" t="s">
        <v>78</v>
      </c>
      <c r="N63" t="s">
        <v>79</v>
      </c>
      <c r="O63" t="s">
        <v>74</v>
      </c>
      <c r="P63" t="s">
        <v>74</v>
      </c>
      <c r="Q63" t="s">
        <v>74</v>
      </c>
      <c r="R63" t="s">
        <v>74</v>
      </c>
      <c r="S63" t="s">
        <v>74</v>
      </c>
      <c r="T63" t="s">
        <v>1480</v>
      </c>
      <c r="U63" t="s">
        <v>1481</v>
      </c>
      <c r="V63" t="s">
        <v>1482</v>
      </c>
      <c r="W63" t="s">
        <v>1483</v>
      </c>
      <c r="X63" t="s">
        <v>1484</v>
      </c>
      <c r="Y63" t="s">
        <v>1485</v>
      </c>
      <c r="Z63" t="s">
        <v>1486</v>
      </c>
      <c r="AA63" t="s">
        <v>1487</v>
      </c>
      <c r="AB63" t="s">
        <v>1488</v>
      </c>
      <c r="AC63" t="s">
        <v>1489</v>
      </c>
      <c r="AD63" t="s">
        <v>1490</v>
      </c>
      <c r="AE63" t="s">
        <v>1491</v>
      </c>
      <c r="AF63" t="s">
        <v>74</v>
      </c>
      <c r="AG63">
        <v>55</v>
      </c>
      <c r="AH63">
        <v>0</v>
      </c>
      <c r="AI63">
        <v>0</v>
      </c>
      <c r="AJ63">
        <v>0</v>
      </c>
      <c r="AK63">
        <v>6</v>
      </c>
      <c r="AL63" t="s">
        <v>1492</v>
      </c>
      <c r="AM63" t="s">
        <v>1493</v>
      </c>
      <c r="AN63" t="s">
        <v>1494</v>
      </c>
      <c r="AO63" t="s">
        <v>1495</v>
      </c>
      <c r="AP63" t="s">
        <v>74</v>
      </c>
      <c r="AQ63" t="s">
        <v>74</v>
      </c>
      <c r="AR63" t="s">
        <v>1496</v>
      </c>
      <c r="AS63" t="s">
        <v>1497</v>
      </c>
      <c r="AT63" t="s">
        <v>1391</v>
      </c>
      <c r="AU63">
        <v>2020</v>
      </c>
      <c r="AV63">
        <v>72</v>
      </c>
      <c r="AW63">
        <v>3</v>
      </c>
      <c r="AX63" t="s">
        <v>74</v>
      </c>
      <c r="AY63" t="s">
        <v>74</v>
      </c>
      <c r="AZ63" t="s">
        <v>74</v>
      </c>
      <c r="BA63" t="s">
        <v>74</v>
      </c>
      <c r="BB63">
        <v>81</v>
      </c>
      <c r="BC63">
        <v>100</v>
      </c>
      <c r="BD63" t="s">
        <v>74</v>
      </c>
      <c r="BE63" t="s">
        <v>1498</v>
      </c>
      <c r="BF63" t="str">
        <f>HYPERLINK("http://dx.doi.org/10.3853/j.2201-4349.72.2020.1762","http://dx.doi.org/10.3853/j.2201-4349.72.2020.1762")</f>
        <v>http://dx.doi.org/10.3853/j.2201-4349.72.2020.1762</v>
      </c>
      <c r="BG63" t="s">
        <v>74</v>
      </c>
      <c r="BH63" t="s">
        <v>74</v>
      </c>
      <c r="BI63">
        <v>20</v>
      </c>
      <c r="BJ63" t="s">
        <v>1499</v>
      </c>
      <c r="BK63" t="s">
        <v>102</v>
      </c>
      <c r="BL63" t="s">
        <v>1499</v>
      </c>
      <c r="BM63" t="s">
        <v>1500</v>
      </c>
      <c r="BN63" t="s">
        <v>74</v>
      </c>
      <c r="BO63" t="s">
        <v>161</v>
      </c>
      <c r="BP63" t="s">
        <v>74</v>
      </c>
      <c r="BQ63" t="s">
        <v>74</v>
      </c>
      <c r="BR63" t="s">
        <v>106</v>
      </c>
      <c r="BS63" t="s">
        <v>1501</v>
      </c>
      <c r="BT63" t="str">
        <f>HYPERLINK("https%3A%2F%2Fwww.webofscience.com%2Fwos%2Fwoscc%2Ffull-record%2FWOS:000553577700003","View Full Record in Web of Science")</f>
        <v>View Full Record in Web of Science</v>
      </c>
    </row>
    <row r="64" spans="1:72" x14ac:dyDescent="0.15">
      <c r="A64" t="s">
        <v>72</v>
      </c>
      <c r="B64" t="s">
        <v>1502</v>
      </c>
      <c r="C64" t="s">
        <v>74</v>
      </c>
      <c r="D64" t="s">
        <v>74</v>
      </c>
      <c r="E64" t="s">
        <v>74</v>
      </c>
      <c r="F64" t="s">
        <v>1503</v>
      </c>
      <c r="G64" t="s">
        <v>74</v>
      </c>
      <c r="H64" t="s">
        <v>74</v>
      </c>
      <c r="I64" t="s">
        <v>1504</v>
      </c>
      <c r="J64" t="s">
        <v>1505</v>
      </c>
      <c r="K64" t="s">
        <v>74</v>
      </c>
      <c r="L64" t="s">
        <v>74</v>
      </c>
      <c r="M64" t="s">
        <v>78</v>
      </c>
      <c r="N64" t="s">
        <v>79</v>
      </c>
      <c r="O64" t="s">
        <v>74</v>
      </c>
      <c r="P64" t="s">
        <v>74</v>
      </c>
      <c r="Q64" t="s">
        <v>74</v>
      </c>
      <c r="R64" t="s">
        <v>74</v>
      </c>
      <c r="S64" t="s">
        <v>74</v>
      </c>
      <c r="T64" t="s">
        <v>74</v>
      </c>
      <c r="U64" t="s">
        <v>1506</v>
      </c>
      <c r="V64" t="s">
        <v>1507</v>
      </c>
      <c r="W64" t="s">
        <v>1508</v>
      </c>
      <c r="X64" t="s">
        <v>1509</v>
      </c>
      <c r="Y64" t="s">
        <v>1510</v>
      </c>
      <c r="Z64" t="s">
        <v>1511</v>
      </c>
      <c r="AA64" t="s">
        <v>1512</v>
      </c>
      <c r="AB64" t="s">
        <v>1513</v>
      </c>
      <c r="AC64" t="s">
        <v>1514</v>
      </c>
      <c r="AD64" t="s">
        <v>1515</v>
      </c>
      <c r="AE64" t="s">
        <v>1516</v>
      </c>
      <c r="AF64" t="s">
        <v>74</v>
      </c>
      <c r="AG64">
        <v>54</v>
      </c>
      <c r="AH64">
        <v>36</v>
      </c>
      <c r="AI64">
        <v>37</v>
      </c>
      <c r="AJ64">
        <v>0</v>
      </c>
      <c r="AK64">
        <v>29</v>
      </c>
      <c r="AL64" t="s">
        <v>151</v>
      </c>
      <c r="AM64" t="s">
        <v>152</v>
      </c>
      <c r="AN64" t="s">
        <v>153</v>
      </c>
      <c r="AO64" t="s">
        <v>1517</v>
      </c>
      <c r="AP64" t="s">
        <v>1518</v>
      </c>
      <c r="AQ64" t="s">
        <v>74</v>
      </c>
      <c r="AR64" t="s">
        <v>1519</v>
      </c>
      <c r="AS64" t="s">
        <v>1520</v>
      </c>
      <c r="AT64" t="s">
        <v>1521</v>
      </c>
      <c r="AU64">
        <v>2020</v>
      </c>
      <c r="AV64">
        <v>47</v>
      </c>
      <c r="AW64">
        <v>14</v>
      </c>
      <c r="AX64" t="s">
        <v>74</v>
      </c>
      <c r="AY64" t="s">
        <v>74</v>
      </c>
      <c r="AZ64" t="s">
        <v>74</v>
      </c>
      <c r="BA64" t="s">
        <v>74</v>
      </c>
      <c r="BB64" t="s">
        <v>74</v>
      </c>
      <c r="BC64" t="s">
        <v>74</v>
      </c>
      <c r="BD64" t="s">
        <v>1522</v>
      </c>
      <c r="BE64" t="s">
        <v>1523</v>
      </c>
      <c r="BF64" t="str">
        <f>HYPERLINK("http://dx.doi.org/10.1029/2020GL087810","http://dx.doi.org/10.1029/2020GL087810")</f>
        <v>http://dx.doi.org/10.1029/2020GL087810</v>
      </c>
      <c r="BG64" t="s">
        <v>74</v>
      </c>
      <c r="BH64" t="s">
        <v>74</v>
      </c>
      <c r="BI64">
        <v>10</v>
      </c>
      <c r="BJ64" t="s">
        <v>471</v>
      </c>
      <c r="BK64" t="s">
        <v>102</v>
      </c>
      <c r="BL64" t="s">
        <v>472</v>
      </c>
      <c r="BM64" t="s">
        <v>1524</v>
      </c>
      <c r="BN64" t="s">
        <v>74</v>
      </c>
      <c r="BO64" t="s">
        <v>294</v>
      </c>
      <c r="BP64" t="s">
        <v>74</v>
      </c>
      <c r="BQ64" t="s">
        <v>74</v>
      </c>
      <c r="BR64" t="s">
        <v>106</v>
      </c>
      <c r="BS64" t="s">
        <v>1525</v>
      </c>
      <c r="BT64" t="str">
        <f>HYPERLINK("https%3A%2F%2Fwww.webofscience.com%2Fwos%2Fwoscc%2Ffull-record%2FWOS:000556707300053","View Full Record in Web of Science")</f>
        <v>View Full Record in Web of Science</v>
      </c>
    </row>
    <row r="65" spans="1:72" x14ac:dyDescent="0.15">
      <c r="A65" t="s">
        <v>72</v>
      </c>
      <c r="B65" t="s">
        <v>1526</v>
      </c>
      <c r="C65" t="s">
        <v>74</v>
      </c>
      <c r="D65" t="s">
        <v>74</v>
      </c>
      <c r="E65" t="s">
        <v>74</v>
      </c>
      <c r="F65" t="s">
        <v>1527</v>
      </c>
      <c r="G65" t="s">
        <v>74</v>
      </c>
      <c r="H65" t="s">
        <v>74</v>
      </c>
      <c r="I65" t="s">
        <v>1528</v>
      </c>
      <c r="J65" t="s">
        <v>1505</v>
      </c>
      <c r="K65" t="s">
        <v>74</v>
      </c>
      <c r="L65" t="s">
        <v>74</v>
      </c>
      <c r="M65" t="s">
        <v>78</v>
      </c>
      <c r="N65" t="s">
        <v>79</v>
      </c>
      <c r="O65" t="s">
        <v>74</v>
      </c>
      <c r="P65" t="s">
        <v>74</v>
      </c>
      <c r="Q65" t="s">
        <v>74</v>
      </c>
      <c r="R65" t="s">
        <v>74</v>
      </c>
      <c r="S65" t="s">
        <v>74</v>
      </c>
      <c r="T65" t="s">
        <v>1529</v>
      </c>
      <c r="U65" t="s">
        <v>1530</v>
      </c>
      <c r="V65" t="s">
        <v>1531</v>
      </c>
      <c r="W65" t="s">
        <v>1532</v>
      </c>
      <c r="X65" t="s">
        <v>1533</v>
      </c>
      <c r="Y65" t="s">
        <v>1534</v>
      </c>
      <c r="Z65" t="s">
        <v>1535</v>
      </c>
      <c r="AA65" t="s">
        <v>1536</v>
      </c>
      <c r="AB65" t="s">
        <v>1537</v>
      </c>
      <c r="AC65" t="s">
        <v>1538</v>
      </c>
      <c r="AD65" t="s">
        <v>1539</v>
      </c>
      <c r="AE65" t="s">
        <v>1540</v>
      </c>
      <c r="AF65" t="s">
        <v>74</v>
      </c>
      <c r="AG65">
        <v>47</v>
      </c>
      <c r="AH65">
        <v>47</v>
      </c>
      <c r="AI65">
        <v>52</v>
      </c>
      <c r="AJ65">
        <v>1</v>
      </c>
      <c r="AK65">
        <v>11</v>
      </c>
      <c r="AL65" t="s">
        <v>151</v>
      </c>
      <c r="AM65" t="s">
        <v>152</v>
      </c>
      <c r="AN65" t="s">
        <v>153</v>
      </c>
      <c r="AO65" t="s">
        <v>1517</v>
      </c>
      <c r="AP65" t="s">
        <v>1518</v>
      </c>
      <c r="AQ65" t="s">
        <v>74</v>
      </c>
      <c r="AR65" t="s">
        <v>1519</v>
      </c>
      <c r="AS65" t="s">
        <v>1520</v>
      </c>
      <c r="AT65" t="s">
        <v>1521</v>
      </c>
      <c r="AU65">
        <v>2020</v>
      </c>
      <c r="AV65">
        <v>47</v>
      </c>
      <c r="AW65">
        <v>14</v>
      </c>
      <c r="AX65" t="s">
        <v>74</v>
      </c>
      <c r="AY65" t="s">
        <v>74</v>
      </c>
      <c r="AZ65" t="s">
        <v>74</v>
      </c>
      <c r="BA65" t="s">
        <v>74</v>
      </c>
      <c r="BB65" t="s">
        <v>74</v>
      </c>
      <c r="BC65" t="s">
        <v>74</v>
      </c>
      <c r="BD65" t="s">
        <v>1541</v>
      </c>
      <c r="BE65" t="s">
        <v>1542</v>
      </c>
      <c r="BF65" t="str">
        <f>HYPERLINK("http://dx.doi.org/10.1029/2020GL086955","http://dx.doi.org/10.1029/2020GL086955")</f>
        <v>http://dx.doi.org/10.1029/2020GL086955</v>
      </c>
      <c r="BG65" t="s">
        <v>74</v>
      </c>
      <c r="BH65" t="s">
        <v>74</v>
      </c>
      <c r="BI65">
        <v>8</v>
      </c>
      <c r="BJ65" t="s">
        <v>471</v>
      </c>
      <c r="BK65" t="s">
        <v>102</v>
      </c>
      <c r="BL65" t="s">
        <v>472</v>
      </c>
      <c r="BM65" t="s">
        <v>1524</v>
      </c>
      <c r="BN65" t="s">
        <v>74</v>
      </c>
      <c r="BO65" t="s">
        <v>74</v>
      </c>
      <c r="BP65" t="s">
        <v>74</v>
      </c>
      <c r="BQ65" t="s">
        <v>74</v>
      </c>
      <c r="BR65" t="s">
        <v>106</v>
      </c>
      <c r="BS65" t="s">
        <v>1543</v>
      </c>
      <c r="BT65" t="str">
        <f>HYPERLINK("https%3A%2F%2Fwww.webofscience.com%2Fwos%2Fwoscc%2Ffull-record%2FWOS:000556707300055","View Full Record in Web of Science")</f>
        <v>View Full Record in Web of Science</v>
      </c>
    </row>
    <row r="66" spans="1:72" x14ac:dyDescent="0.15">
      <c r="A66" t="s">
        <v>72</v>
      </c>
      <c r="B66" t="s">
        <v>1544</v>
      </c>
      <c r="C66" t="s">
        <v>74</v>
      </c>
      <c r="D66" t="s">
        <v>74</v>
      </c>
      <c r="E66" t="s">
        <v>74</v>
      </c>
      <c r="F66" t="s">
        <v>1545</v>
      </c>
      <c r="G66" t="s">
        <v>74</v>
      </c>
      <c r="H66" t="s">
        <v>74</v>
      </c>
      <c r="I66" t="s">
        <v>1546</v>
      </c>
      <c r="J66" t="s">
        <v>1547</v>
      </c>
      <c r="K66" t="s">
        <v>74</v>
      </c>
      <c r="L66" t="s">
        <v>74</v>
      </c>
      <c r="M66" t="s">
        <v>78</v>
      </c>
      <c r="N66" t="s">
        <v>79</v>
      </c>
      <c r="O66" t="s">
        <v>74</v>
      </c>
      <c r="P66" t="s">
        <v>74</v>
      </c>
      <c r="Q66" t="s">
        <v>74</v>
      </c>
      <c r="R66" t="s">
        <v>74</v>
      </c>
      <c r="S66" t="s">
        <v>74</v>
      </c>
      <c r="T66" t="s">
        <v>1548</v>
      </c>
      <c r="U66" t="s">
        <v>1549</v>
      </c>
      <c r="V66" t="s">
        <v>1550</v>
      </c>
      <c r="W66" t="s">
        <v>1551</v>
      </c>
      <c r="X66" t="s">
        <v>1552</v>
      </c>
      <c r="Y66" t="s">
        <v>1553</v>
      </c>
      <c r="Z66" t="s">
        <v>1554</v>
      </c>
      <c r="AA66" t="s">
        <v>1555</v>
      </c>
      <c r="AB66" t="s">
        <v>1556</v>
      </c>
      <c r="AC66" t="s">
        <v>1557</v>
      </c>
      <c r="AD66" t="s">
        <v>1558</v>
      </c>
      <c r="AE66" t="s">
        <v>1559</v>
      </c>
      <c r="AF66" t="s">
        <v>74</v>
      </c>
      <c r="AG66">
        <v>73</v>
      </c>
      <c r="AH66">
        <v>15</v>
      </c>
      <c r="AI66">
        <v>15</v>
      </c>
      <c r="AJ66">
        <v>1</v>
      </c>
      <c r="AK66">
        <v>8</v>
      </c>
      <c r="AL66" t="s">
        <v>1560</v>
      </c>
      <c r="AM66" t="s">
        <v>945</v>
      </c>
      <c r="AN66" t="s">
        <v>1561</v>
      </c>
      <c r="AO66" t="s">
        <v>1562</v>
      </c>
      <c r="AP66" t="s">
        <v>74</v>
      </c>
      <c r="AQ66" t="s">
        <v>74</v>
      </c>
      <c r="AR66" t="s">
        <v>1547</v>
      </c>
      <c r="AS66" t="s">
        <v>1563</v>
      </c>
      <c r="AT66" t="s">
        <v>1521</v>
      </c>
      <c r="AU66">
        <v>2020</v>
      </c>
      <c r="AV66">
        <v>8</v>
      </c>
      <c r="AW66" t="s">
        <v>74</v>
      </c>
      <c r="AX66" t="s">
        <v>74</v>
      </c>
      <c r="AY66" t="s">
        <v>74</v>
      </c>
      <c r="AZ66" t="s">
        <v>74</v>
      </c>
      <c r="BA66" t="s">
        <v>74</v>
      </c>
      <c r="BB66" t="s">
        <v>74</v>
      </c>
      <c r="BC66" t="s">
        <v>74</v>
      </c>
      <c r="BD66" t="s">
        <v>1564</v>
      </c>
      <c r="BE66" t="s">
        <v>1565</v>
      </c>
      <c r="BF66" t="str">
        <f>HYPERLINK("http://dx.doi.org/10.7717/peerj.9613","http://dx.doi.org/10.7717/peerj.9613")</f>
        <v>http://dx.doi.org/10.7717/peerj.9613</v>
      </c>
      <c r="BG66" t="s">
        <v>74</v>
      </c>
      <c r="BH66" t="s">
        <v>74</v>
      </c>
      <c r="BI66">
        <v>23</v>
      </c>
      <c r="BJ66" t="s">
        <v>1125</v>
      </c>
      <c r="BK66" t="s">
        <v>102</v>
      </c>
      <c r="BL66" t="s">
        <v>1126</v>
      </c>
      <c r="BM66" t="s">
        <v>1566</v>
      </c>
      <c r="BN66">
        <v>33194336</v>
      </c>
      <c r="BO66" t="s">
        <v>1567</v>
      </c>
      <c r="BP66" t="s">
        <v>74</v>
      </c>
      <c r="BQ66" t="s">
        <v>74</v>
      </c>
      <c r="BR66" t="s">
        <v>106</v>
      </c>
      <c r="BS66" t="s">
        <v>1568</v>
      </c>
      <c r="BT66" t="str">
        <f>HYPERLINK("https%3A%2F%2Fwww.webofscience.com%2Fwos%2Fwoscc%2Ffull-record%2FWOS:000552899800012","View Full Record in Web of Science")</f>
        <v>View Full Record in Web of Science</v>
      </c>
    </row>
    <row r="67" spans="1:72" x14ac:dyDescent="0.15">
      <c r="A67" t="s">
        <v>72</v>
      </c>
      <c r="B67" t="s">
        <v>1569</v>
      </c>
      <c r="C67" t="s">
        <v>74</v>
      </c>
      <c r="D67" t="s">
        <v>74</v>
      </c>
      <c r="E67" t="s">
        <v>74</v>
      </c>
      <c r="F67" t="s">
        <v>1570</v>
      </c>
      <c r="G67" t="s">
        <v>74</v>
      </c>
      <c r="H67" t="s">
        <v>74</v>
      </c>
      <c r="I67" t="s">
        <v>1571</v>
      </c>
      <c r="J67" t="s">
        <v>1572</v>
      </c>
      <c r="K67" t="s">
        <v>74</v>
      </c>
      <c r="L67" t="s">
        <v>74</v>
      </c>
      <c r="M67" t="s">
        <v>78</v>
      </c>
      <c r="N67" t="s">
        <v>79</v>
      </c>
      <c r="O67" t="s">
        <v>74</v>
      </c>
      <c r="P67" t="s">
        <v>74</v>
      </c>
      <c r="Q67" t="s">
        <v>74</v>
      </c>
      <c r="R67" t="s">
        <v>74</v>
      </c>
      <c r="S67" t="s">
        <v>74</v>
      </c>
      <c r="T67" t="s">
        <v>1573</v>
      </c>
      <c r="U67" t="s">
        <v>1574</v>
      </c>
      <c r="V67" t="s">
        <v>1575</v>
      </c>
      <c r="W67" t="s">
        <v>1576</v>
      </c>
      <c r="X67" t="s">
        <v>1577</v>
      </c>
      <c r="Y67" t="s">
        <v>1578</v>
      </c>
      <c r="Z67" t="s">
        <v>1579</v>
      </c>
      <c r="AA67" t="s">
        <v>1580</v>
      </c>
      <c r="AB67" t="s">
        <v>1581</v>
      </c>
      <c r="AC67" t="s">
        <v>1582</v>
      </c>
      <c r="AD67" t="s">
        <v>1583</v>
      </c>
      <c r="AE67" t="s">
        <v>1584</v>
      </c>
      <c r="AF67" t="s">
        <v>74</v>
      </c>
      <c r="AG67">
        <v>80</v>
      </c>
      <c r="AH67">
        <v>24</v>
      </c>
      <c r="AI67">
        <v>25</v>
      </c>
      <c r="AJ67">
        <v>3</v>
      </c>
      <c r="AK67">
        <v>28</v>
      </c>
      <c r="AL67" t="s">
        <v>151</v>
      </c>
      <c r="AM67" t="s">
        <v>152</v>
      </c>
      <c r="AN67" t="s">
        <v>153</v>
      </c>
      <c r="AO67" t="s">
        <v>1585</v>
      </c>
      <c r="AP67" t="s">
        <v>1586</v>
      </c>
      <c r="AQ67" t="s">
        <v>74</v>
      </c>
      <c r="AR67" t="s">
        <v>1587</v>
      </c>
      <c r="AS67" t="s">
        <v>1588</v>
      </c>
      <c r="AT67" t="s">
        <v>1589</v>
      </c>
      <c r="AU67">
        <v>2020</v>
      </c>
      <c r="AV67">
        <v>125</v>
      </c>
      <c r="AW67">
        <v>14</v>
      </c>
      <c r="AX67" t="s">
        <v>74</v>
      </c>
      <c r="AY67" t="s">
        <v>74</v>
      </c>
      <c r="AZ67" t="s">
        <v>74</v>
      </c>
      <c r="BA67" t="s">
        <v>74</v>
      </c>
      <c r="BB67" t="s">
        <v>74</v>
      </c>
      <c r="BC67" t="s">
        <v>74</v>
      </c>
      <c r="BD67" t="s">
        <v>1590</v>
      </c>
      <c r="BE67" t="s">
        <v>1591</v>
      </c>
      <c r="BF67" t="str">
        <f>HYPERLINK("http://dx.doi.org/10.1029/2020JD032903","http://dx.doi.org/10.1029/2020JD032903")</f>
        <v>http://dx.doi.org/10.1029/2020JD032903</v>
      </c>
      <c r="BG67" t="s">
        <v>74</v>
      </c>
      <c r="BH67" t="s">
        <v>74</v>
      </c>
      <c r="BI67">
        <v>23</v>
      </c>
      <c r="BJ67" t="s">
        <v>159</v>
      </c>
      <c r="BK67" t="s">
        <v>102</v>
      </c>
      <c r="BL67" t="s">
        <v>159</v>
      </c>
      <c r="BM67" t="s">
        <v>1592</v>
      </c>
      <c r="BN67" t="s">
        <v>74</v>
      </c>
      <c r="BO67" t="s">
        <v>74</v>
      </c>
      <c r="BP67" t="s">
        <v>74</v>
      </c>
      <c r="BQ67" t="s">
        <v>74</v>
      </c>
      <c r="BR67" t="s">
        <v>106</v>
      </c>
      <c r="BS67" t="s">
        <v>1593</v>
      </c>
      <c r="BT67" t="str">
        <f>HYPERLINK("https%3A%2F%2Fwww.webofscience.com%2Fwos%2Fwoscc%2Ffull-record%2FWOS:000556876500009","View Full Record in Web of Science")</f>
        <v>View Full Record in Web of Science</v>
      </c>
    </row>
    <row r="68" spans="1:72" x14ac:dyDescent="0.15">
      <c r="A68" t="s">
        <v>72</v>
      </c>
      <c r="B68" t="s">
        <v>1594</v>
      </c>
      <c r="C68" t="s">
        <v>74</v>
      </c>
      <c r="D68" t="s">
        <v>74</v>
      </c>
      <c r="E68" t="s">
        <v>74</v>
      </c>
      <c r="F68" t="s">
        <v>1595</v>
      </c>
      <c r="G68" t="s">
        <v>74</v>
      </c>
      <c r="H68" t="s">
        <v>74</v>
      </c>
      <c r="I68" t="s">
        <v>1596</v>
      </c>
      <c r="J68" t="s">
        <v>1572</v>
      </c>
      <c r="K68" t="s">
        <v>74</v>
      </c>
      <c r="L68" t="s">
        <v>74</v>
      </c>
      <c r="M68" t="s">
        <v>78</v>
      </c>
      <c r="N68" t="s">
        <v>79</v>
      </c>
      <c r="O68" t="s">
        <v>74</v>
      </c>
      <c r="P68" t="s">
        <v>74</v>
      </c>
      <c r="Q68" t="s">
        <v>74</v>
      </c>
      <c r="R68" t="s">
        <v>74</v>
      </c>
      <c r="S68" t="s">
        <v>74</v>
      </c>
      <c r="T68" t="s">
        <v>1597</v>
      </c>
      <c r="U68" t="s">
        <v>1598</v>
      </c>
      <c r="V68" t="s">
        <v>1599</v>
      </c>
      <c r="W68" t="s">
        <v>1600</v>
      </c>
      <c r="X68" t="s">
        <v>1601</v>
      </c>
      <c r="Y68" t="s">
        <v>1602</v>
      </c>
      <c r="Z68" t="s">
        <v>1603</v>
      </c>
      <c r="AA68" t="s">
        <v>1604</v>
      </c>
      <c r="AB68" t="s">
        <v>1605</v>
      </c>
      <c r="AC68" t="s">
        <v>1606</v>
      </c>
      <c r="AD68" t="s">
        <v>1607</v>
      </c>
      <c r="AE68" t="s">
        <v>1608</v>
      </c>
      <c r="AF68" t="s">
        <v>74</v>
      </c>
      <c r="AG68">
        <v>75</v>
      </c>
      <c r="AH68">
        <v>122</v>
      </c>
      <c r="AI68">
        <v>124</v>
      </c>
      <c r="AJ68">
        <v>5</v>
      </c>
      <c r="AK68">
        <v>26</v>
      </c>
      <c r="AL68" t="s">
        <v>151</v>
      </c>
      <c r="AM68" t="s">
        <v>152</v>
      </c>
      <c r="AN68" t="s">
        <v>153</v>
      </c>
      <c r="AO68" t="s">
        <v>1585</v>
      </c>
      <c r="AP68" t="s">
        <v>1586</v>
      </c>
      <c r="AQ68" t="s">
        <v>74</v>
      </c>
      <c r="AR68" t="s">
        <v>1587</v>
      </c>
      <c r="AS68" t="s">
        <v>1588</v>
      </c>
      <c r="AT68" t="s">
        <v>1589</v>
      </c>
      <c r="AU68">
        <v>2020</v>
      </c>
      <c r="AV68">
        <v>125</v>
      </c>
      <c r="AW68">
        <v>14</v>
      </c>
      <c r="AX68" t="s">
        <v>74</v>
      </c>
      <c r="AY68" t="s">
        <v>74</v>
      </c>
      <c r="AZ68" t="s">
        <v>74</v>
      </c>
      <c r="BA68" t="s">
        <v>74</v>
      </c>
      <c r="BB68" t="s">
        <v>74</v>
      </c>
      <c r="BC68" t="s">
        <v>74</v>
      </c>
      <c r="BD68" t="s">
        <v>1609</v>
      </c>
      <c r="BE68" t="s">
        <v>1610</v>
      </c>
      <c r="BF68" t="str">
        <f>HYPERLINK("http://dx.doi.org/10.1029/2020JD032723","http://dx.doi.org/10.1029/2020JD032723")</f>
        <v>http://dx.doi.org/10.1029/2020JD032723</v>
      </c>
      <c r="BG68" t="s">
        <v>74</v>
      </c>
      <c r="BH68" t="s">
        <v>74</v>
      </c>
      <c r="BI68">
        <v>19</v>
      </c>
      <c r="BJ68" t="s">
        <v>159</v>
      </c>
      <c r="BK68" t="s">
        <v>102</v>
      </c>
      <c r="BL68" t="s">
        <v>159</v>
      </c>
      <c r="BM68" t="s">
        <v>1592</v>
      </c>
      <c r="BN68">
        <v>32999797</v>
      </c>
      <c r="BO68" t="s">
        <v>74</v>
      </c>
      <c r="BP68" t="s">
        <v>74</v>
      </c>
      <c r="BQ68" t="s">
        <v>74</v>
      </c>
      <c r="BR68" t="s">
        <v>106</v>
      </c>
      <c r="BS68" t="s">
        <v>1611</v>
      </c>
      <c r="BT68" t="str">
        <f>HYPERLINK("https%3A%2F%2Fwww.webofscience.com%2Fwos%2Fwoscc%2Ffull-record%2FWOS:000556876500016","View Full Record in Web of Science")</f>
        <v>View Full Record in Web of Science</v>
      </c>
    </row>
    <row r="69" spans="1:72" x14ac:dyDescent="0.15">
      <c r="A69" t="s">
        <v>72</v>
      </c>
      <c r="B69" t="s">
        <v>1612</v>
      </c>
      <c r="C69" t="s">
        <v>74</v>
      </c>
      <c r="D69" t="s">
        <v>74</v>
      </c>
      <c r="E69" t="s">
        <v>74</v>
      </c>
      <c r="F69" t="s">
        <v>1613</v>
      </c>
      <c r="G69" t="s">
        <v>74</v>
      </c>
      <c r="H69" t="s">
        <v>74</v>
      </c>
      <c r="I69" t="s">
        <v>1614</v>
      </c>
      <c r="J69" t="s">
        <v>1615</v>
      </c>
      <c r="K69" t="s">
        <v>74</v>
      </c>
      <c r="L69" t="s">
        <v>74</v>
      </c>
      <c r="M69" t="s">
        <v>78</v>
      </c>
      <c r="N69" t="s">
        <v>79</v>
      </c>
      <c r="O69" t="s">
        <v>74</v>
      </c>
      <c r="P69" t="s">
        <v>74</v>
      </c>
      <c r="Q69" t="s">
        <v>74</v>
      </c>
      <c r="R69" t="s">
        <v>74</v>
      </c>
      <c r="S69" t="s">
        <v>74</v>
      </c>
      <c r="T69" t="s">
        <v>1616</v>
      </c>
      <c r="U69" t="s">
        <v>1617</v>
      </c>
      <c r="V69" t="s">
        <v>1618</v>
      </c>
      <c r="W69" t="s">
        <v>1619</v>
      </c>
      <c r="X69" t="s">
        <v>1620</v>
      </c>
      <c r="Y69" t="s">
        <v>1621</v>
      </c>
      <c r="Z69" t="s">
        <v>1622</v>
      </c>
      <c r="AA69" t="s">
        <v>1623</v>
      </c>
      <c r="AB69" t="s">
        <v>1624</v>
      </c>
      <c r="AC69" t="s">
        <v>1625</v>
      </c>
      <c r="AD69" t="s">
        <v>1626</v>
      </c>
      <c r="AE69" t="s">
        <v>1627</v>
      </c>
      <c r="AF69" t="s">
        <v>74</v>
      </c>
      <c r="AG69">
        <v>104</v>
      </c>
      <c r="AH69">
        <v>13</v>
      </c>
      <c r="AI69">
        <v>13</v>
      </c>
      <c r="AJ69">
        <v>2</v>
      </c>
      <c r="AK69">
        <v>30</v>
      </c>
      <c r="AL69" t="s">
        <v>1440</v>
      </c>
      <c r="AM69" t="s">
        <v>1628</v>
      </c>
      <c r="AN69" t="s">
        <v>1629</v>
      </c>
      <c r="AO69" t="s">
        <v>1630</v>
      </c>
      <c r="AP69" t="s">
        <v>1631</v>
      </c>
      <c r="AQ69" t="s">
        <v>74</v>
      </c>
      <c r="AR69" t="s">
        <v>1632</v>
      </c>
      <c r="AS69" t="s">
        <v>1633</v>
      </c>
      <c r="AT69" t="s">
        <v>99</v>
      </c>
      <c r="AU69">
        <v>2020</v>
      </c>
      <c r="AV69">
        <v>145</v>
      </c>
      <c r="AW69">
        <v>2</v>
      </c>
      <c r="AX69" t="s">
        <v>74</v>
      </c>
      <c r="AY69" t="s">
        <v>74</v>
      </c>
      <c r="AZ69" t="s">
        <v>74</v>
      </c>
      <c r="BA69" t="s">
        <v>74</v>
      </c>
      <c r="BB69">
        <v>159</v>
      </c>
      <c r="BC69">
        <v>177</v>
      </c>
      <c r="BD69" t="s">
        <v>74</v>
      </c>
      <c r="BE69" t="s">
        <v>1634</v>
      </c>
      <c r="BF69" t="str">
        <f>HYPERLINK("http://dx.doi.org/10.1007/s11120-020-00773-4","http://dx.doi.org/10.1007/s11120-020-00773-4")</f>
        <v>http://dx.doi.org/10.1007/s11120-020-00773-4</v>
      </c>
      <c r="BG69" t="s">
        <v>74</v>
      </c>
      <c r="BH69" t="s">
        <v>1003</v>
      </c>
      <c r="BI69">
        <v>19</v>
      </c>
      <c r="BJ69" t="s">
        <v>1635</v>
      </c>
      <c r="BK69" t="s">
        <v>102</v>
      </c>
      <c r="BL69" t="s">
        <v>1635</v>
      </c>
      <c r="BM69" t="s">
        <v>1636</v>
      </c>
      <c r="BN69">
        <v>32720111</v>
      </c>
      <c r="BO69" t="s">
        <v>74</v>
      </c>
      <c r="BP69" t="s">
        <v>74</v>
      </c>
      <c r="BQ69" t="s">
        <v>74</v>
      </c>
      <c r="BR69" t="s">
        <v>106</v>
      </c>
      <c r="BS69" t="s">
        <v>1637</v>
      </c>
      <c r="BT69" t="str">
        <f>HYPERLINK("https%3A%2F%2Fwww.webofscience.com%2Fwos%2Fwoscc%2Ffull-record%2FWOS:000552914600001","View Full Record in Web of Science")</f>
        <v>View Full Record in Web of Science</v>
      </c>
    </row>
    <row r="70" spans="1:72" x14ac:dyDescent="0.15">
      <c r="A70" t="s">
        <v>72</v>
      </c>
      <c r="B70" t="s">
        <v>1638</v>
      </c>
      <c r="C70" t="s">
        <v>74</v>
      </c>
      <c r="D70" t="s">
        <v>74</v>
      </c>
      <c r="E70" t="s">
        <v>74</v>
      </c>
      <c r="F70" t="s">
        <v>1639</v>
      </c>
      <c r="G70" t="s">
        <v>74</v>
      </c>
      <c r="H70" t="s">
        <v>74</v>
      </c>
      <c r="I70" t="s">
        <v>1640</v>
      </c>
      <c r="J70" t="s">
        <v>1641</v>
      </c>
      <c r="K70" t="s">
        <v>74</v>
      </c>
      <c r="L70" t="s">
        <v>74</v>
      </c>
      <c r="M70" t="s">
        <v>78</v>
      </c>
      <c r="N70" t="s">
        <v>245</v>
      </c>
      <c r="O70" t="s">
        <v>74</v>
      </c>
      <c r="P70" t="s">
        <v>74</v>
      </c>
      <c r="Q70" t="s">
        <v>74</v>
      </c>
      <c r="R70" t="s">
        <v>74</v>
      </c>
      <c r="S70" t="s">
        <v>74</v>
      </c>
      <c r="T70" t="s">
        <v>1642</v>
      </c>
      <c r="U70" t="s">
        <v>1643</v>
      </c>
      <c r="V70" t="s">
        <v>1644</v>
      </c>
      <c r="W70" t="s">
        <v>1645</v>
      </c>
      <c r="X70" t="s">
        <v>1646</v>
      </c>
      <c r="Y70" t="s">
        <v>1647</v>
      </c>
      <c r="Z70" t="s">
        <v>1648</v>
      </c>
      <c r="AA70" t="s">
        <v>74</v>
      </c>
      <c r="AB70" t="s">
        <v>74</v>
      </c>
      <c r="AC70" t="s">
        <v>74</v>
      </c>
      <c r="AD70" t="s">
        <v>74</v>
      </c>
      <c r="AE70" t="s">
        <v>74</v>
      </c>
      <c r="AF70" t="s">
        <v>74</v>
      </c>
      <c r="AG70">
        <v>29</v>
      </c>
      <c r="AH70">
        <v>14</v>
      </c>
      <c r="AI70">
        <v>14</v>
      </c>
      <c r="AJ70">
        <v>0</v>
      </c>
      <c r="AK70">
        <v>5</v>
      </c>
      <c r="AL70" t="s">
        <v>994</v>
      </c>
      <c r="AM70" t="s">
        <v>995</v>
      </c>
      <c r="AN70" t="s">
        <v>996</v>
      </c>
      <c r="AO70" t="s">
        <v>1649</v>
      </c>
      <c r="AP70" t="s">
        <v>1650</v>
      </c>
      <c r="AQ70" t="s">
        <v>74</v>
      </c>
      <c r="AR70" t="s">
        <v>1651</v>
      </c>
      <c r="AS70" t="s">
        <v>1652</v>
      </c>
      <c r="AT70" t="s">
        <v>1653</v>
      </c>
      <c r="AU70">
        <v>2021</v>
      </c>
      <c r="AV70">
        <v>106</v>
      </c>
      <c r="AW70">
        <v>1</v>
      </c>
      <c r="AX70" t="s">
        <v>74</v>
      </c>
      <c r="AY70" t="s">
        <v>74</v>
      </c>
      <c r="AZ70" t="s">
        <v>74</v>
      </c>
      <c r="BA70" t="s">
        <v>74</v>
      </c>
      <c r="BB70">
        <v>6</v>
      </c>
      <c r="BC70">
        <v>17</v>
      </c>
      <c r="BD70" t="s">
        <v>74</v>
      </c>
      <c r="BE70" t="s">
        <v>1654</v>
      </c>
      <c r="BF70" t="str">
        <f>HYPERLINK("http://dx.doi.org/10.1113/EP088352","http://dx.doi.org/10.1113/EP088352")</f>
        <v>http://dx.doi.org/10.1113/EP088352</v>
      </c>
      <c r="BG70" t="s">
        <v>74</v>
      </c>
      <c r="BH70" t="s">
        <v>1003</v>
      </c>
      <c r="BI70">
        <v>12</v>
      </c>
      <c r="BJ70" t="s">
        <v>1655</v>
      </c>
      <c r="BK70" t="s">
        <v>102</v>
      </c>
      <c r="BL70" t="s">
        <v>1655</v>
      </c>
      <c r="BM70" t="s">
        <v>1656</v>
      </c>
      <c r="BN70">
        <v>32662901</v>
      </c>
      <c r="BO70" t="s">
        <v>1657</v>
      </c>
      <c r="BP70" t="s">
        <v>74</v>
      </c>
      <c r="BQ70" t="s">
        <v>74</v>
      </c>
      <c r="BR70" t="s">
        <v>106</v>
      </c>
      <c r="BS70" t="s">
        <v>1658</v>
      </c>
      <c r="BT70" t="str">
        <f>HYPERLINK("https%3A%2F%2Fwww.webofscience.com%2Fwos%2Fwoscc%2Ffull-record%2FWOS:000552509400001","View Full Record in Web of Science")</f>
        <v>View Full Record in Web of Science</v>
      </c>
    </row>
    <row r="71" spans="1:72" x14ac:dyDescent="0.15">
      <c r="A71" t="s">
        <v>72</v>
      </c>
      <c r="B71" t="s">
        <v>1659</v>
      </c>
      <c r="C71" t="s">
        <v>74</v>
      </c>
      <c r="D71" t="s">
        <v>74</v>
      </c>
      <c r="E71" t="s">
        <v>74</v>
      </c>
      <c r="F71" t="s">
        <v>1660</v>
      </c>
      <c r="G71" t="s">
        <v>74</v>
      </c>
      <c r="H71" t="s">
        <v>74</v>
      </c>
      <c r="I71" t="s">
        <v>1661</v>
      </c>
      <c r="J71" t="s">
        <v>1662</v>
      </c>
      <c r="K71" t="s">
        <v>74</v>
      </c>
      <c r="L71" t="s">
        <v>74</v>
      </c>
      <c r="M71" t="s">
        <v>78</v>
      </c>
      <c r="N71" t="s">
        <v>79</v>
      </c>
      <c r="O71" t="s">
        <v>74</v>
      </c>
      <c r="P71" t="s">
        <v>74</v>
      </c>
      <c r="Q71" t="s">
        <v>74</v>
      </c>
      <c r="R71" t="s">
        <v>74</v>
      </c>
      <c r="S71" t="s">
        <v>74</v>
      </c>
      <c r="T71" t="s">
        <v>74</v>
      </c>
      <c r="U71" t="s">
        <v>1663</v>
      </c>
      <c r="V71" t="s">
        <v>1664</v>
      </c>
      <c r="W71" t="s">
        <v>1665</v>
      </c>
      <c r="X71" t="s">
        <v>1666</v>
      </c>
      <c r="Y71" t="s">
        <v>1667</v>
      </c>
      <c r="Z71" t="s">
        <v>1668</v>
      </c>
      <c r="AA71" t="s">
        <v>1669</v>
      </c>
      <c r="AB71" t="s">
        <v>1670</v>
      </c>
      <c r="AC71" t="s">
        <v>1671</v>
      </c>
      <c r="AD71" t="s">
        <v>1672</v>
      </c>
      <c r="AE71" t="s">
        <v>1673</v>
      </c>
      <c r="AF71" t="s">
        <v>74</v>
      </c>
      <c r="AG71">
        <v>52</v>
      </c>
      <c r="AH71">
        <v>5</v>
      </c>
      <c r="AI71">
        <v>6</v>
      </c>
      <c r="AJ71">
        <v>2</v>
      </c>
      <c r="AK71">
        <v>11</v>
      </c>
      <c r="AL71" t="s">
        <v>1321</v>
      </c>
      <c r="AM71" t="s">
        <v>1322</v>
      </c>
      <c r="AN71" t="s">
        <v>1323</v>
      </c>
      <c r="AO71" t="s">
        <v>1674</v>
      </c>
      <c r="AP71" t="s">
        <v>1675</v>
      </c>
      <c r="AQ71" t="s">
        <v>74</v>
      </c>
      <c r="AR71" t="s">
        <v>1676</v>
      </c>
      <c r="AS71" t="s">
        <v>1677</v>
      </c>
      <c r="AT71" t="s">
        <v>1678</v>
      </c>
      <c r="AU71">
        <v>2020</v>
      </c>
      <c r="AV71">
        <v>167</v>
      </c>
      <c r="AW71">
        <v>8</v>
      </c>
      <c r="AX71" t="s">
        <v>74</v>
      </c>
      <c r="AY71" t="s">
        <v>74</v>
      </c>
      <c r="AZ71" t="s">
        <v>74</v>
      </c>
      <c r="BA71" t="s">
        <v>74</v>
      </c>
      <c r="BB71" t="s">
        <v>74</v>
      </c>
      <c r="BC71" t="s">
        <v>74</v>
      </c>
      <c r="BD71">
        <v>116</v>
      </c>
      <c r="BE71" t="s">
        <v>1679</v>
      </c>
      <c r="BF71" t="str">
        <f>HYPERLINK("http://dx.doi.org/10.1007/s00227-020-03730-w","http://dx.doi.org/10.1007/s00227-020-03730-w")</f>
        <v>http://dx.doi.org/10.1007/s00227-020-03730-w</v>
      </c>
      <c r="BG71" t="s">
        <v>74</v>
      </c>
      <c r="BH71" t="s">
        <v>74</v>
      </c>
      <c r="BI71">
        <v>16</v>
      </c>
      <c r="BJ71" t="s">
        <v>1680</v>
      </c>
      <c r="BK71" t="s">
        <v>102</v>
      </c>
      <c r="BL71" t="s">
        <v>1680</v>
      </c>
      <c r="BM71" t="s">
        <v>1681</v>
      </c>
      <c r="BN71" t="s">
        <v>74</v>
      </c>
      <c r="BO71" t="s">
        <v>74</v>
      </c>
      <c r="BP71" t="s">
        <v>74</v>
      </c>
      <c r="BQ71" t="s">
        <v>74</v>
      </c>
      <c r="BR71" t="s">
        <v>106</v>
      </c>
      <c r="BS71" t="s">
        <v>1682</v>
      </c>
      <c r="BT71" t="str">
        <f>HYPERLINK("https%3A%2F%2Fwww.webofscience.com%2Fwos%2Fwoscc%2Ffull-record%2FWOS:000556611100002","View Full Record in Web of Science")</f>
        <v>View Full Record in Web of Science</v>
      </c>
    </row>
    <row r="72" spans="1:72" x14ac:dyDescent="0.15">
      <c r="A72" t="s">
        <v>72</v>
      </c>
      <c r="B72" t="s">
        <v>1683</v>
      </c>
      <c r="C72" t="s">
        <v>74</v>
      </c>
      <c r="D72" t="s">
        <v>74</v>
      </c>
      <c r="E72" t="s">
        <v>74</v>
      </c>
      <c r="F72" t="s">
        <v>1684</v>
      </c>
      <c r="G72" t="s">
        <v>74</v>
      </c>
      <c r="H72" t="s">
        <v>74</v>
      </c>
      <c r="I72" t="s">
        <v>1685</v>
      </c>
      <c r="J72" t="s">
        <v>1686</v>
      </c>
      <c r="K72" t="s">
        <v>74</v>
      </c>
      <c r="L72" t="s">
        <v>74</v>
      </c>
      <c r="M72" t="s">
        <v>78</v>
      </c>
      <c r="N72" t="s">
        <v>79</v>
      </c>
      <c r="O72" t="s">
        <v>74</v>
      </c>
      <c r="P72" t="s">
        <v>74</v>
      </c>
      <c r="Q72" t="s">
        <v>74</v>
      </c>
      <c r="R72" t="s">
        <v>74</v>
      </c>
      <c r="S72" t="s">
        <v>74</v>
      </c>
      <c r="T72" t="s">
        <v>1687</v>
      </c>
      <c r="U72" t="s">
        <v>1688</v>
      </c>
      <c r="V72" t="s">
        <v>1689</v>
      </c>
      <c r="W72" t="s">
        <v>1690</v>
      </c>
      <c r="X72" t="s">
        <v>1691</v>
      </c>
      <c r="Y72" t="s">
        <v>1692</v>
      </c>
      <c r="Z72" t="s">
        <v>1693</v>
      </c>
      <c r="AA72" t="s">
        <v>1694</v>
      </c>
      <c r="AB72" t="s">
        <v>1695</v>
      </c>
      <c r="AC72" t="s">
        <v>1696</v>
      </c>
      <c r="AD72" t="s">
        <v>1697</v>
      </c>
      <c r="AE72" t="s">
        <v>1698</v>
      </c>
      <c r="AF72" t="s">
        <v>74</v>
      </c>
      <c r="AG72">
        <v>73</v>
      </c>
      <c r="AH72">
        <v>4</v>
      </c>
      <c r="AI72">
        <v>4</v>
      </c>
      <c r="AJ72">
        <v>2</v>
      </c>
      <c r="AK72">
        <v>13</v>
      </c>
      <c r="AL72" t="s">
        <v>1440</v>
      </c>
      <c r="AM72" t="s">
        <v>1628</v>
      </c>
      <c r="AN72" t="s">
        <v>1629</v>
      </c>
      <c r="AO72" t="s">
        <v>1699</v>
      </c>
      <c r="AP72" t="s">
        <v>1700</v>
      </c>
      <c r="AQ72" t="s">
        <v>74</v>
      </c>
      <c r="AR72" t="s">
        <v>1701</v>
      </c>
      <c r="AS72" t="s">
        <v>1702</v>
      </c>
      <c r="AT72" t="s">
        <v>1001</v>
      </c>
      <c r="AU72">
        <v>2020</v>
      </c>
      <c r="AV72">
        <v>177</v>
      </c>
      <c r="AW72">
        <v>1</v>
      </c>
      <c r="AX72" t="s">
        <v>74</v>
      </c>
      <c r="AY72" t="s">
        <v>74</v>
      </c>
      <c r="AZ72" t="s">
        <v>74</v>
      </c>
      <c r="BA72" t="s">
        <v>74</v>
      </c>
      <c r="BB72">
        <v>1</v>
      </c>
      <c r="BC72">
        <v>18</v>
      </c>
      <c r="BD72" t="s">
        <v>74</v>
      </c>
      <c r="BE72" t="s">
        <v>1703</v>
      </c>
      <c r="BF72" t="str">
        <f>HYPERLINK("http://dx.doi.org/10.1007/s10546-020-00545-6","http://dx.doi.org/10.1007/s10546-020-00545-6")</f>
        <v>http://dx.doi.org/10.1007/s10546-020-00545-6</v>
      </c>
      <c r="BG72" t="s">
        <v>74</v>
      </c>
      <c r="BH72" t="s">
        <v>1003</v>
      </c>
      <c r="BI72">
        <v>18</v>
      </c>
      <c r="BJ72" t="s">
        <v>159</v>
      </c>
      <c r="BK72" t="s">
        <v>102</v>
      </c>
      <c r="BL72" t="s">
        <v>159</v>
      </c>
      <c r="BM72" t="s">
        <v>1704</v>
      </c>
      <c r="BN72" t="s">
        <v>74</v>
      </c>
      <c r="BO72" t="s">
        <v>74</v>
      </c>
      <c r="BP72" t="s">
        <v>74</v>
      </c>
      <c r="BQ72" t="s">
        <v>74</v>
      </c>
      <c r="BR72" t="s">
        <v>106</v>
      </c>
      <c r="BS72" t="s">
        <v>1705</v>
      </c>
      <c r="BT72" t="str">
        <f>HYPERLINK("https%3A%2F%2Fwww.webofscience.com%2Fwos%2Fwoscc%2Ffull-record%2FWOS:000552585700002","View Full Record in Web of Science")</f>
        <v>View Full Record in Web of Science</v>
      </c>
    </row>
    <row r="73" spans="1:72" x14ac:dyDescent="0.15">
      <c r="A73" t="s">
        <v>72</v>
      </c>
      <c r="B73" t="s">
        <v>1706</v>
      </c>
      <c r="C73" t="s">
        <v>74</v>
      </c>
      <c r="D73" t="s">
        <v>74</v>
      </c>
      <c r="E73" t="s">
        <v>74</v>
      </c>
      <c r="F73" t="s">
        <v>1707</v>
      </c>
      <c r="G73" t="s">
        <v>74</v>
      </c>
      <c r="H73" t="s">
        <v>74</v>
      </c>
      <c r="I73" t="s">
        <v>1708</v>
      </c>
      <c r="J73" t="s">
        <v>1709</v>
      </c>
      <c r="K73" t="s">
        <v>74</v>
      </c>
      <c r="L73" t="s">
        <v>74</v>
      </c>
      <c r="M73" t="s">
        <v>78</v>
      </c>
      <c r="N73" t="s">
        <v>79</v>
      </c>
      <c r="O73" t="s">
        <v>74</v>
      </c>
      <c r="P73" t="s">
        <v>74</v>
      </c>
      <c r="Q73" t="s">
        <v>74</v>
      </c>
      <c r="R73" t="s">
        <v>74</v>
      </c>
      <c r="S73" t="s">
        <v>74</v>
      </c>
      <c r="T73" t="s">
        <v>1710</v>
      </c>
      <c r="U73" t="s">
        <v>1711</v>
      </c>
      <c r="V73" t="s">
        <v>1712</v>
      </c>
      <c r="W73" t="s">
        <v>1713</v>
      </c>
      <c r="X73" t="s">
        <v>1714</v>
      </c>
      <c r="Y73" t="s">
        <v>1715</v>
      </c>
      <c r="Z73" t="s">
        <v>1716</v>
      </c>
      <c r="AA73" t="s">
        <v>74</v>
      </c>
      <c r="AB73" t="s">
        <v>1717</v>
      </c>
      <c r="AC73" t="s">
        <v>74</v>
      </c>
      <c r="AD73" t="s">
        <v>74</v>
      </c>
      <c r="AE73" t="s">
        <v>74</v>
      </c>
      <c r="AF73" t="s">
        <v>74</v>
      </c>
      <c r="AG73">
        <v>79</v>
      </c>
      <c r="AH73">
        <v>4</v>
      </c>
      <c r="AI73">
        <v>4</v>
      </c>
      <c r="AJ73">
        <v>0</v>
      </c>
      <c r="AK73">
        <v>19</v>
      </c>
      <c r="AL73" t="s">
        <v>1718</v>
      </c>
      <c r="AM73" t="s">
        <v>1719</v>
      </c>
      <c r="AN73" t="s">
        <v>1720</v>
      </c>
      <c r="AO73" t="s">
        <v>1721</v>
      </c>
      <c r="AP73" t="s">
        <v>74</v>
      </c>
      <c r="AQ73" t="s">
        <v>74</v>
      </c>
      <c r="AR73" t="s">
        <v>1722</v>
      </c>
      <c r="AS73" t="s">
        <v>1723</v>
      </c>
      <c r="AT73" t="s">
        <v>1724</v>
      </c>
      <c r="AU73">
        <v>2020</v>
      </c>
      <c r="AV73">
        <v>119</v>
      </c>
      <c r="AW73">
        <v>2</v>
      </c>
      <c r="AX73" t="s">
        <v>74</v>
      </c>
      <c r="AY73" t="s">
        <v>74</v>
      </c>
      <c r="AZ73" t="s">
        <v>74</v>
      </c>
      <c r="BA73" t="s">
        <v>74</v>
      </c>
      <c r="BB73">
        <v>255</v>
      </c>
      <c r="BC73">
        <v>264</v>
      </c>
      <c r="BD73" t="s">
        <v>74</v>
      </c>
      <c r="BE73" t="s">
        <v>1725</v>
      </c>
      <c r="BF73" t="str">
        <f>HYPERLINK("http://dx.doi.org/10.18520/cs/v119/i2/255-264","http://dx.doi.org/10.18520/cs/v119/i2/255-264")</f>
        <v>http://dx.doi.org/10.18520/cs/v119/i2/255-264</v>
      </c>
      <c r="BG73" t="s">
        <v>74</v>
      </c>
      <c r="BH73" t="s">
        <v>74</v>
      </c>
      <c r="BI73">
        <v>10</v>
      </c>
      <c r="BJ73" t="s">
        <v>1125</v>
      </c>
      <c r="BK73" t="s">
        <v>102</v>
      </c>
      <c r="BL73" t="s">
        <v>1126</v>
      </c>
      <c r="BM73" t="s">
        <v>1726</v>
      </c>
      <c r="BN73" t="s">
        <v>74</v>
      </c>
      <c r="BO73" t="s">
        <v>105</v>
      </c>
      <c r="BP73" t="s">
        <v>74</v>
      </c>
      <c r="BQ73" t="s">
        <v>74</v>
      </c>
      <c r="BR73" t="s">
        <v>106</v>
      </c>
      <c r="BS73" t="s">
        <v>1727</v>
      </c>
      <c r="BT73" t="str">
        <f>HYPERLINK("https%3A%2F%2Fwww.webofscience.com%2Fwos%2Fwoscc%2Ffull-record%2FWOS:000551567400025","View Full Record in Web of Science")</f>
        <v>View Full Record in Web of Science</v>
      </c>
    </row>
    <row r="74" spans="1:72" x14ac:dyDescent="0.15">
      <c r="A74" t="s">
        <v>72</v>
      </c>
      <c r="B74" t="s">
        <v>1728</v>
      </c>
      <c r="C74" t="s">
        <v>74</v>
      </c>
      <c r="D74" t="s">
        <v>74</v>
      </c>
      <c r="E74" t="s">
        <v>74</v>
      </c>
      <c r="F74" t="s">
        <v>1729</v>
      </c>
      <c r="G74" t="s">
        <v>74</v>
      </c>
      <c r="H74" t="s">
        <v>74</v>
      </c>
      <c r="I74" t="s">
        <v>1730</v>
      </c>
      <c r="J74" t="s">
        <v>1731</v>
      </c>
      <c r="K74" t="s">
        <v>74</v>
      </c>
      <c r="L74" t="s">
        <v>74</v>
      </c>
      <c r="M74" t="s">
        <v>78</v>
      </c>
      <c r="N74" t="s">
        <v>245</v>
      </c>
      <c r="O74" t="s">
        <v>74</v>
      </c>
      <c r="P74" t="s">
        <v>74</v>
      </c>
      <c r="Q74" t="s">
        <v>74</v>
      </c>
      <c r="R74" t="s">
        <v>74</v>
      </c>
      <c r="S74" t="s">
        <v>74</v>
      </c>
      <c r="T74" t="s">
        <v>74</v>
      </c>
      <c r="U74" t="s">
        <v>1732</v>
      </c>
      <c r="V74" t="s">
        <v>1733</v>
      </c>
      <c r="W74" t="s">
        <v>1734</v>
      </c>
      <c r="X74" t="s">
        <v>1735</v>
      </c>
      <c r="Y74" t="s">
        <v>1736</v>
      </c>
      <c r="Z74" t="s">
        <v>1737</v>
      </c>
      <c r="AA74" t="s">
        <v>1738</v>
      </c>
      <c r="AB74" t="s">
        <v>1739</v>
      </c>
      <c r="AC74" t="s">
        <v>1740</v>
      </c>
      <c r="AD74" t="s">
        <v>1741</v>
      </c>
      <c r="AE74" t="s">
        <v>1742</v>
      </c>
      <c r="AF74" t="s">
        <v>74</v>
      </c>
      <c r="AG74">
        <v>63</v>
      </c>
      <c r="AH74">
        <v>15</v>
      </c>
      <c r="AI74">
        <v>15</v>
      </c>
      <c r="AJ74">
        <v>6</v>
      </c>
      <c r="AK74">
        <v>29</v>
      </c>
      <c r="AL74" t="s">
        <v>1743</v>
      </c>
      <c r="AM74" t="s">
        <v>1744</v>
      </c>
      <c r="AN74" t="s">
        <v>1745</v>
      </c>
      <c r="AO74" t="s">
        <v>1746</v>
      </c>
      <c r="AP74" t="s">
        <v>1747</v>
      </c>
      <c r="AQ74" t="s">
        <v>74</v>
      </c>
      <c r="AR74" t="s">
        <v>1731</v>
      </c>
      <c r="AS74" t="s">
        <v>1748</v>
      </c>
      <c r="AT74" t="s">
        <v>1749</v>
      </c>
      <c r="AU74">
        <v>2020</v>
      </c>
      <c r="AV74">
        <v>3</v>
      </c>
      <c r="AW74">
        <v>1</v>
      </c>
      <c r="AX74" t="s">
        <v>74</v>
      </c>
      <c r="AY74" t="s">
        <v>74</v>
      </c>
      <c r="AZ74" t="s">
        <v>74</v>
      </c>
      <c r="BA74" t="s">
        <v>74</v>
      </c>
      <c r="BB74">
        <v>65</v>
      </c>
      <c r="BC74">
        <v>78</v>
      </c>
      <c r="BD74" t="s">
        <v>74</v>
      </c>
      <c r="BE74" t="s">
        <v>1750</v>
      </c>
      <c r="BF74" t="str">
        <f>HYPERLINK("http://dx.doi.org/10.1016/j.oneear.2020.06.014","http://dx.doi.org/10.1016/j.oneear.2020.06.014")</f>
        <v>http://dx.doi.org/10.1016/j.oneear.2020.06.014</v>
      </c>
      <c r="BG74" t="s">
        <v>74</v>
      </c>
      <c r="BH74" t="s">
        <v>74</v>
      </c>
      <c r="BI74">
        <v>14</v>
      </c>
      <c r="BJ74" t="s">
        <v>1751</v>
      </c>
      <c r="BK74" t="s">
        <v>925</v>
      </c>
      <c r="BL74" t="s">
        <v>1752</v>
      </c>
      <c r="BM74" t="s">
        <v>1753</v>
      </c>
      <c r="BN74" t="s">
        <v>74</v>
      </c>
      <c r="BO74" t="s">
        <v>1474</v>
      </c>
      <c r="BP74" t="s">
        <v>74</v>
      </c>
      <c r="BQ74" t="s">
        <v>74</v>
      </c>
      <c r="BR74" t="s">
        <v>106</v>
      </c>
      <c r="BS74" t="s">
        <v>1754</v>
      </c>
      <c r="BT74" t="str">
        <f>HYPERLINK("https%3A%2F%2Fwww.webofscience.com%2Fwos%2Fwoscc%2Ffull-record%2FWOS:000645265800013","View Full Record in Web of Science")</f>
        <v>View Full Record in Web of Science</v>
      </c>
    </row>
    <row r="75" spans="1:72" x14ac:dyDescent="0.15">
      <c r="A75" t="s">
        <v>72</v>
      </c>
      <c r="B75" t="s">
        <v>1755</v>
      </c>
      <c r="C75" t="s">
        <v>74</v>
      </c>
      <c r="D75" t="s">
        <v>74</v>
      </c>
      <c r="E75" t="s">
        <v>74</v>
      </c>
      <c r="F75" t="s">
        <v>1756</v>
      </c>
      <c r="G75" t="s">
        <v>74</v>
      </c>
      <c r="H75" t="s">
        <v>74</v>
      </c>
      <c r="I75" t="s">
        <v>1757</v>
      </c>
      <c r="J75" t="s">
        <v>1758</v>
      </c>
      <c r="K75" t="s">
        <v>74</v>
      </c>
      <c r="L75" t="s">
        <v>74</v>
      </c>
      <c r="M75" t="s">
        <v>78</v>
      </c>
      <c r="N75" t="s">
        <v>79</v>
      </c>
      <c r="O75" t="s">
        <v>74</v>
      </c>
      <c r="P75" t="s">
        <v>74</v>
      </c>
      <c r="Q75" t="s">
        <v>74</v>
      </c>
      <c r="R75" t="s">
        <v>74</v>
      </c>
      <c r="S75" t="s">
        <v>74</v>
      </c>
      <c r="T75" t="s">
        <v>1759</v>
      </c>
      <c r="U75" t="s">
        <v>1760</v>
      </c>
      <c r="V75" t="s">
        <v>1761</v>
      </c>
      <c r="W75" t="s">
        <v>1762</v>
      </c>
      <c r="X75" t="s">
        <v>1763</v>
      </c>
      <c r="Y75" t="s">
        <v>1764</v>
      </c>
      <c r="Z75" t="s">
        <v>1765</v>
      </c>
      <c r="AA75" t="s">
        <v>1766</v>
      </c>
      <c r="AB75" t="s">
        <v>1767</v>
      </c>
      <c r="AC75" t="s">
        <v>1768</v>
      </c>
      <c r="AD75" t="s">
        <v>1768</v>
      </c>
      <c r="AE75" t="s">
        <v>1769</v>
      </c>
      <c r="AF75" t="s">
        <v>74</v>
      </c>
      <c r="AG75">
        <v>85</v>
      </c>
      <c r="AH75">
        <v>10</v>
      </c>
      <c r="AI75">
        <v>12</v>
      </c>
      <c r="AJ75">
        <v>1</v>
      </c>
      <c r="AK75">
        <v>9</v>
      </c>
      <c r="AL75" t="s">
        <v>124</v>
      </c>
      <c r="AM75" t="s">
        <v>93</v>
      </c>
      <c r="AN75" t="s">
        <v>125</v>
      </c>
      <c r="AO75" t="s">
        <v>1770</v>
      </c>
      <c r="AP75" t="s">
        <v>74</v>
      </c>
      <c r="AQ75" t="s">
        <v>74</v>
      </c>
      <c r="AR75" t="s">
        <v>1771</v>
      </c>
      <c r="AS75" t="s">
        <v>1772</v>
      </c>
      <c r="AT75" t="s">
        <v>1749</v>
      </c>
      <c r="AU75">
        <v>2020</v>
      </c>
      <c r="AV75">
        <v>8</v>
      </c>
      <c r="AW75" t="s">
        <v>74</v>
      </c>
      <c r="AX75" t="s">
        <v>74</v>
      </c>
      <c r="AY75" t="s">
        <v>74</v>
      </c>
      <c r="AZ75" t="s">
        <v>74</v>
      </c>
      <c r="BA75" t="s">
        <v>74</v>
      </c>
      <c r="BB75" t="s">
        <v>74</v>
      </c>
      <c r="BC75" t="s">
        <v>74</v>
      </c>
      <c r="BD75" t="s">
        <v>1773</v>
      </c>
      <c r="BE75" t="s">
        <v>1774</v>
      </c>
      <c r="BF75" t="str">
        <f>HYPERLINK("http://dx.doi.org/10.1093/conphys/coaa060","http://dx.doi.org/10.1093/conphys/coaa060")</f>
        <v>http://dx.doi.org/10.1093/conphys/coaa060</v>
      </c>
      <c r="BG75" t="s">
        <v>74</v>
      </c>
      <c r="BH75" t="s">
        <v>74</v>
      </c>
      <c r="BI75">
        <v>16</v>
      </c>
      <c r="BJ75" t="s">
        <v>1775</v>
      </c>
      <c r="BK75" t="s">
        <v>102</v>
      </c>
      <c r="BL75" t="s">
        <v>1776</v>
      </c>
      <c r="BM75" t="s">
        <v>1777</v>
      </c>
      <c r="BN75">
        <v>32765882</v>
      </c>
      <c r="BO75" t="s">
        <v>1778</v>
      </c>
      <c r="BP75" t="s">
        <v>74</v>
      </c>
      <c r="BQ75" t="s">
        <v>74</v>
      </c>
      <c r="BR75" t="s">
        <v>106</v>
      </c>
      <c r="BS75" t="s">
        <v>1779</v>
      </c>
      <c r="BT75" t="str">
        <f>HYPERLINK("https%3A%2F%2Fwww.webofscience.com%2Fwos%2Fwoscc%2Ffull-record%2FWOS:000562755700001","View Full Record in Web of Science")</f>
        <v>View Full Record in Web of Science</v>
      </c>
    </row>
    <row r="76" spans="1:72" x14ac:dyDescent="0.15">
      <c r="A76" t="s">
        <v>72</v>
      </c>
      <c r="B76" t="s">
        <v>1780</v>
      </c>
      <c r="C76" t="s">
        <v>74</v>
      </c>
      <c r="D76" t="s">
        <v>74</v>
      </c>
      <c r="E76" t="s">
        <v>74</v>
      </c>
      <c r="F76" t="s">
        <v>1781</v>
      </c>
      <c r="G76" t="s">
        <v>74</v>
      </c>
      <c r="H76" t="s">
        <v>74</v>
      </c>
      <c r="I76" t="s">
        <v>1782</v>
      </c>
      <c r="J76" t="s">
        <v>1783</v>
      </c>
      <c r="K76" t="s">
        <v>74</v>
      </c>
      <c r="L76" t="s">
        <v>74</v>
      </c>
      <c r="M76" t="s">
        <v>78</v>
      </c>
      <c r="N76" t="s">
        <v>79</v>
      </c>
      <c r="O76" t="s">
        <v>74</v>
      </c>
      <c r="P76" t="s">
        <v>74</v>
      </c>
      <c r="Q76" t="s">
        <v>74</v>
      </c>
      <c r="R76" t="s">
        <v>74</v>
      </c>
      <c r="S76" t="s">
        <v>74</v>
      </c>
      <c r="T76" t="s">
        <v>1784</v>
      </c>
      <c r="U76" t="s">
        <v>1785</v>
      </c>
      <c r="V76" t="s">
        <v>1786</v>
      </c>
      <c r="W76" t="s">
        <v>1787</v>
      </c>
      <c r="X76" t="s">
        <v>1788</v>
      </c>
      <c r="Y76" t="s">
        <v>1789</v>
      </c>
      <c r="Z76" t="s">
        <v>1790</v>
      </c>
      <c r="AA76" t="s">
        <v>1791</v>
      </c>
      <c r="AB76" t="s">
        <v>1792</v>
      </c>
      <c r="AC76" t="s">
        <v>1793</v>
      </c>
      <c r="AD76" t="s">
        <v>1794</v>
      </c>
      <c r="AE76" t="s">
        <v>1795</v>
      </c>
      <c r="AF76" t="s">
        <v>74</v>
      </c>
      <c r="AG76">
        <v>74</v>
      </c>
      <c r="AH76">
        <v>4</v>
      </c>
      <c r="AI76">
        <v>5</v>
      </c>
      <c r="AJ76">
        <v>0</v>
      </c>
      <c r="AK76">
        <v>5</v>
      </c>
      <c r="AL76" t="s">
        <v>1440</v>
      </c>
      <c r="AM76" t="s">
        <v>399</v>
      </c>
      <c r="AN76" t="s">
        <v>1441</v>
      </c>
      <c r="AO76" t="s">
        <v>1796</v>
      </c>
      <c r="AP76" t="s">
        <v>1797</v>
      </c>
      <c r="AQ76" t="s">
        <v>74</v>
      </c>
      <c r="AR76" t="s">
        <v>1798</v>
      </c>
      <c r="AS76" t="s">
        <v>1799</v>
      </c>
      <c r="AT76" t="s">
        <v>1001</v>
      </c>
      <c r="AU76">
        <v>2020</v>
      </c>
      <c r="AV76">
        <v>43</v>
      </c>
      <c r="AW76">
        <v>10</v>
      </c>
      <c r="AX76" t="s">
        <v>74</v>
      </c>
      <c r="AY76" t="s">
        <v>74</v>
      </c>
      <c r="AZ76" t="s">
        <v>74</v>
      </c>
      <c r="BA76" t="s">
        <v>74</v>
      </c>
      <c r="BB76">
        <v>1423</v>
      </c>
      <c r="BC76">
        <v>1437</v>
      </c>
      <c r="BD76" t="s">
        <v>74</v>
      </c>
      <c r="BE76" t="s">
        <v>1800</v>
      </c>
      <c r="BF76" t="str">
        <f>HYPERLINK("http://dx.doi.org/10.1007/s00300-020-02717-z","http://dx.doi.org/10.1007/s00300-020-02717-z")</f>
        <v>http://dx.doi.org/10.1007/s00300-020-02717-z</v>
      </c>
      <c r="BG76" t="s">
        <v>74</v>
      </c>
      <c r="BH76" t="s">
        <v>1003</v>
      </c>
      <c r="BI76">
        <v>15</v>
      </c>
      <c r="BJ76" t="s">
        <v>1004</v>
      </c>
      <c r="BK76" t="s">
        <v>102</v>
      </c>
      <c r="BL76" t="s">
        <v>1005</v>
      </c>
      <c r="BM76" t="s">
        <v>1801</v>
      </c>
      <c r="BN76" t="s">
        <v>74</v>
      </c>
      <c r="BO76" t="s">
        <v>1802</v>
      </c>
      <c r="BP76" t="s">
        <v>74</v>
      </c>
      <c r="BQ76" t="s">
        <v>74</v>
      </c>
      <c r="BR76" t="s">
        <v>106</v>
      </c>
      <c r="BS76" t="s">
        <v>1803</v>
      </c>
      <c r="BT76" t="str">
        <f>HYPERLINK("https%3A%2F%2Fwww.webofscience.com%2Fwos%2Fwoscc%2Ffull-record%2FWOS:000552161000001","View Full Record in Web of Science")</f>
        <v>View Full Record in Web of Science</v>
      </c>
    </row>
    <row r="77" spans="1:72" x14ac:dyDescent="0.15">
      <c r="A77" t="s">
        <v>72</v>
      </c>
      <c r="B77" t="s">
        <v>1804</v>
      </c>
      <c r="C77" t="s">
        <v>74</v>
      </c>
      <c r="D77" t="s">
        <v>74</v>
      </c>
      <c r="E77" t="s">
        <v>74</v>
      </c>
      <c r="F77" t="s">
        <v>1805</v>
      </c>
      <c r="G77" t="s">
        <v>74</v>
      </c>
      <c r="H77" t="s">
        <v>74</v>
      </c>
      <c r="I77" t="s">
        <v>1806</v>
      </c>
      <c r="J77" t="s">
        <v>1807</v>
      </c>
      <c r="K77" t="s">
        <v>74</v>
      </c>
      <c r="L77" t="s">
        <v>74</v>
      </c>
      <c r="M77" t="s">
        <v>78</v>
      </c>
      <c r="N77" t="s">
        <v>79</v>
      </c>
      <c r="O77" t="s">
        <v>74</v>
      </c>
      <c r="P77" t="s">
        <v>74</v>
      </c>
      <c r="Q77" t="s">
        <v>74</v>
      </c>
      <c r="R77" t="s">
        <v>74</v>
      </c>
      <c r="S77" t="s">
        <v>74</v>
      </c>
      <c r="T77" t="s">
        <v>74</v>
      </c>
      <c r="U77" t="s">
        <v>1808</v>
      </c>
      <c r="V77" t="s">
        <v>1809</v>
      </c>
      <c r="W77" t="s">
        <v>1810</v>
      </c>
      <c r="X77" t="s">
        <v>1811</v>
      </c>
      <c r="Y77" t="s">
        <v>1812</v>
      </c>
      <c r="Z77" t="s">
        <v>1813</v>
      </c>
      <c r="AA77" t="s">
        <v>1814</v>
      </c>
      <c r="AB77" t="s">
        <v>1815</v>
      </c>
      <c r="AC77" t="s">
        <v>1816</v>
      </c>
      <c r="AD77" t="s">
        <v>1817</v>
      </c>
      <c r="AE77" t="s">
        <v>1818</v>
      </c>
      <c r="AF77" t="s">
        <v>74</v>
      </c>
      <c r="AG77">
        <v>20</v>
      </c>
      <c r="AH77">
        <v>13</v>
      </c>
      <c r="AI77">
        <v>15</v>
      </c>
      <c r="AJ77">
        <v>0</v>
      </c>
      <c r="AK77">
        <v>4</v>
      </c>
      <c r="AL77" t="s">
        <v>994</v>
      </c>
      <c r="AM77" t="s">
        <v>995</v>
      </c>
      <c r="AN77" t="s">
        <v>996</v>
      </c>
      <c r="AO77" t="s">
        <v>1819</v>
      </c>
      <c r="AP77" t="s">
        <v>1820</v>
      </c>
      <c r="AQ77" t="s">
        <v>74</v>
      </c>
      <c r="AR77" t="s">
        <v>1821</v>
      </c>
      <c r="AS77" t="s">
        <v>1822</v>
      </c>
      <c r="AT77" t="s">
        <v>1823</v>
      </c>
      <c r="AU77">
        <v>2020</v>
      </c>
      <c r="AV77">
        <v>96</v>
      </c>
      <c r="AW77">
        <v>6</v>
      </c>
      <c r="AX77" t="s">
        <v>74</v>
      </c>
      <c r="AY77" t="s">
        <v>74</v>
      </c>
      <c r="AZ77" t="s">
        <v>74</v>
      </c>
      <c r="BA77" t="s">
        <v>74</v>
      </c>
      <c r="BB77">
        <v>1215</v>
      </c>
      <c r="BC77">
        <v>1220</v>
      </c>
      <c r="BD77" t="s">
        <v>74</v>
      </c>
      <c r="BE77" t="s">
        <v>1824</v>
      </c>
      <c r="BF77" t="str">
        <f>HYPERLINK("http://dx.doi.org/10.1111/php.13307","http://dx.doi.org/10.1111/php.13307")</f>
        <v>http://dx.doi.org/10.1111/php.13307</v>
      </c>
      <c r="BG77" t="s">
        <v>74</v>
      </c>
      <c r="BH77" t="s">
        <v>1003</v>
      </c>
      <c r="BI77">
        <v>6</v>
      </c>
      <c r="BJ77" t="s">
        <v>1825</v>
      </c>
      <c r="BK77" t="s">
        <v>102</v>
      </c>
      <c r="BL77" t="s">
        <v>1825</v>
      </c>
      <c r="BM77" t="s">
        <v>1826</v>
      </c>
      <c r="BN77">
        <v>32614978</v>
      </c>
      <c r="BO77" t="s">
        <v>74</v>
      </c>
      <c r="BP77" t="s">
        <v>74</v>
      </c>
      <c r="BQ77" t="s">
        <v>74</v>
      </c>
      <c r="BR77" t="s">
        <v>106</v>
      </c>
      <c r="BS77" t="s">
        <v>1827</v>
      </c>
      <c r="BT77" t="str">
        <f>HYPERLINK("https%3A%2F%2Fwww.webofscience.com%2Fwos%2Fwoscc%2Ffull-record%2FWOS:000551562400001","View Full Record in Web of Science")</f>
        <v>View Full Record in Web of Science</v>
      </c>
    </row>
    <row r="78" spans="1:72" x14ac:dyDescent="0.15">
      <c r="A78" t="s">
        <v>72</v>
      </c>
      <c r="B78" t="s">
        <v>1828</v>
      </c>
      <c r="C78" t="s">
        <v>74</v>
      </c>
      <c r="D78" t="s">
        <v>74</v>
      </c>
      <c r="E78" t="s">
        <v>74</v>
      </c>
      <c r="F78" t="s">
        <v>1829</v>
      </c>
      <c r="G78" t="s">
        <v>74</v>
      </c>
      <c r="H78" t="s">
        <v>74</v>
      </c>
      <c r="I78" t="s">
        <v>1830</v>
      </c>
      <c r="J78" t="s">
        <v>1231</v>
      </c>
      <c r="K78" t="s">
        <v>74</v>
      </c>
      <c r="L78" t="s">
        <v>74</v>
      </c>
      <c r="M78" t="s">
        <v>78</v>
      </c>
      <c r="N78" t="s">
        <v>79</v>
      </c>
      <c r="O78" t="s">
        <v>74</v>
      </c>
      <c r="P78" t="s">
        <v>74</v>
      </c>
      <c r="Q78" t="s">
        <v>74</v>
      </c>
      <c r="R78" t="s">
        <v>74</v>
      </c>
      <c r="S78" t="s">
        <v>74</v>
      </c>
      <c r="T78" t="s">
        <v>74</v>
      </c>
      <c r="U78" t="s">
        <v>1831</v>
      </c>
      <c r="V78" t="s">
        <v>1832</v>
      </c>
      <c r="W78" t="s">
        <v>1833</v>
      </c>
      <c r="X78" t="s">
        <v>1834</v>
      </c>
      <c r="Y78" t="s">
        <v>1835</v>
      </c>
      <c r="Z78" t="s">
        <v>1836</v>
      </c>
      <c r="AA78" t="s">
        <v>1837</v>
      </c>
      <c r="AB78" t="s">
        <v>1838</v>
      </c>
      <c r="AC78" t="s">
        <v>1839</v>
      </c>
      <c r="AD78" t="s">
        <v>1840</v>
      </c>
      <c r="AE78" t="s">
        <v>1841</v>
      </c>
      <c r="AF78" t="s">
        <v>74</v>
      </c>
      <c r="AG78">
        <v>74</v>
      </c>
      <c r="AH78">
        <v>34</v>
      </c>
      <c r="AI78">
        <v>34</v>
      </c>
      <c r="AJ78">
        <v>4</v>
      </c>
      <c r="AK78">
        <v>26</v>
      </c>
      <c r="AL78" t="s">
        <v>1118</v>
      </c>
      <c r="AM78" t="s">
        <v>1119</v>
      </c>
      <c r="AN78" t="s">
        <v>1120</v>
      </c>
      <c r="AO78" t="s">
        <v>1241</v>
      </c>
      <c r="AP78" t="s">
        <v>1242</v>
      </c>
      <c r="AQ78" t="s">
        <v>74</v>
      </c>
      <c r="AR78" t="s">
        <v>1231</v>
      </c>
      <c r="AS78" t="s">
        <v>1243</v>
      </c>
      <c r="AT78" t="s">
        <v>1842</v>
      </c>
      <c r="AU78">
        <v>2020</v>
      </c>
      <c r="AV78">
        <v>583</v>
      </c>
      <c r="AW78">
        <v>7817</v>
      </c>
      <c r="AX78" t="s">
        <v>74</v>
      </c>
      <c r="AY78" t="s">
        <v>74</v>
      </c>
      <c r="AZ78" t="s">
        <v>74</v>
      </c>
      <c r="BA78" t="s">
        <v>74</v>
      </c>
      <c r="BB78">
        <v>567</v>
      </c>
      <c r="BC78" t="s">
        <v>1244</v>
      </c>
      <c r="BD78" t="s">
        <v>74</v>
      </c>
      <c r="BE78" t="s">
        <v>1843</v>
      </c>
      <c r="BF78" t="str">
        <f>HYPERLINK("http://dx.doi.org/10.1038/s41586-020-2506-3","http://dx.doi.org/10.1038/s41586-020-2506-3")</f>
        <v>http://dx.doi.org/10.1038/s41586-020-2506-3</v>
      </c>
      <c r="BG78" t="s">
        <v>74</v>
      </c>
      <c r="BH78" t="s">
        <v>74</v>
      </c>
      <c r="BI78">
        <v>16</v>
      </c>
      <c r="BJ78" t="s">
        <v>1125</v>
      </c>
      <c r="BK78" t="s">
        <v>102</v>
      </c>
      <c r="BL78" t="s">
        <v>1126</v>
      </c>
      <c r="BM78" t="s">
        <v>1844</v>
      </c>
      <c r="BN78">
        <v>32669711</v>
      </c>
      <c r="BO78" t="s">
        <v>74</v>
      </c>
      <c r="BP78" t="s">
        <v>74</v>
      </c>
      <c r="BQ78" t="s">
        <v>74</v>
      </c>
      <c r="BR78" t="s">
        <v>106</v>
      </c>
      <c r="BS78" t="s">
        <v>1845</v>
      </c>
      <c r="BT78" t="str">
        <f>HYPERLINK("https%3A%2F%2Fwww.webofscience.com%2Fwos%2Fwoscc%2Ffull-record%2FWOS:000623847300001","View Full Record in Web of Science")</f>
        <v>View Full Record in Web of Science</v>
      </c>
    </row>
    <row r="79" spans="1:72" x14ac:dyDescent="0.15">
      <c r="A79" t="s">
        <v>72</v>
      </c>
      <c r="B79" t="s">
        <v>1846</v>
      </c>
      <c r="C79" t="s">
        <v>74</v>
      </c>
      <c r="D79" t="s">
        <v>74</v>
      </c>
      <c r="E79" t="s">
        <v>74</v>
      </c>
      <c r="F79" t="s">
        <v>1847</v>
      </c>
      <c r="G79" t="s">
        <v>74</v>
      </c>
      <c r="H79" t="s">
        <v>74</v>
      </c>
      <c r="I79" t="s">
        <v>1848</v>
      </c>
      <c r="J79" t="s">
        <v>1849</v>
      </c>
      <c r="K79" t="s">
        <v>74</v>
      </c>
      <c r="L79" t="s">
        <v>74</v>
      </c>
      <c r="M79" t="s">
        <v>78</v>
      </c>
      <c r="N79" t="s">
        <v>1850</v>
      </c>
      <c r="O79" t="s">
        <v>74</v>
      </c>
      <c r="P79" t="s">
        <v>74</v>
      </c>
      <c r="Q79" t="s">
        <v>74</v>
      </c>
      <c r="R79" t="s">
        <v>74</v>
      </c>
      <c r="S79" t="s">
        <v>74</v>
      </c>
      <c r="T79" t="s">
        <v>1851</v>
      </c>
      <c r="U79" t="s">
        <v>1852</v>
      </c>
      <c r="V79" t="s">
        <v>74</v>
      </c>
      <c r="W79" t="s">
        <v>1853</v>
      </c>
      <c r="X79" t="s">
        <v>1854</v>
      </c>
      <c r="Y79" t="s">
        <v>1855</v>
      </c>
      <c r="Z79" t="s">
        <v>1856</v>
      </c>
      <c r="AA79" t="s">
        <v>1857</v>
      </c>
      <c r="AB79" t="s">
        <v>1858</v>
      </c>
      <c r="AC79" t="s">
        <v>1859</v>
      </c>
      <c r="AD79" t="s">
        <v>1860</v>
      </c>
      <c r="AE79" t="s">
        <v>1861</v>
      </c>
      <c r="AF79" t="s">
        <v>74</v>
      </c>
      <c r="AG79">
        <v>16</v>
      </c>
      <c r="AH79">
        <v>1</v>
      </c>
      <c r="AI79">
        <v>1</v>
      </c>
      <c r="AJ79">
        <v>0</v>
      </c>
      <c r="AK79">
        <v>13</v>
      </c>
      <c r="AL79" t="s">
        <v>994</v>
      </c>
      <c r="AM79" t="s">
        <v>995</v>
      </c>
      <c r="AN79" t="s">
        <v>996</v>
      </c>
      <c r="AO79" t="s">
        <v>1862</v>
      </c>
      <c r="AP79" t="s">
        <v>1863</v>
      </c>
      <c r="AQ79" t="s">
        <v>74</v>
      </c>
      <c r="AR79" t="s">
        <v>1849</v>
      </c>
      <c r="AS79" t="s">
        <v>1446</v>
      </c>
      <c r="AT79" t="s">
        <v>1823</v>
      </c>
      <c r="AU79">
        <v>2020</v>
      </c>
      <c r="AV79">
        <v>101</v>
      </c>
      <c r="AW79">
        <v>11</v>
      </c>
      <c r="AX79" t="s">
        <v>74</v>
      </c>
      <c r="AY79" t="s">
        <v>74</v>
      </c>
      <c r="AZ79" t="s">
        <v>74</v>
      </c>
      <c r="BA79" t="s">
        <v>74</v>
      </c>
      <c r="BB79" t="s">
        <v>74</v>
      </c>
      <c r="BC79" t="s">
        <v>74</v>
      </c>
      <c r="BD79" t="s">
        <v>1864</v>
      </c>
      <c r="BE79" t="s">
        <v>1865</v>
      </c>
      <c r="BF79" t="str">
        <f>HYPERLINK("http://dx.doi.org/10.1002/ecy.3125","http://dx.doi.org/10.1002/ecy.3125")</f>
        <v>http://dx.doi.org/10.1002/ecy.3125</v>
      </c>
      <c r="BG79" t="s">
        <v>74</v>
      </c>
      <c r="BH79" t="s">
        <v>1003</v>
      </c>
      <c r="BI79">
        <v>4</v>
      </c>
      <c r="BJ79" t="s">
        <v>1446</v>
      </c>
      <c r="BK79" t="s">
        <v>102</v>
      </c>
      <c r="BL79" t="s">
        <v>103</v>
      </c>
      <c r="BM79" t="s">
        <v>1866</v>
      </c>
      <c r="BN79">
        <v>32602139</v>
      </c>
      <c r="BO79" t="s">
        <v>491</v>
      </c>
      <c r="BP79" t="s">
        <v>74</v>
      </c>
      <c r="BQ79" t="s">
        <v>74</v>
      </c>
      <c r="BR79" t="s">
        <v>106</v>
      </c>
      <c r="BS79" t="s">
        <v>1867</v>
      </c>
      <c r="BT79" t="str">
        <f>HYPERLINK("https%3A%2F%2Fwww.webofscience.com%2Fwos%2Fwoscc%2Ffull-record%2FWOS:000551292600001","View Full Record in Web of Science")</f>
        <v>View Full Record in Web of Science</v>
      </c>
    </row>
    <row r="80" spans="1:72" x14ac:dyDescent="0.15">
      <c r="A80" t="s">
        <v>72</v>
      </c>
      <c r="B80" t="s">
        <v>1868</v>
      </c>
      <c r="C80" t="s">
        <v>74</v>
      </c>
      <c r="D80" t="s">
        <v>74</v>
      </c>
      <c r="E80" t="s">
        <v>74</v>
      </c>
      <c r="F80" t="s">
        <v>1869</v>
      </c>
      <c r="G80" t="s">
        <v>74</v>
      </c>
      <c r="H80" t="s">
        <v>74</v>
      </c>
      <c r="I80" t="s">
        <v>1870</v>
      </c>
      <c r="J80" t="s">
        <v>1106</v>
      </c>
      <c r="K80" t="s">
        <v>74</v>
      </c>
      <c r="L80" t="s">
        <v>74</v>
      </c>
      <c r="M80" t="s">
        <v>78</v>
      </c>
      <c r="N80" t="s">
        <v>79</v>
      </c>
      <c r="O80" t="s">
        <v>74</v>
      </c>
      <c r="P80" t="s">
        <v>74</v>
      </c>
      <c r="Q80" t="s">
        <v>74</v>
      </c>
      <c r="R80" t="s">
        <v>74</v>
      </c>
      <c r="S80" t="s">
        <v>74</v>
      </c>
      <c r="T80" t="s">
        <v>74</v>
      </c>
      <c r="U80" t="s">
        <v>1871</v>
      </c>
      <c r="V80" t="s">
        <v>1872</v>
      </c>
      <c r="W80" t="s">
        <v>1873</v>
      </c>
      <c r="X80" t="s">
        <v>1874</v>
      </c>
      <c r="Y80" t="s">
        <v>1875</v>
      </c>
      <c r="Z80" t="s">
        <v>1876</v>
      </c>
      <c r="AA80" t="s">
        <v>74</v>
      </c>
      <c r="AB80" t="s">
        <v>1877</v>
      </c>
      <c r="AC80" t="s">
        <v>1878</v>
      </c>
      <c r="AD80" t="s">
        <v>1879</v>
      </c>
      <c r="AE80" t="s">
        <v>1880</v>
      </c>
      <c r="AF80" t="s">
        <v>74</v>
      </c>
      <c r="AG80">
        <v>71</v>
      </c>
      <c r="AH80">
        <v>8</v>
      </c>
      <c r="AI80">
        <v>10</v>
      </c>
      <c r="AJ80">
        <v>2</v>
      </c>
      <c r="AK80">
        <v>12</v>
      </c>
      <c r="AL80" t="s">
        <v>1118</v>
      </c>
      <c r="AM80" t="s">
        <v>1119</v>
      </c>
      <c r="AN80" t="s">
        <v>1120</v>
      </c>
      <c r="AO80" t="s">
        <v>1121</v>
      </c>
      <c r="AP80" t="s">
        <v>74</v>
      </c>
      <c r="AQ80" t="s">
        <v>74</v>
      </c>
      <c r="AR80" t="s">
        <v>1122</v>
      </c>
      <c r="AS80" t="s">
        <v>1123</v>
      </c>
      <c r="AT80" t="s">
        <v>1842</v>
      </c>
      <c r="AU80">
        <v>2020</v>
      </c>
      <c r="AV80">
        <v>10</v>
      </c>
      <c r="AW80">
        <v>1</v>
      </c>
      <c r="AX80" t="s">
        <v>74</v>
      </c>
      <c r="AY80" t="s">
        <v>74</v>
      </c>
      <c r="AZ80" t="s">
        <v>74</v>
      </c>
      <c r="BA80" t="s">
        <v>74</v>
      </c>
      <c r="BB80" t="s">
        <v>74</v>
      </c>
      <c r="BC80" t="s">
        <v>74</v>
      </c>
      <c r="BD80">
        <v>12290</v>
      </c>
      <c r="BE80" t="s">
        <v>1881</v>
      </c>
      <c r="BF80" t="str">
        <f>HYPERLINK("http://dx.doi.org/10.1038/s41598-020-69116-6","http://dx.doi.org/10.1038/s41598-020-69116-6")</f>
        <v>http://dx.doi.org/10.1038/s41598-020-69116-6</v>
      </c>
      <c r="BG80" t="s">
        <v>74</v>
      </c>
      <c r="BH80" t="s">
        <v>74</v>
      </c>
      <c r="BI80">
        <v>12</v>
      </c>
      <c r="BJ80" t="s">
        <v>1125</v>
      </c>
      <c r="BK80" t="s">
        <v>102</v>
      </c>
      <c r="BL80" t="s">
        <v>1126</v>
      </c>
      <c r="BM80" t="s">
        <v>1882</v>
      </c>
      <c r="BN80">
        <v>32704043</v>
      </c>
      <c r="BO80" t="s">
        <v>1778</v>
      </c>
      <c r="BP80" t="s">
        <v>74</v>
      </c>
      <c r="BQ80" t="s">
        <v>74</v>
      </c>
      <c r="BR80" t="s">
        <v>106</v>
      </c>
      <c r="BS80" t="s">
        <v>1883</v>
      </c>
      <c r="BT80" t="str">
        <f>HYPERLINK("https%3A%2F%2Fwww.webofscience.com%2Fwos%2Fwoscc%2Ffull-record%2FWOS:000556697300009","View Full Record in Web of Science")</f>
        <v>View Full Record in Web of Science</v>
      </c>
    </row>
    <row r="81" spans="1:72" x14ac:dyDescent="0.15">
      <c r="A81" t="s">
        <v>72</v>
      </c>
      <c r="B81" t="s">
        <v>1884</v>
      </c>
      <c r="C81" t="s">
        <v>74</v>
      </c>
      <c r="D81" t="s">
        <v>74</v>
      </c>
      <c r="E81" t="s">
        <v>74</v>
      </c>
      <c r="F81" t="s">
        <v>1885</v>
      </c>
      <c r="G81" t="s">
        <v>74</v>
      </c>
      <c r="H81" t="s">
        <v>74</v>
      </c>
      <c r="I81" t="s">
        <v>1886</v>
      </c>
      <c r="J81" t="s">
        <v>1887</v>
      </c>
      <c r="K81" t="s">
        <v>74</v>
      </c>
      <c r="L81" t="s">
        <v>74</v>
      </c>
      <c r="M81" t="s">
        <v>78</v>
      </c>
      <c r="N81" t="s">
        <v>79</v>
      </c>
      <c r="O81" t="s">
        <v>74</v>
      </c>
      <c r="P81" t="s">
        <v>74</v>
      </c>
      <c r="Q81" t="s">
        <v>74</v>
      </c>
      <c r="R81" t="s">
        <v>74</v>
      </c>
      <c r="S81" t="s">
        <v>74</v>
      </c>
      <c r="T81" t="s">
        <v>74</v>
      </c>
      <c r="U81" t="s">
        <v>1888</v>
      </c>
      <c r="V81" t="s">
        <v>1889</v>
      </c>
      <c r="W81" t="s">
        <v>1890</v>
      </c>
      <c r="X81" t="s">
        <v>1891</v>
      </c>
      <c r="Y81" t="s">
        <v>1892</v>
      </c>
      <c r="Z81" t="s">
        <v>1893</v>
      </c>
      <c r="AA81" t="s">
        <v>1894</v>
      </c>
      <c r="AB81" t="s">
        <v>1895</v>
      </c>
      <c r="AC81" t="s">
        <v>1896</v>
      </c>
      <c r="AD81" t="s">
        <v>1897</v>
      </c>
      <c r="AE81" t="s">
        <v>1898</v>
      </c>
      <c r="AF81" t="s">
        <v>74</v>
      </c>
      <c r="AG81">
        <v>117</v>
      </c>
      <c r="AH81">
        <v>5</v>
      </c>
      <c r="AI81">
        <v>7</v>
      </c>
      <c r="AJ81">
        <v>0</v>
      </c>
      <c r="AK81">
        <v>10</v>
      </c>
      <c r="AL81" t="s">
        <v>1049</v>
      </c>
      <c r="AM81" t="s">
        <v>1050</v>
      </c>
      <c r="AN81" t="s">
        <v>1051</v>
      </c>
      <c r="AO81" t="s">
        <v>1899</v>
      </c>
      <c r="AP81" t="s">
        <v>1900</v>
      </c>
      <c r="AQ81" t="s">
        <v>74</v>
      </c>
      <c r="AR81" t="s">
        <v>1887</v>
      </c>
      <c r="AS81" t="s">
        <v>1901</v>
      </c>
      <c r="AT81" t="s">
        <v>1842</v>
      </c>
      <c r="AU81">
        <v>2020</v>
      </c>
      <c r="AV81">
        <v>17</v>
      </c>
      <c r="AW81">
        <v>14</v>
      </c>
      <c r="AX81" t="s">
        <v>74</v>
      </c>
      <c r="AY81" t="s">
        <v>74</v>
      </c>
      <c r="AZ81" t="s">
        <v>74</v>
      </c>
      <c r="BA81" t="s">
        <v>74</v>
      </c>
      <c r="BB81">
        <v>3815</v>
      </c>
      <c r="BC81">
        <v>3835</v>
      </c>
      <c r="BD81" t="s">
        <v>74</v>
      </c>
      <c r="BE81" t="s">
        <v>1902</v>
      </c>
      <c r="BF81" t="str">
        <f>HYPERLINK("http://dx.doi.org/10.5194/bg-17-3815-2020","http://dx.doi.org/10.5194/bg-17-3815-2020")</f>
        <v>http://dx.doi.org/10.5194/bg-17-3815-2020</v>
      </c>
      <c r="BG81" t="s">
        <v>74</v>
      </c>
      <c r="BH81" t="s">
        <v>74</v>
      </c>
      <c r="BI81">
        <v>21</v>
      </c>
      <c r="BJ81" t="s">
        <v>1903</v>
      </c>
      <c r="BK81" t="s">
        <v>102</v>
      </c>
      <c r="BL81" t="s">
        <v>1904</v>
      </c>
      <c r="BM81" t="s">
        <v>1905</v>
      </c>
      <c r="BN81" t="s">
        <v>74</v>
      </c>
      <c r="BO81" t="s">
        <v>1906</v>
      </c>
      <c r="BP81" t="s">
        <v>74</v>
      </c>
      <c r="BQ81" t="s">
        <v>74</v>
      </c>
      <c r="BR81" t="s">
        <v>106</v>
      </c>
      <c r="BS81" t="s">
        <v>1907</v>
      </c>
      <c r="BT81" t="str">
        <f>HYPERLINK("https%3A%2F%2Fwww.webofscience.com%2Fwos%2Fwoscc%2Ffull-record%2FWOS:000555401600002","View Full Record in Web of Science")</f>
        <v>View Full Record in Web of Science</v>
      </c>
    </row>
    <row r="82" spans="1:72" x14ac:dyDescent="0.15">
      <c r="A82" t="s">
        <v>72</v>
      </c>
      <c r="B82" t="s">
        <v>1908</v>
      </c>
      <c r="C82" t="s">
        <v>74</v>
      </c>
      <c r="D82" t="s">
        <v>74</v>
      </c>
      <c r="E82" t="s">
        <v>74</v>
      </c>
      <c r="F82" t="s">
        <v>1909</v>
      </c>
      <c r="G82" t="s">
        <v>74</v>
      </c>
      <c r="H82" t="s">
        <v>74</v>
      </c>
      <c r="I82" t="s">
        <v>1910</v>
      </c>
      <c r="J82" t="s">
        <v>1911</v>
      </c>
      <c r="K82" t="s">
        <v>74</v>
      </c>
      <c r="L82" t="s">
        <v>74</v>
      </c>
      <c r="M82" t="s">
        <v>78</v>
      </c>
      <c r="N82" t="s">
        <v>79</v>
      </c>
      <c r="O82" t="s">
        <v>74</v>
      </c>
      <c r="P82" t="s">
        <v>74</v>
      </c>
      <c r="Q82" t="s">
        <v>74</v>
      </c>
      <c r="R82" t="s">
        <v>74</v>
      </c>
      <c r="S82" t="s">
        <v>74</v>
      </c>
      <c r="T82" t="s">
        <v>1912</v>
      </c>
      <c r="U82" t="s">
        <v>1913</v>
      </c>
      <c r="V82" t="s">
        <v>1914</v>
      </c>
      <c r="W82" t="s">
        <v>1915</v>
      </c>
      <c r="X82" t="s">
        <v>1916</v>
      </c>
      <c r="Y82" t="s">
        <v>1917</v>
      </c>
      <c r="Z82" t="s">
        <v>1918</v>
      </c>
      <c r="AA82" t="s">
        <v>1919</v>
      </c>
      <c r="AB82" t="s">
        <v>1920</v>
      </c>
      <c r="AC82" t="s">
        <v>1921</v>
      </c>
      <c r="AD82" t="s">
        <v>1922</v>
      </c>
      <c r="AE82" t="s">
        <v>1923</v>
      </c>
      <c r="AF82" t="s">
        <v>74</v>
      </c>
      <c r="AG82">
        <v>84</v>
      </c>
      <c r="AH82">
        <v>5</v>
      </c>
      <c r="AI82">
        <v>5</v>
      </c>
      <c r="AJ82">
        <v>2</v>
      </c>
      <c r="AK82">
        <v>22</v>
      </c>
      <c r="AL82" t="s">
        <v>1924</v>
      </c>
      <c r="AM82" t="s">
        <v>1925</v>
      </c>
      <c r="AN82" t="s">
        <v>1926</v>
      </c>
      <c r="AO82" t="s">
        <v>1927</v>
      </c>
      <c r="AP82" t="s">
        <v>1928</v>
      </c>
      <c r="AQ82" t="s">
        <v>74</v>
      </c>
      <c r="AR82" t="s">
        <v>1911</v>
      </c>
      <c r="AS82" t="s">
        <v>1929</v>
      </c>
      <c r="AT82" t="s">
        <v>1930</v>
      </c>
      <c r="AU82">
        <v>2020</v>
      </c>
      <c r="AV82">
        <v>24</v>
      </c>
      <c r="AW82">
        <v>5</v>
      </c>
      <c r="AX82" t="s">
        <v>74</v>
      </c>
      <c r="AY82" t="s">
        <v>74</v>
      </c>
      <c r="AZ82" t="s">
        <v>74</v>
      </c>
      <c r="BA82" t="s">
        <v>74</v>
      </c>
      <c r="BB82">
        <v>749</v>
      </c>
      <c r="BC82">
        <v>758</v>
      </c>
      <c r="BD82" t="s">
        <v>74</v>
      </c>
      <c r="BE82" t="s">
        <v>1931</v>
      </c>
      <c r="BF82" t="str">
        <f>HYPERLINK("http://dx.doi.org/10.1007/s00792-020-01191-z","http://dx.doi.org/10.1007/s00792-020-01191-z")</f>
        <v>http://dx.doi.org/10.1007/s00792-020-01191-z</v>
      </c>
      <c r="BG82" t="s">
        <v>74</v>
      </c>
      <c r="BH82" t="s">
        <v>1003</v>
      </c>
      <c r="BI82">
        <v>10</v>
      </c>
      <c r="BJ82" t="s">
        <v>1932</v>
      </c>
      <c r="BK82" t="s">
        <v>102</v>
      </c>
      <c r="BL82" t="s">
        <v>1932</v>
      </c>
      <c r="BM82" t="s">
        <v>1933</v>
      </c>
      <c r="BN82">
        <v>32705341</v>
      </c>
      <c r="BO82" t="s">
        <v>74</v>
      </c>
      <c r="BP82" t="s">
        <v>74</v>
      </c>
      <c r="BQ82" t="s">
        <v>74</v>
      </c>
      <c r="BR82" t="s">
        <v>106</v>
      </c>
      <c r="BS82" t="s">
        <v>1934</v>
      </c>
      <c r="BT82" t="str">
        <f>HYPERLINK("https%3A%2F%2Fwww.webofscience.com%2Fwos%2Fwoscc%2Ffull-record%2FWOS:000551779400001","View Full Record in Web of Science")</f>
        <v>View Full Record in Web of Science</v>
      </c>
    </row>
    <row r="83" spans="1:72" x14ac:dyDescent="0.15">
      <c r="A83" t="s">
        <v>72</v>
      </c>
      <c r="B83" t="s">
        <v>1935</v>
      </c>
      <c r="C83" t="s">
        <v>74</v>
      </c>
      <c r="D83" t="s">
        <v>74</v>
      </c>
      <c r="E83" t="s">
        <v>74</v>
      </c>
      <c r="F83" t="s">
        <v>1936</v>
      </c>
      <c r="G83" t="s">
        <v>74</v>
      </c>
      <c r="H83" t="s">
        <v>74</v>
      </c>
      <c r="I83" t="s">
        <v>1937</v>
      </c>
      <c r="J83" t="s">
        <v>1783</v>
      </c>
      <c r="K83" t="s">
        <v>74</v>
      </c>
      <c r="L83" t="s">
        <v>74</v>
      </c>
      <c r="M83" t="s">
        <v>78</v>
      </c>
      <c r="N83" t="s">
        <v>79</v>
      </c>
      <c r="O83" t="s">
        <v>74</v>
      </c>
      <c r="P83" t="s">
        <v>74</v>
      </c>
      <c r="Q83" t="s">
        <v>74</v>
      </c>
      <c r="R83" t="s">
        <v>74</v>
      </c>
      <c r="S83" t="s">
        <v>74</v>
      </c>
      <c r="T83" t="s">
        <v>1938</v>
      </c>
      <c r="U83" t="s">
        <v>1939</v>
      </c>
      <c r="V83" t="s">
        <v>1940</v>
      </c>
      <c r="W83" t="s">
        <v>1941</v>
      </c>
      <c r="X83" t="s">
        <v>1942</v>
      </c>
      <c r="Y83" t="s">
        <v>1943</v>
      </c>
      <c r="Z83" t="s">
        <v>1944</v>
      </c>
      <c r="AA83" t="s">
        <v>74</v>
      </c>
      <c r="AB83" t="s">
        <v>74</v>
      </c>
      <c r="AC83" t="s">
        <v>1945</v>
      </c>
      <c r="AD83" t="s">
        <v>1946</v>
      </c>
      <c r="AE83" t="s">
        <v>1947</v>
      </c>
      <c r="AF83" t="s">
        <v>74</v>
      </c>
      <c r="AG83">
        <v>62</v>
      </c>
      <c r="AH83">
        <v>8</v>
      </c>
      <c r="AI83">
        <v>8</v>
      </c>
      <c r="AJ83">
        <v>0</v>
      </c>
      <c r="AK83">
        <v>7</v>
      </c>
      <c r="AL83" t="s">
        <v>1440</v>
      </c>
      <c r="AM83" t="s">
        <v>399</v>
      </c>
      <c r="AN83" t="s">
        <v>1441</v>
      </c>
      <c r="AO83" t="s">
        <v>1796</v>
      </c>
      <c r="AP83" t="s">
        <v>1797</v>
      </c>
      <c r="AQ83" t="s">
        <v>74</v>
      </c>
      <c r="AR83" t="s">
        <v>1798</v>
      </c>
      <c r="AS83" t="s">
        <v>1799</v>
      </c>
      <c r="AT83" t="s">
        <v>1930</v>
      </c>
      <c r="AU83">
        <v>2020</v>
      </c>
      <c r="AV83">
        <v>43</v>
      </c>
      <c r="AW83">
        <v>9</v>
      </c>
      <c r="AX83" t="s">
        <v>74</v>
      </c>
      <c r="AY83" t="s">
        <v>74</v>
      </c>
      <c r="AZ83" t="s">
        <v>74</v>
      </c>
      <c r="BA83" t="s">
        <v>74</v>
      </c>
      <c r="BB83">
        <v>1175</v>
      </c>
      <c r="BC83">
        <v>1191</v>
      </c>
      <c r="BD83" t="s">
        <v>74</v>
      </c>
      <c r="BE83" t="s">
        <v>1948</v>
      </c>
      <c r="BF83" t="str">
        <f>HYPERLINK("http://dx.doi.org/10.1007/s00300-020-02698-z","http://dx.doi.org/10.1007/s00300-020-02698-z")</f>
        <v>http://dx.doi.org/10.1007/s00300-020-02698-z</v>
      </c>
      <c r="BG83" t="s">
        <v>74</v>
      </c>
      <c r="BH83" t="s">
        <v>1003</v>
      </c>
      <c r="BI83">
        <v>17</v>
      </c>
      <c r="BJ83" t="s">
        <v>1004</v>
      </c>
      <c r="BK83" t="s">
        <v>102</v>
      </c>
      <c r="BL83" t="s">
        <v>1005</v>
      </c>
      <c r="BM83" t="s">
        <v>1949</v>
      </c>
      <c r="BN83" t="s">
        <v>74</v>
      </c>
      <c r="BO83" t="s">
        <v>74</v>
      </c>
      <c r="BP83" t="s">
        <v>74</v>
      </c>
      <c r="BQ83" t="s">
        <v>74</v>
      </c>
      <c r="BR83" t="s">
        <v>106</v>
      </c>
      <c r="BS83" t="s">
        <v>1950</v>
      </c>
      <c r="BT83" t="str">
        <f>HYPERLINK("https%3A%2F%2Fwww.webofscience.com%2Fwos%2Fwoscc%2Ffull-record%2FWOS:000551753600001","View Full Record in Web of Science")</f>
        <v>View Full Record in Web of Science</v>
      </c>
    </row>
    <row r="84" spans="1:72" x14ac:dyDescent="0.15">
      <c r="A84" t="s">
        <v>72</v>
      </c>
      <c r="B84" t="s">
        <v>1951</v>
      </c>
      <c r="C84" t="s">
        <v>74</v>
      </c>
      <c r="D84" t="s">
        <v>74</v>
      </c>
      <c r="E84" t="s">
        <v>74</v>
      </c>
      <c r="F84" t="s">
        <v>1952</v>
      </c>
      <c r="G84" t="s">
        <v>74</v>
      </c>
      <c r="H84" t="s">
        <v>74</v>
      </c>
      <c r="I84" t="s">
        <v>1953</v>
      </c>
      <c r="J84" t="s">
        <v>1783</v>
      </c>
      <c r="K84" t="s">
        <v>74</v>
      </c>
      <c r="L84" t="s">
        <v>74</v>
      </c>
      <c r="M84" t="s">
        <v>78</v>
      </c>
      <c r="N84" t="s">
        <v>79</v>
      </c>
      <c r="O84" t="s">
        <v>74</v>
      </c>
      <c r="P84" t="s">
        <v>74</v>
      </c>
      <c r="Q84" t="s">
        <v>74</v>
      </c>
      <c r="R84" t="s">
        <v>74</v>
      </c>
      <c r="S84" t="s">
        <v>74</v>
      </c>
      <c r="T84" t="s">
        <v>1954</v>
      </c>
      <c r="U84" t="s">
        <v>1955</v>
      </c>
      <c r="V84" t="s">
        <v>1956</v>
      </c>
      <c r="W84" t="s">
        <v>1957</v>
      </c>
      <c r="X84" t="s">
        <v>1958</v>
      </c>
      <c r="Y84" t="s">
        <v>1959</v>
      </c>
      <c r="Z84" t="s">
        <v>1960</v>
      </c>
      <c r="AA84" t="s">
        <v>74</v>
      </c>
      <c r="AB84" t="s">
        <v>74</v>
      </c>
      <c r="AC84" t="s">
        <v>1961</v>
      </c>
      <c r="AD84" t="s">
        <v>1860</v>
      </c>
      <c r="AE84" t="s">
        <v>1962</v>
      </c>
      <c r="AF84" t="s">
        <v>74</v>
      </c>
      <c r="AG84">
        <v>99</v>
      </c>
      <c r="AH84">
        <v>0</v>
      </c>
      <c r="AI84">
        <v>0</v>
      </c>
      <c r="AJ84">
        <v>3</v>
      </c>
      <c r="AK84">
        <v>12</v>
      </c>
      <c r="AL84" t="s">
        <v>1440</v>
      </c>
      <c r="AM84" t="s">
        <v>399</v>
      </c>
      <c r="AN84" t="s">
        <v>1441</v>
      </c>
      <c r="AO84" t="s">
        <v>1796</v>
      </c>
      <c r="AP84" t="s">
        <v>1797</v>
      </c>
      <c r="AQ84" t="s">
        <v>74</v>
      </c>
      <c r="AR84" t="s">
        <v>1798</v>
      </c>
      <c r="AS84" t="s">
        <v>1799</v>
      </c>
      <c r="AT84" t="s">
        <v>1001</v>
      </c>
      <c r="AU84">
        <v>2020</v>
      </c>
      <c r="AV84">
        <v>43</v>
      </c>
      <c r="AW84">
        <v>10</v>
      </c>
      <c r="AX84" t="s">
        <v>74</v>
      </c>
      <c r="AY84" t="s">
        <v>74</v>
      </c>
      <c r="AZ84" t="s">
        <v>74</v>
      </c>
      <c r="BA84" t="s">
        <v>74</v>
      </c>
      <c r="BB84">
        <v>1439</v>
      </c>
      <c r="BC84">
        <v>1451</v>
      </c>
      <c r="BD84" t="s">
        <v>74</v>
      </c>
      <c r="BE84" t="s">
        <v>1963</v>
      </c>
      <c r="BF84" t="str">
        <f>HYPERLINK("http://dx.doi.org/10.1007/s00300-020-02720-4","http://dx.doi.org/10.1007/s00300-020-02720-4")</f>
        <v>http://dx.doi.org/10.1007/s00300-020-02720-4</v>
      </c>
      <c r="BG84" t="s">
        <v>74</v>
      </c>
      <c r="BH84" t="s">
        <v>1003</v>
      </c>
      <c r="BI84">
        <v>13</v>
      </c>
      <c r="BJ84" t="s">
        <v>1004</v>
      </c>
      <c r="BK84" t="s">
        <v>102</v>
      </c>
      <c r="BL84" t="s">
        <v>1005</v>
      </c>
      <c r="BM84" t="s">
        <v>1801</v>
      </c>
      <c r="BN84" t="s">
        <v>74</v>
      </c>
      <c r="BO84" t="s">
        <v>189</v>
      </c>
      <c r="BP84" t="s">
        <v>74</v>
      </c>
      <c r="BQ84" t="s">
        <v>74</v>
      </c>
      <c r="BR84" t="s">
        <v>106</v>
      </c>
      <c r="BS84" t="s">
        <v>1964</v>
      </c>
      <c r="BT84" t="str">
        <f>HYPERLINK("https%3A%2F%2Fwww.webofscience.com%2Fwos%2Fwoscc%2Ffull-record%2FWOS:000551753600002","View Full Record in Web of Science")</f>
        <v>View Full Record in Web of Science</v>
      </c>
    </row>
    <row r="85" spans="1:72" x14ac:dyDescent="0.15">
      <c r="A85" t="s">
        <v>72</v>
      </c>
      <c r="B85" t="s">
        <v>1965</v>
      </c>
      <c r="C85" t="s">
        <v>74</v>
      </c>
      <c r="D85" t="s">
        <v>74</v>
      </c>
      <c r="E85" t="s">
        <v>74</v>
      </c>
      <c r="F85" t="s">
        <v>1966</v>
      </c>
      <c r="G85" t="s">
        <v>74</v>
      </c>
      <c r="H85" t="s">
        <v>74</v>
      </c>
      <c r="I85" t="s">
        <v>1967</v>
      </c>
      <c r="J85" t="s">
        <v>1968</v>
      </c>
      <c r="K85" t="s">
        <v>74</v>
      </c>
      <c r="L85" t="s">
        <v>74</v>
      </c>
      <c r="M85" t="s">
        <v>78</v>
      </c>
      <c r="N85" t="s">
        <v>245</v>
      </c>
      <c r="O85" t="s">
        <v>74</v>
      </c>
      <c r="P85" t="s">
        <v>74</v>
      </c>
      <c r="Q85" t="s">
        <v>74</v>
      </c>
      <c r="R85" t="s">
        <v>74</v>
      </c>
      <c r="S85" t="s">
        <v>74</v>
      </c>
      <c r="T85" t="s">
        <v>1969</v>
      </c>
      <c r="U85" t="s">
        <v>1970</v>
      </c>
      <c r="V85" t="s">
        <v>1971</v>
      </c>
      <c r="W85" t="s">
        <v>1972</v>
      </c>
      <c r="X85" t="s">
        <v>1973</v>
      </c>
      <c r="Y85" t="s">
        <v>1974</v>
      </c>
      <c r="Z85" t="s">
        <v>1975</v>
      </c>
      <c r="AA85" t="s">
        <v>1976</v>
      </c>
      <c r="AB85" t="s">
        <v>1977</v>
      </c>
      <c r="AC85" t="s">
        <v>1978</v>
      </c>
      <c r="AD85" t="s">
        <v>1979</v>
      </c>
      <c r="AE85" t="s">
        <v>1980</v>
      </c>
      <c r="AF85" t="s">
        <v>74</v>
      </c>
      <c r="AG85">
        <v>171</v>
      </c>
      <c r="AH85">
        <v>61</v>
      </c>
      <c r="AI85">
        <v>65</v>
      </c>
      <c r="AJ85">
        <v>11</v>
      </c>
      <c r="AK85">
        <v>76</v>
      </c>
      <c r="AL85" t="s">
        <v>994</v>
      </c>
      <c r="AM85" t="s">
        <v>995</v>
      </c>
      <c r="AN85" t="s">
        <v>996</v>
      </c>
      <c r="AO85" t="s">
        <v>1981</v>
      </c>
      <c r="AP85" t="s">
        <v>1982</v>
      </c>
      <c r="AQ85" t="s">
        <v>74</v>
      </c>
      <c r="AR85" t="s">
        <v>1983</v>
      </c>
      <c r="AS85" t="s">
        <v>1984</v>
      </c>
      <c r="AT85" t="s">
        <v>1930</v>
      </c>
      <c r="AU85">
        <v>2020</v>
      </c>
      <c r="AV85">
        <v>97</v>
      </c>
      <c r="AW85">
        <v>3</v>
      </c>
      <c r="AX85" t="s">
        <v>74</v>
      </c>
      <c r="AY85" t="s">
        <v>74</v>
      </c>
      <c r="AZ85" t="s">
        <v>74</v>
      </c>
      <c r="BA85" t="s">
        <v>74</v>
      </c>
      <c r="BB85">
        <v>607</v>
      </c>
      <c r="BC85">
        <v>632</v>
      </c>
      <c r="BD85" t="s">
        <v>74</v>
      </c>
      <c r="BE85" t="s">
        <v>1985</v>
      </c>
      <c r="BF85" t="str">
        <f>HYPERLINK("http://dx.doi.org/10.1111/jfb.14439","http://dx.doi.org/10.1111/jfb.14439")</f>
        <v>http://dx.doi.org/10.1111/jfb.14439</v>
      </c>
      <c r="BG85" t="s">
        <v>74</v>
      </c>
      <c r="BH85" t="s">
        <v>1003</v>
      </c>
      <c r="BI85">
        <v>26</v>
      </c>
      <c r="BJ85" t="s">
        <v>1986</v>
      </c>
      <c r="BK85" t="s">
        <v>102</v>
      </c>
      <c r="BL85" t="s">
        <v>1986</v>
      </c>
      <c r="BM85" t="s">
        <v>1987</v>
      </c>
      <c r="BN85">
        <v>32564350</v>
      </c>
      <c r="BO85" t="s">
        <v>1988</v>
      </c>
      <c r="BP85" t="s">
        <v>74</v>
      </c>
      <c r="BQ85" t="s">
        <v>74</v>
      </c>
      <c r="BR85" t="s">
        <v>106</v>
      </c>
      <c r="BS85" t="s">
        <v>1989</v>
      </c>
      <c r="BT85" t="str">
        <f>HYPERLINK("https%3A%2F%2Fwww.webofscience.com%2Fwos%2Fwoscc%2Ffull-record%2FWOS:000551178500001","View Full Record in Web of Science")</f>
        <v>View Full Record in Web of Science</v>
      </c>
    </row>
    <row r="86" spans="1:72" x14ac:dyDescent="0.15">
      <c r="A86" t="s">
        <v>72</v>
      </c>
      <c r="B86" t="s">
        <v>1990</v>
      </c>
      <c r="C86" t="s">
        <v>74</v>
      </c>
      <c r="D86" t="s">
        <v>74</v>
      </c>
      <c r="E86" t="s">
        <v>74</v>
      </c>
      <c r="F86" t="s">
        <v>1991</v>
      </c>
      <c r="G86" t="s">
        <v>74</v>
      </c>
      <c r="H86" t="s">
        <v>74</v>
      </c>
      <c r="I86" t="s">
        <v>1992</v>
      </c>
      <c r="J86" t="s">
        <v>1231</v>
      </c>
      <c r="K86" t="s">
        <v>74</v>
      </c>
      <c r="L86" t="s">
        <v>74</v>
      </c>
      <c r="M86" t="s">
        <v>78</v>
      </c>
      <c r="N86" t="s">
        <v>79</v>
      </c>
      <c r="O86" t="s">
        <v>74</v>
      </c>
      <c r="P86" t="s">
        <v>74</v>
      </c>
      <c r="Q86" t="s">
        <v>74</v>
      </c>
      <c r="R86" t="s">
        <v>74</v>
      </c>
      <c r="S86" t="s">
        <v>74</v>
      </c>
      <c r="T86" t="s">
        <v>74</v>
      </c>
      <c r="U86" t="s">
        <v>1993</v>
      </c>
      <c r="V86" t="s">
        <v>1994</v>
      </c>
      <c r="W86" t="s">
        <v>1995</v>
      </c>
      <c r="X86" t="s">
        <v>1996</v>
      </c>
      <c r="Y86" t="s">
        <v>1997</v>
      </c>
      <c r="Z86" t="s">
        <v>1998</v>
      </c>
      <c r="AA86" t="s">
        <v>1999</v>
      </c>
      <c r="AB86" t="s">
        <v>2000</v>
      </c>
      <c r="AC86" t="s">
        <v>74</v>
      </c>
      <c r="AD86" t="s">
        <v>74</v>
      </c>
      <c r="AE86" t="s">
        <v>74</v>
      </c>
      <c r="AF86" t="s">
        <v>74</v>
      </c>
      <c r="AG86">
        <v>63</v>
      </c>
      <c r="AH86">
        <v>33</v>
      </c>
      <c r="AI86">
        <v>39</v>
      </c>
      <c r="AJ86">
        <v>2</v>
      </c>
      <c r="AK86">
        <v>34</v>
      </c>
      <c r="AL86" t="s">
        <v>1118</v>
      </c>
      <c r="AM86" t="s">
        <v>1119</v>
      </c>
      <c r="AN86" t="s">
        <v>1120</v>
      </c>
      <c r="AO86" t="s">
        <v>1241</v>
      </c>
      <c r="AP86" t="s">
        <v>1242</v>
      </c>
      <c r="AQ86" t="s">
        <v>74</v>
      </c>
      <c r="AR86" t="s">
        <v>1231</v>
      </c>
      <c r="AS86" t="s">
        <v>1243</v>
      </c>
      <c r="AT86" t="s">
        <v>1842</v>
      </c>
      <c r="AU86">
        <v>2020</v>
      </c>
      <c r="AV86">
        <v>583</v>
      </c>
      <c r="AW86">
        <v>7817</v>
      </c>
      <c r="AX86" t="s">
        <v>74</v>
      </c>
      <c r="AY86" t="s">
        <v>74</v>
      </c>
      <c r="AZ86" t="s">
        <v>74</v>
      </c>
      <c r="BA86" t="s">
        <v>74</v>
      </c>
      <c r="BB86">
        <v>554</v>
      </c>
      <c r="BC86" t="s">
        <v>1244</v>
      </c>
      <c r="BD86" t="s">
        <v>74</v>
      </c>
      <c r="BE86" t="s">
        <v>2001</v>
      </c>
      <c r="BF86" t="str">
        <f>HYPERLINK("http://dx.doi.org/10.1038/s41586-020-2484-5","http://dx.doi.org/10.1038/s41586-020-2484-5")</f>
        <v>http://dx.doi.org/10.1038/s41586-020-2484-5</v>
      </c>
      <c r="BG86" t="s">
        <v>74</v>
      </c>
      <c r="BH86" t="s">
        <v>74</v>
      </c>
      <c r="BI86">
        <v>18</v>
      </c>
      <c r="BJ86" t="s">
        <v>1125</v>
      </c>
      <c r="BK86" t="s">
        <v>102</v>
      </c>
      <c r="BL86" t="s">
        <v>1126</v>
      </c>
      <c r="BM86" t="s">
        <v>2002</v>
      </c>
      <c r="BN86">
        <v>32699394</v>
      </c>
      <c r="BO86" t="s">
        <v>976</v>
      </c>
      <c r="BP86" t="s">
        <v>74</v>
      </c>
      <c r="BQ86" t="s">
        <v>74</v>
      </c>
      <c r="BR86" t="s">
        <v>106</v>
      </c>
      <c r="BS86" t="s">
        <v>2003</v>
      </c>
      <c r="BT86" t="str">
        <f>HYPERLINK("https%3A%2F%2Fwww.webofscience.com%2Fwos%2Fwoscc%2Ffull-record%2FWOS:000551954700007","View Full Record in Web of Science")</f>
        <v>View Full Record in Web of Science</v>
      </c>
    </row>
    <row r="87" spans="1:72" x14ac:dyDescent="0.15">
      <c r="A87" t="s">
        <v>72</v>
      </c>
      <c r="B87" t="s">
        <v>2004</v>
      </c>
      <c r="C87" t="s">
        <v>74</v>
      </c>
      <c r="D87" t="s">
        <v>74</v>
      </c>
      <c r="E87" t="s">
        <v>74</v>
      </c>
      <c r="F87" t="s">
        <v>2005</v>
      </c>
      <c r="G87" t="s">
        <v>74</v>
      </c>
      <c r="H87" t="s">
        <v>74</v>
      </c>
      <c r="I87" t="s">
        <v>2006</v>
      </c>
      <c r="J87" t="s">
        <v>2007</v>
      </c>
      <c r="K87" t="s">
        <v>74</v>
      </c>
      <c r="L87" t="s">
        <v>74</v>
      </c>
      <c r="M87" t="s">
        <v>78</v>
      </c>
      <c r="N87" t="s">
        <v>79</v>
      </c>
      <c r="O87" t="s">
        <v>74</v>
      </c>
      <c r="P87" t="s">
        <v>74</v>
      </c>
      <c r="Q87" t="s">
        <v>74</v>
      </c>
      <c r="R87" t="s">
        <v>74</v>
      </c>
      <c r="S87" t="s">
        <v>74</v>
      </c>
      <c r="T87" t="s">
        <v>74</v>
      </c>
      <c r="U87" t="s">
        <v>2008</v>
      </c>
      <c r="V87" t="s">
        <v>2009</v>
      </c>
      <c r="W87" t="s">
        <v>2010</v>
      </c>
      <c r="X87" t="s">
        <v>2011</v>
      </c>
      <c r="Y87" t="s">
        <v>2012</v>
      </c>
      <c r="Z87" t="s">
        <v>2013</v>
      </c>
      <c r="AA87" t="s">
        <v>2014</v>
      </c>
      <c r="AB87" t="s">
        <v>2015</v>
      </c>
      <c r="AC87" t="s">
        <v>2016</v>
      </c>
      <c r="AD87" t="s">
        <v>2017</v>
      </c>
      <c r="AE87" t="s">
        <v>2018</v>
      </c>
      <c r="AF87" t="s">
        <v>74</v>
      </c>
      <c r="AG87">
        <v>89</v>
      </c>
      <c r="AH87">
        <v>70</v>
      </c>
      <c r="AI87">
        <v>76</v>
      </c>
      <c r="AJ87">
        <v>1</v>
      </c>
      <c r="AK87">
        <v>7</v>
      </c>
      <c r="AL87" t="s">
        <v>1049</v>
      </c>
      <c r="AM87" t="s">
        <v>1050</v>
      </c>
      <c r="AN87" t="s">
        <v>1051</v>
      </c>
      <c r="AO87" t="s">
        <v>2019</v>
      </c>
      <c r="AP87" t="s">
        <v>2020</v>
      </c>
      <c r="AQ87" t="s">
        <v>74</v>
      </c>
      <c r="AR87" t="s">
        <v>2007</v>
      </c>
      <c r="AS87" t="s">
        <v>2021</v>
      </c>
      <c r="AT87" t="s">
        <v>1842</v>
      </c>
      <c r="AU87">
        <v>2020</v>
      </c>
      <c r="AV87">
        <v>14</v>
      </c>
      <c r="AW87">
        <v>7</v>
      </c>
      <c r="AX87" t="s">
        <v>74</v>
      </c>
      <c r="AY87" t="s">
        <v>74</v>
      </c>
      <c r="AZ87" t="s">
        <v>74</v>
      </c>
      <c r="BA87" t="s">
        <v>74</v>
      </c>
      <c r="BB87">
        <v>2331</v>
      </c>
      <c r="BC87">
        <v>2368</v>
      </c>
      <c r="BD87" t="s">
        <v>74</v>
      </c>
      <c r="BE87" t="s">
        <v>2022</v>
      </c>
      <c r="BF87" t="str">
        <f>HYPERLINK("http://dx.doi.org/10.5194/tc-14-2331-2020","http://dx.doi.org/10.5194/tc-14-2331-2020")</f>
        <v>http://dx.doi.org/10.5194/tc-14-2331-2020</v>
      </c>
      <c r="BG87" t="s">
        <v>74</v>
      </c>
      <c r="BH87" t="s">
        <v>74</v>
      </c>
      <c r="BI87">
        <v>38</v>
      </c>
      <c r="BJ87" t="s">
        <v>694</v>
      </c>
      <c r="BK87" t="s">
        <v>102</v>
      </c>
      <c r="BL87" t="s">
        <v>695</v>
      </c>
      <c r="BM87" t="s">
        <v>2023</v>
      </c>
      <c r="BN87" t="s">
        <v>74</v>
      </c>
      <c r="BO87" t="s">
        <v>1034</v>
      </c>
      <c r="BP87" t="s">
        <v>74</v>
      </c>
      <c r="BQ87" t="s">
        <v>74</v>
      </c>
      <c r="BR87" t="s">
        <v>106</v>
      </c>
      <c r="BS87" t="s">
        <v>2024</v>
      </c>
      <c r="BT87" t="str">
        <f>HYPERLINK("https%3A%2F%2Fwww.webofscience.com%2Fwos%2Fwoscc%2Ffull-record%2FWOS:000555403800001","View Full Record in Web of Science")</f>
        <v>View Full Record in Web of Science</v>
      </c>
    </row>
    <row r="88" spans="1:72" x14ac:dyDescent="0.15">
      <c r="A88" t="s">
        <v>72</v>
      </c>
      <c r="B88" t="s">
        <v>2025</v>
      </c>
      <c r="C88" t="s">
        <v>74</v>
      </c>
      <c r="D88" t="s">
        <v>74</v>
      </c>
      <c r="E88" t="s">
        <v>74</v>
      </c>
      <c r="F88" t="s">
        <v>2026</v>
      </c>
      <c r="G88" t="s">
        <v>74</v>
      </c>
      <c r="H88" t="s">
        <v>74</v>
      </c>
      <c r="I88" t="s">
        <v>2027</v>
      </c>
      <c r="J88" t="s">
        <v>2028</v>
      </c>
      <c r="K88" t="s">
        <v>74</v>
      </c>
      <c r="L88" t="s">
        <v>74</v>
      </c>
      <c r="M88" t="s">
        <v>78</v>
      </c>
      <c r="N88" t="s">
        <v>79</v>
      </c>
      <c r="O88" t="s">
        <v>74</v>
      </c>
      <c r="P88" t="s">
        <v>74</v>
      </c>
      <c r="Q88" t="s">
        <v>74</v>
      </c>
      <c r="R88" t="s">
        <v>74</v>
      </c>
      <c r="S88" t="s">
        <v>74</v>
      </c>
      <c r="T88" t="s">
        <v>2029</v>
      </c>
      <c r="U88" t="s">
        <v>2030</v>
      </c>
      <c r="V88" t="s">
        <v>2031</v>
      </c>
      <c r="W88" t="s">
        <v>2032</v>
      </c>
      <c r="X88" t="s">
        <v>2033</v>
      </c>
      <c r="Y88" t="s">
        <v>2034</v>
      </c>
      <c r="Z88" t="s">
        <v>2035</v>
      </c>
      <c r="AA88" t="s">
        <v>74</v>
      </c>
      <c r="AB88" t="s">
        <v>2036</v>
      </c>
      <c r="AC88" t="s">
        <v>2037</v>
      </c>
      <c r="AD88" t="s">
        <v>2038</v>
      </c>
      <c r="AE88" t="s">
        <v>2039</v>
      </c>
      <c r="AF88" t="s">
        <v>74</v>
      </c>
      <c r="AG88">
        <v>172</v>
      </c>
      <c r="AH88">
        <v>3</v>
      </c>
      <c r="AI88">
        <v>3</v>
      </c>
      <c r="AJ88">
        <v>0</v>
      </c>
      <c r="AK88">
        <v>11</v>
      </c>
      <c r="AL88" t="s">
        <v>1024</v>
      </c>
      <c r="AM88" t="s">
        <v>1025</v>
      </c>
      <c r="AN88" t="s">
        <v>1026</v>
      </c>
      <c r="AO88" t="s">
        <v>2040</v>
      </c>
      <c r="AP88" t="s">
        <v>74</v>
      </c>
      <c r="AQ88" t="s">
        <v>74</v>
      </c>
      <c r="AR88" t="s">
        <v>2041</v>
      </c>
      <c r="AS88" t="s">
        <v>2042</v>
      </c>
      <c r="AT88" t="s">
        <v>2043</v>
      </c>
      <c r="AU88">
        <v>2020</v>
      </c>
      <c r="AV88">
        <v>11</v>
      </c>
      <c r="AW88" t="s">
        <v>74</v>
      </c>
      <c r="AX88" t="s">
        <v>74</v>
      </c>
      <c r="AY88" t="s">
        <v>74</v>
      </c>
      <c r="AZ88" t="s">
        <v>74</v>
      </c>
      <c r="BA88" t="s">
        <v>74</v>
      </c>
      <c r="BB88" t="s">
        <v>74</v>
      </c>
      <c r="BC88" t="s">
        <v>74</v>
      </c>
      <c r="BD88">
        <v>1697</v>
      </c>
      <c r="BE88" t="s">
        <v>2044</v>
      </c>
      <c r="BF88" t="str">
        <f>HYPERLINK("http://dx.doi.org/10.3389/fmicb.2020.01697","http://dx.doi.org/10.3389/fmicb.2020.01697")</f>
        <v>http://dx.doi.org/10.3389/fmicb.2020.01697</v>
      </c>
      <c r="BG88" t="s">
        <v>74</v>
      </c>
      <c r="BH88" t="s">
        <v>74</v>
      </c>
      <c r="BI88">
        <v>22</v>
      </c>
      <c r="BJ88" t="s">
        <v>2045</v>
      </c>
      <c r="BK88" t="s">
        <v>102</v>
      </c>
      <c r="BL88" t="s">
        <v>2045</v>
      </c>
      <c r="BM88" t="s">
        <v>2046</v>
      </c>
      <c r="BN88">
        <v>32793161</v>
      </c>
      <c r="BO88" t="s">
        <v>161</v>
      </c>
      <c r="BP88" t="s">
        <v>74</v>
      </c>
      <c r="BQ88" t="s">
        <v>74</v>
      </c>
      <c r="BR88" t="s">
        <v>106</v>
      </c>
      <c r="BS88" t="s">
        <v>2047</v>
      </c>
      <c r="BT88" t="str">
        <f>HYPERLINK("https%3A%2F%2Fwww.webofscience.com%2Fwos%2Fwoscc%2Ffull-record%2FWOS:000559244800001","View Full Record in Web of Science")</f>
        <v>View Full Record in Web of Science</v>
      </c>
    </row>
    <row r="89" spans="1:72" x14ac:dyDescent="0.15">
      <c r="A89" t="s">
        <v>72</v>
      </c>
      <c r="B89" t="s">
        <v>2048</v>
      </c>
      <c r="C89" t="s">
        <v>74</v>
      </c>
      <c r="D89" t="s">
        <v>74</v>
      </c>
      <c r="E89" t="s">
        <v>74</v>
      </c>
      <c r="F89" t="s">
        <v>2049</v>
      </c>
      <c r="G89" t="s">
        <v>74</v>
      </c>
      <c r="H89" t="s">
        <v>74</v>
      </c>
      <c r="I89" t="s">
        <v>2050</v>
      </c>
      <c r="J89" t="s">
        <v>2051</v>
      </c>
      <c r="K89" t="s">
        <v>74</v>
      </c>
      <c r="L89" t="s">
        <v>74</v>
      </c>
      <c r="M89" t="s">
        <v>78</v>
      </c>
      <c r="N89" t="s">
        <v>79</v>
      </c>
      <c r="O89" t="s">
        <v>74</v>
      </c>
      <c r="P89" t="s">
        <v>74</v>
      </c>
      <c r="Q89" t="s">
        <v>74</v>
      </c>
      <c r="R89" t="s">
        <v>74</v>
      </c>
      <c r="S89" t="s">
        <v>74</v>
      </c>
      <c r="T89" t="s">
        <v>74</v>
      </c>
      <c r="U89" t="s">
        <v>2052</v>
      </c>
      <c r="V89" t="s">
        <v>2053</v>
      </c>
      <c r="W89" t="s">
        <v>2054</v>
      </c>
      <c r="X89" t="s">
        <v>2055</v>
      </c>
      <c r="Y89" t="s">
        <v>2056</v>
      </c>
      <c r="Z89" t="s">
        <v>2057</v>
      </c>
      <c r="AA89" t="s">
        <v>2058</v>
      </c>
      <c r="AB89" t="s">
        <v>2059</v>
      </c>
      <c r="AC89" t="s">
        <v>2060</v>
      </c>
      <c r="AD89" t="s">
        <v>2061</v>
      </c>
      <c r="AE89" t="s">
        <v>2062</v>
      </c>
      <c r="AF89" t="s">
        <v>74</v>
      </c>
      <c r="AG89">
        <v>51</v>
      </c>
      <c r="AH89">
        <v>6</v>
      </c>
      <c r="AI89">
        <v>6</v>
      </c>
      <c r="AJ89">
        <v>0</v>
      </c>
      <c r="AK89">
        <v>4</v>
      </c>
      <c r="AL89" t="s">
        <v>1049</v>
      </c>
      <c r="AM89" t="s">
        <v>1050</v>
      </c>
      <c r="AN89" t="s">
        <v>1051</v>
      </c>
      <c r="AO89" t="s">
        <v>2063</v>
      </c>
      <c r="AP89" t="s">
        <v>2064</v>
      </c>
      <c r="AQ89" t="s">
        <v>74</v>
      </c>
      <c r="AR89" t="s">
        <v>2065</v>
      </c>
      <c r="AS89" t="s">
        <v>2066</v>
      </c>
      <c r="AT89" t="s">
        <v>2043</v>
      </c>
      <c r="AU89">
        <v>2020</v>
      </c>
      <c r="AV89">
        <v>20</v>
      </c>
      <c r="AW89">
        <v>14</v>
      </c>
      <c r="AX89" t="s">
        <v>74</v>
      </c>
      <c r="AY89" t="s">
        <v>74</v>
      </c>
      <c r="AZ89" t="s">
        <v>74</v>
      </c>
      <c r="BA89" t="s">
        <v>74</v>
      </c>
      <c r="BB89">
        <v>8691</v>
      </c>
      <c r="BC89">
        <v>8708</v>
      </c>
      <c r="BD89" t="s">
        <v>74</v>
      </c>
      <c r="BE89" t="s">
        <v>2067</v>
      </c>
      <c r="BF89" t="str">
        <f>HYPERLINK("http://dx.doi.org/10.5194/acp-20-8691-2020","http://dx.doi.org/10.5194/acp-20-8691-2020")</f>
        <v>http://dx.doi.org/10.5194/acp-20-8691-2020</v>
      </c>
      <c r="BG89" t="s">
        <v>74</v>
      </c>
      <c r="BH89" t="s">
        <v>74</v>
      </c>
      <c r="BI89">
        <v>18</v>
      </c>
      <c r="BJ89" t="s">
        <v>2068</v>
      </c>
      <c r="BK89" t="s">
        <v>102</v>
      </c>
      <c r="BL89" t="s">
        <v>2069</v>
      </c>
      <c r="BM89" t="s">
        <v>2070</v>
      </c>
      <c r="BN89" t="s">
        <v>74</v>
      </c>
      <c r="BO89" t="s">
        <v>2071</v>
      </c>
      <c r="BP89" t="s">
        <v>74</v>
      </c>
      <c r="BQ89" t="s">
        <v>74</v>
      </c>
      <c r="BR89" t="s">
        <v>106</v>
      </c>
      <c r="BS89" t="s">
        <v>2072</v>
      </c>
      <c r="BT89" t="str">
        <f>HYPERLINK("https%3A%2F%2Fwww.webofscience.com%2Fwos%2Fwoscc%2Ffull-record%2FWOS:000555037600003","View Full Record in Web of Science")</f>
        <v>View Full Record in Web of Science</v>
      </c>
    </row>
    <row r="90" spans="1:72" x14ac:dyDescent="0.15">
      <c r="A90" t="s">
        <v>72</v>
      </c>
      <c r="B90" t="s">
        <v>2073</v>
      </c>
      <c r="C90" t="s">
        <v>74</v>
      </c>
      <c r="D90" t="s">
        <v>74</v>
      </c>
      <c r="E90" t="s">
        <v>74</v>
      </c>
      <c r="F90" t="s">
        <v>2074</v>
      </c>
      <c r="G90" t="s">
        <v>74</v>
      </c>
      <c r="H90" t="s">
        <v>74</v>
      </c>
      <c r="I90" t="s">
        <v>2075</v>
      </c>
      <c r="J90" t="s">
        <v>2007</v>
      </c>
      <c r="K90" t="s">
        <v>74</v>
      </c>
      <c r="L90" t="s">
        <v>74</v>
      </c>
      <c r="M90" t="s">
        <v>78</v>
      </c>
      <c r="N90" t="s">
        <v>79</v>
      </c>
      <c r="O90" t="s">
        <v>74</v>
      </c>
      <c r="P90" t="s">
        <v>74</v>
      </c>
      <c r="Q90" t="s">
        <v>74</v>
      </c>
      <c r="R90" t="s">
        <v>74</v>
      </c>
      <c r="S90" t="s">
        <v>74</v>
      </c>
      <c r="T90" t="s">
        <v>74</v>
      </c>
      <c r="U90" t="s">
        <v>2076</v>
      </c>
      <c r="V90" t="s">
        <v>2077</v>
      </c>
      <c r="W90" t="s">
        <v>2078</v>
      </c>
      <c r="X90" t="s">
        <v>2079</v>
      </c>
      <c r="Y90" t="s">
        <v>2080</v>
      </c>
      <c r="Z90" t="s">
        <v>2081</v>
      </c>
      <c r="AA90" t="s">
        <v>2082</v>
      </c>
      <c r="AB90" t="s">
        <v>2083</v>
      </c>
      <c r="AC90" t="s">
        <v>2084</v>
      </c>
      <c r="AD90" t="s">
        <v>2085</v>
      </c>
      <c r="AE90" t="s">
        <v>2086</v>
      </c>
      <c r="AF90" t="s">
        <v>74</v>
      </c>
      <c r="AG90">
        <v>81</v>
      </c>
      <c r="AH90">
        <v>26</v>
      </c>
      <c r="AI90">
        <v>29</v>
      </c>
      <c r="AJ90">
        <v>1</v>
      </c>
      <c r="AK90">
        <v>12</v>
      </c>
      <c r="AL90" t="s">
        <v>1049</v>
      </c>
      <c r="AM90" t="s">
        <v>1050</v>
      </c>
      <c r="AN90" t="s">
        <v>1051</v>
      </c>
      <c r="AO90" t="s">
        <v>2019</v>
      </c>
      <c r="AP90" t="s">
        <v>2020</v>
      </c>
      <c r="AQ90" t="s">
        <v>74</v>
      </c>
      <c r="AR90" t="s">
        <v>2007</v>
      </c>
      <c r="AS90" t="s">
        <v>2021</v>
      </c>
      <c r="AT90" t="s">
        <v>2043</v>
      </c>
      <c r="AU90">
        <v>2020</v>
      </c>
      <c r="AV90">
        <v>14</v>
      </c>
      <c r="AW90">
        <v>7</v>
      </c>
      <c r="AX90" t="s">
        <v>74</v>
      </c>
      <c r="AY90" t="s">
        <v>74</v>
      </c>
      <c r="AZ90" t="s">
        <v>74</v>
      </c>
      <c r="BA90" t="s">
        <v>74</v>
      </c>
      <c r="BB90">
        <v>2313</v>
      </c>
      <c r="BC90">
        <v>2330</v>
      </c>
      <c r="BD90" t="s">
        <v>74</v>
      </c>
      <c r="BE90" t="s">
        <v>2087</v>
      </c>
      <c r="BF90" t="str">
        <f>HYPERLINK("http://dx.doi.org/10.5194/tc-14-2313-2020","http://dx.doi.org/10.5194/tc-14-2313-2020")</f>
        <v>http://dx.doi.org/10.5194/tc-14-2313-2020</v>
      </c>
      <c r="BG90" t="s">
        <v>74</v>
      </c>
      <c r="BH90" t="s">
        <v>74</v>
      </c>
      <c r="BI90">
        <v>18</v>
      </c>
      <c r="BJ90" t="s">
        <v>694</v>
      </c>
      <c r="BK90" t="s">
        <v>102</v>
      </c>
      <c r="BL90" t="s">
        <v>695</v>
      </c>
      <c r="BM90" t="s">
        <v>2088</v>
      </c>
      <c r="BN90" t="s">
        <v>74</v>
      </c>
      <c r="BO90" t="s">
        <v>2089</v>
      </c>
      <c r="BP90" t="s">
        <v>74</v>
      </c>
      <c r="BQ90" t="s">
        <v>74</v>
      </c>
      <c r="BR90" t="s">
        <v>106</v>
      </c>
      <c r="BS90" t="s">
        <v>2090</v>
      </c>
      <c r="BT90" t="str">
        <f>HYPERLINK("https%3A%2F%2Fwww.webofscience.com%2Fwos%2Fwoscc%2Ffull-record%2FWOS:000554959100002","View Full Record in Web of Science")</f>
        <v>View Full Record in Web of Science</v>
      </c>
    </row>
    <row r="91" spans="1:72" x14ac:dyDescent="0.15">
      <c r="A91" t="s">
        <v>72</v>
      </c>
      <c r="B91" t="s">
        <v>2091</v>
      </c>
      <c r="C91" t="s">
        <v>74</v>
      </c>
      <c r="D91" t="s">
        <v>74</v>
      </c>
      <c r="E91" t="s">
        <v>74</v>
      </c>
      <c r="F91" t="s">
        <v>2092</v>
      </c>
      <c r="G91" t="s">
        <v>74</v>
      </c>
      <c r="H91" t="s">
        <v>74</v>
      </c>
      <c r="I91" t="s">
        <v>2093</v>
      </c>
      <c r="J91" t="s">
        <v>1911</v>
      </c>
      <c r="K91" t="s">
        <v>74</v>
      </c>
      <c r="L91" t="s">
        <v>74</v>
      </c>
      <c r="M91" t="s">
        <v>78</v>
      </c>
      <c r="N91" t="s">
        <v>79</v>
      </c>
      <c r="O91" t="s">
        <v>74</v>
      </c>
      <c r="P91" t="s">
        <v>74</v>
      </c>
      <c r="Q91" t="s">
        <v>74</v>
      </c>
      <c r="R91" t="s">
        <v>74</v>
      </c>
      <c r="S91" t="s">
        <v>74</v>
      </c>
      <c r="T91" t="s">
        <v>2094</v>
      </c>
      <c r="U91" t="s">
        <v>2095</v>
      </c>
      <c r="V91" t="s">
        <v>2096</v>
      </c>
      <c r="W91" t="s">
        <v>2097</v>
      </c>
      <c r="X91" t="s">
        <v>2098</v>
      </c>
      <c r="Y91" t="s">
        <v>2099</v>
      </c>
      <c r="Z91" t="s">
        <v>2100</v>
      </c>
      <c r="AA91" t="s">
        <v>2101</v>
      </c>
      <c r="AB91" t="s">
        <v>2102</v>
      </c>
      <c r="AC91" t="s">
        <v>2103</v>
      </c>
      <c r="AD91" t="s">
        <v>2104</v>
      </c>
      <c r="AE91" t="s">
        <v>2105</v>
      </c>
      <c r="AF91" t="s">
        <v>74</v>
      </c>
      <c r="AG91">
        <v>69</v>
      </c>
      <c r="AH91">
        <v>18</v>
      </c>
      <c r="AI91">
        <v>18</v>
      </c>
      <c r="AJ91">
        <v>2</v>
      </c>
      <c r="AK91">
        <v>44</v>
      </c>
      <c r="AL91" t="s">
        <v>1924</v>
      </c>
      <c r="AM91" t="s">
        <v>1925</v>
      </c>
      <c r="AN91" t="s">
        <v>1926</v>
      </c>
      <c r="AO91" t="s">
        <v>1927</v>
      </c>
      <c r="AP91" t="s">
        <v>1928</v>
      </c>
      <c r="AQ91" t="s">
        <v>74</v>
      </c>
      <c r="AR91" t="s">
        <v>1911</v>
      </c>
      <c r="AS91" t="s">
        <v>1929</v>
      </c>
      <c r="AT91" t="s">
        <v>1930</v>
      </c>
      <c r="AU91">
        <v>2020</v>
      </c>
      <c r="AV91">
        <v>24</v>
      </c>
      <c r="AW91">
        <v>5</v>
      </c>
      <c r="AX91" t="s">
        <v>74</v>
      </c>
      <c r="AY91" t="s">
        <v>74</v>
      </c>
      <c r="AZ91" t="s">
        <v>74</v>
      </c>
      <c r="BA91" t="s">
        <v>74</v>
      </c>
      <c r="BB91">
        <v>721</v>
      </c>
      <c r="BC91">
        <v>732</v>
      </c>
      <c r="BD91" t="s">
        <v>74</v>
      </c>
      <c r="BE91" t="s">
        <v>2106</v>
      </c>
      <c r="BF91" t="str">
        <f>HYPERLINK("http://dx.doi.org/10.1007/s00792-020-01189-7","http://dx.doi.org/10.1007/s00792-020-01189-7")</f>
        <v>http://dx.doi.org/10.1007/s00792-020-01189-7</v>
      </c>
      <c r="BG91" t="s">
        <v>74</v>
      </c>
      <c r="BH91" t="s">
        <v>1003</v>
      </c>
      <c r="BI91">
        <v>12</v>
      </c>
      <c r="BJ91" t="s">
        <v>1932</v>
      </c>
      <c r="BK91" t="s">
        <v>102</v>
      </c>
      <c r="BL91" t="s">
        <v>1932</v>
      </c>
      <c r="BM91" t="s">
        <v>1933</v>
      </c>
      <c r="BN91">
        <v>32699913</v>
      </c>
      <c r="BO91" t="s">
        <v>74</v>
      </c>
      <c r="BP91" t="s">
        <v>74</v>
      </c>
      <c r="BQ91" t="s">
        <v>74</v>
      </c>
      <c r="BR91" t="s">
        <v>106</v>
      </c>
      <c r="BS91" t="s">
        <v>2107</v>
      </c>
      <c r="BT91" t="str">
        <f>HYPERLINK("https%3A%2F%2Fwww.webofscience.com%2Fwos%2Fwoscc%2Ffull-record%2FWOS:000551351700001","View Full Record in Web of Science")</f>
        <v>View Full Record in Web of Science</v>
      </c>
    </row>
    <row r="92" spans="1:72" x14ac:dyDescent="0.15">
      <c r="A92" t="s">
        <v>72</v>
      </c>
      <c r="B92" t="s">
        <v>2108</v>
      </c>
      <c r="C92" t="s">
        <v>74</v>
      </c>
      <c r="D92" t="s">
        <v>74</v>
      </c>
      <c r="E92" t="s">
        <v>74</v>
      </c>
      <c r="F92" t="s">
        <v>2109</v>
      </c>
      <c r="G92" t="s">
        <v>74</v>
      </c>
      <c r="H92" t="s">
        <v>74</v>
      </c>
      <c r="I92" t="s">
        <v>2110</v>
      </c>
      <c r="J92" t="s">
        <v>2111</v>
      </c>
      <c r="K92" t="s">
        <v>74</v>
      </c>
      <c r="L92" t="s">
        <v>74</v>
      </c>
      <c r="M92" t="s">
        <v>78</v>
      </c>
      <c r="N92" t="s">
        <v>79</v>
      </c>
      <c r="O92" t="s">
        <v>74</v>
      </c>
      <c r="P92" t="s">
        <v>74</v>
      </c>
      <c r="Q92" t="s">
        <v>74</v>
      </c>
      <c r="R92" t="s">
        <v>74</v>
      </c>
      <c r="S92" t="s">
        <v>74</v>
      </c>
      <c r="T92" t="s">
        <v>74</v>
      </c>
      <c r="U92" t="s">
        <v>2112</v>
      </c>
      <c r="V92" t="s">
        <v>2113</v>
      </c>
      <c r="W92" t="s">
        <v>2114</v>
      </c>
      <c r="X92" t="s">
        <v>2115</v>
      </c>
      <c r="Y92" t="s">
        <v>2116</v>
      </c>
      <c r="Z92" t="s">
        <v>2117</v>
      </c>
      <c r="AA92" t="s">
        <v>74</v>
      </c>
      <c r="AB92" t="s">
        <v>74</v>
      </c>
      <c r="AC92" t="s">
        <v>2118</v>
      </c>
      <c r="AD92" t="s">
        <v>2119</v>
      </c>
      <c r="AE92" t="s">
        <v>2120</v>
      </c>
      <c r="AF92" t="s">
        <v>74</v>
      </c>
      <c r="AG92">
        <v>66</v>
      </c>
      <c r="AH92">
        <v>59</v>
      </c>
      <c r="AI92">
        <v>62</v>
      </c>
      <c r="AJ92">
        <v>1</v>
      </c>
      <c r="AK92">
        <v>4</v>
      </c>
      <c r="AL92" t="s">
        <v>2121</v>
      </c>
      <c r="AM92" t="s">
        <v>2122</v>
      </c>
      <c r="AN92" t="s">
        <v>2123</v>
      </c>
      <c r="AO92" t="s">
        <v>2124</v>
      </c>
      <c r="AP92" t="s">
        <v>74</v>
      </c>
      <c r="AQ92" t="s">
        <v>74</v>
      </c>
      <c r="AR92" t="s">
        <v>2111</v>
      </c>
      <c r="AS92" t="s">
        <v>2125</v>
      </c>
      <c r="AT92" t="s">
        <v>2043</v>
      </c>
      <c r="AU92">
        <v>2020</v>
      </c>
      <c r="AV92">
        <v>15</v>
      </c>
      <c r="AW92">
        <v>7</v>
      </c>
      <c r="AX92" t="s">
        <v>74</v>
      </c>
      <c r="AY92" t="s">
        <v>74</v>
      </c>
      <c r="AZ92" t="s">
        <v>74</v>
      </c>
      <c r="BA92" t="s">
        <v>74</v>
      </c>
      <c r="BB92" t="s">
        <v>74</v>
      </c>
      <c r="BC92" t="s">
        <v>74</v>
      </c>
      <c r="BD92" t="s">
        <v>2126</v>
      </c>
      <c r="BE92" t="s">
        <v>2127</v>
      </c>
      <c r="BF92" t="str">
        <f>HYPERLINK("http://dx.doi.org/10.1371/journal.pone.0236023","http://dx.doi.org/10.1371/journal.pone.0236023")</f>
        <v>http://dx.doi.org/10.1371/journal.pone.0236023</v>
      </c>
      <c r="BG92" t="s">
        <v>74</v>
      </c>
      <c r="BH92" t="s">
        <v>74</v>
      </c>
      <c r="BI92">
        <v>22</v>
      </c>
      <c r="BJ92" t="s">
        <v>1125</v>
      </c>
      <c r="BK92" t="s">
        <v>925</v>
      </c>
      <c r="BL92" t="s">
        <v>1126</v>
      </c>
      <c r="BM92" t="s">
        <v>2128</v>
      </c>
      <c r="BN92">
        <v>32697794</v>
      </c>
      <c r="BO92" t="s">
        <v>161</v>
      </c>
      <c r="BP92" t="s">
        <v>74</v>
      </c>
      <c r="BQ92" t="s">
        <v>74</v>
      </c>
      <c r="BR92" t="s">
        <v>106</v>
      </c>
      <c r="BS92" t="s">
        <v>2129</v>
      </c>
      <c r="BT92" t="str">
        <f>HYPERLINK("https%3A%2F%2Fwww.webofscience.com%2Fwos%2Fwoscc%2Ffull-record%2FWOS:000555392700025","View Full Record in Web of Science")</f>
        <v>View Full Record in Web of Science</v>
      </c>
    </row>
    <row r="93" spans="1:72" x14ac:dyDescent="0.15">
      <c r="A93" t="s">
        <v>72</v>
      </c>
      <c r="B93" t="s">
        <v>2130</v>
      </c>
      <c r="C93" t="s">
        <v>74</v>
      </c>
      <c r="D93" t="s">
        <v>74</v>
      </c>
      <c r="E93" t="s">
        <v>74</v>
      </c>
      <c r="F93" t="s">
        <v>2131</v>
      </c>
      <c r="G93" t="s">
        <v>74</v>
      </c>
      <c r="H93" t="s">
        <v>74</v>
      </c>
      <c r="I93" t="s">
        <v>2132</v>
      </c>
      <c r="J93" t="s">
        <v>2133</v>
      </c>
      <c r="K93" t="s">
        <v>74</v>
      </c>
      <c r="L93" t="s">
        <v>74</v>
      </c>
      <c r="M93" t="s">
        <v>78</v>
      </c>
      <c r="N93" t="s">
        <v>79</v>
      </c>
      <c r="O93" t="s">
        <v>74</v>
      </c>
      <c r="P93" t="s">
        <v>74</v>
      </c>
      <c r="Q93" t="s">
        <v>74</v>
      </c>
      <c r="R93" t="s">
        <v>74</v>
      </c>
      <c r="S93" t="s">
        <v>74</v>
      </c>
      <c r="T93" t="s">
        <v>2134</v>
      </c>
      <c r="U93" t="s">
        <v>2135</v>
      </c>
      <c r="V93" t="s">
        <v>2136</v>
      </c>
      <c r="W93" t="s">
        <v>2137</v>
      </c>
      <c r="X93" t="s">
        <v>2138</v>
      </c>
      <c r="Y93" t="s">
        <v>2139</v>
      </c>
      <c r="Z93" t="s">
        <v>2140</v>
      </c>
      <c r="AA93" t="s">
        <v>2141</v>
      </c>
      <c r="AB93" t="s">
        <v>2142</v>
      </c>
      <c r="AC93" t="s">
        <v>2143</v>
      </c>
      <c r="AD93" t="s">
        <v>2143</v>
      </c>
      <c r="AE93" t="s">
        <v>2144</v>
      </c>
      <c r="AF93" t="s">
        <v>74</v>
      </c>
      <c r="AG93">
        <v>54</v>
      </c>
      <c r="AH93">
        <v>32</v>
      </c>
      <c r="AI93">
        <v>33</v>
      </c>
      <c r="AJ93">
        <v>0</v>
      </c>
      <c r="AK93">
        <v>10</v>
      </c>
      <c r="AL93" t="s">
        <v>2145</v>
      </c>
      <c r="AM93" t="s">
        <v>152</v>
      </c>
      <c r="AN93" t="s">
        <v>2146</v>
      </c>
      <c r="AO93" t="s">
        <v>2147</v>
      </c>
      <c r="AP93" t="s">
        <v>74</v>
      </c>
      <c r="AQ93" t="s">
        <v>74</v>
      </c>
      <c r="AR93" t="s">
        <v>2148</v>
      </c>
      <c r="AS93" t="s">
        <v>2149</v>
      </c>
      <c r="AT93" t="s">
        <v>2150</v>
      </c>
      <c r="AU93">
        <v>2020</v>
      </c>
      <c r="AV93">
        <v>117</v>
      </c>
      <c r="AW93">
        <v>29</v>
      </c>
      <c r="AX93" t="s">
        <v>74</v>
      </c>
      <c r="AY93" t="s">
        <v>74</v>
      </c>
      <c r="AZ93" t="s">
        <v>74</v>
      </c>
      <c r="BA93" t="s">
        <v>74</v>
      </c>
      <c r="BB93">
        <v>16799</v>
      </c>
      <c r="BC93">
        <v>16804</v>
      </c>
      <c r="BD93" t="s">
        <v>74</v>
      </c>
      <c r="BE93" t="s">
        <v>2151</v>
      </c>
      <c r="BF93" t="str">
        <f>HYPERLINK("http://dx.doi.org/10.1073/pnas.1910760117","http://dx.doi.org/10.1073/pnas.1910760117")</f>
        <v>http://dx.doi.org/10.1073/pnas.1910760117</v>
      </c>
      <c r="BG93" t="s">
        <v>74</v>
      </c>
      <c r="BH93" t="s">
        <v>74</v>
      </c>
      <c r="BI93">
        <v>6</v>
      </c>
      <c r="BJ93" t="s">
        <v>1125</v>
      </c>
      <c r="BK93" t="s">
        <v>102</v>
      </c>
      <c r="BL93" t="s">
        <v>1126</v>
      </c>
      <c r="BM93" t="s">
        <v>2152</v>
      </c>
      <c r="BN93">
        <v>32601211</v>
      </c>
      <c r="BO93" t="s">
        <v>448</v>
      </c>
      <c r="BP93" t="s">
        <v>74</v>
      </c>
      <c r="BQ93" t="s">
        <v>74</v>
      </c>
      <c r="BR93" t="s">
        <v>106</v>
      </c>
      <c r="BS93" t="s">
        <v>2153</v>
      </c>
      <c r="BT93" t="str">
        <f>HYPERLINK("https%3A%2F%2Fwww.webofscience.com%2Fwos%2Fwoscc%2Ffull-record%2FWOS:000557946500018","View Full Record in Web of Science")</f>
        <v>View Full Record in Web of Science</v>
      </c>
    </row>
    <row r="94" spans="1:72" x14ac:dyDescent="0.15">
      <c r="A94" t="s">
        <v>72</v>
      </c>
      <c r="B94" t="s">
        <v>2154</v>
      </c>
      <c r="C94" t="s">
        <v>74</v>
      </c>
      <c r="D94" t="s">
        <v>74</v>
      </c>
      <c r="E94" t="s">
        <v>74</v>
      </c>
      <c r="F94" t="s">
        <v>2155</v>
      </c>
      <c r="G94" t="s">
        <v>74</v>
      </c>
      <c r="H94" t="s">
        <v>74</v>
      </c>
      <c r="I94" t="s">
        <v>2156</v>
      </c>
      <c r="J94" t="s">
        <v>2007</v>
      </c>
      <c r="K94" t="s">
        <v>74</v>
      </c>
      <c r="L94" t="s">
        <v>74</v>
      </c>
      <c r="M94" t="s">
        <v>78</v>
      </c>
      <c r="N94" t="s">
        <v>79</v>
      </c>
      <c r="O94" t="s">
        <v>74</v>
      </c>
      <c r="P94" t="s">
        <v>74</v>
      </c>
      <c r="Q94" t="s">
        <v>74</v>
      </c>
      <c r="R94" t="s">
        <v>74</v>
      </c>
      <c r="S94" t="s">
        <v>74</v>
      </c>
      <c r="T94" t="s">
        <v>74</v>
      </c>
      <c r="U94" t="s">
        <v>2157</v>
      </c>
      <c r="V94" t="s">
        <v>2158</v>
      </c>
      <c r="W94" t="s">
        <v>2159</v>
      </c>
      <c r="X94" t="s">
        <v>2160</v>
      </c>
      <c r="Y94" t="s">
        <v>2161</v>
      </c>
      <c r="Z94" t="s">
        <v>2162</v>
      </c>
      <c r="AA94" t="s">
        <v>2163</v>
      </c>
      <c r="AB94" t="s">
        <v>2164</v>
      </c>
      <c r="AC94" t="s">
        <v>2165</v>
      </c>
      <c r="AD94" t="s">
        <v>2166</v>
      </c>
      <c r="AE94" t="s">
        <v>2167</v>
      </c>
      <c r="AF94" t="s">
        <v>74</v>
      </c>
      <c r="AG94">
        <v>57</v>
      </c>
      <c r="AH94">
        <v>49</v>
      </c>
      <c r="AI94">
        <v>54</v>
      </c>
      <c r="AJ94">
        <v>2</v>
      </c>
      <c r="AK94">
        <v>9</v>
      </c>
      <c r="AL94" t="s">
        <v>1049</v>
      </c>
      <c r="AM94" t="s">
        <v>1050</v>
      </c>
      <c r="AN94" t="s">
        <v>1051</v>
      </c>
      <c r="AO94" t="s">
        <v>2019</v>
      </c>
      <c r="AP94" t="s">
        <v>2020</v>
      </c>
      <c r="AQ94" t="s">
        <v>74</v>
      </c>
      <c r="AR94" t="s">
        <v>2007</v>
      </c>
      <c r="AS94" t="s">
        <v>2021</v>
      </c>
      <c r="AT94" t="s">
        <v>2150</v>
      </c>
      <c r="AU94">
        <v>2020</v>
      </c>
      <c r="AV94">
        <v>14</v>
      </c>
      <c r="AW94">
        <v>7</v>
      </c>
      <c r="AX94" t="s">
        <v>74</v>
      </c>
      <c r="AY94" t="s">
        <v>74</v>
      </c>
      <c r="AZ94" t="s">
        <v>74</v>
      </c>
      <c r="BA94" t="s">
        <v>74</v>
      </c>
      <c r="BB94">
        <v>2283</v>
      </c>
      <c r="BC94">
        <v>2301</v>
      </c>
      <c r="BD94" t="s">
        <v>74</v>
      </c>
      <c r="BE94" t="s">
        <v>2168</v>
      </c>
      <c r="BF94" t="str">
        <f>HYPERLINK("http://dx.doi.org/10.5194/tc-14-2283-2020","http://dx.doi.org/10.5194/tc-14-2283-2020")</f>
        <v>http://dx.doi.org/10.5194/tc-14-2283-2020</v>
      </c>
      <c r="BG94" t="s">
        <v>74</v>
      </c>
      <c r="BH94" t="s">
        <v>74</v>
      </c>
      <c r="BI94">
        <v>19</v>
      </c>
      <c r="BJ94" t="s">
        <v>694</v>
      </c>
      <c r="BK94" t="s">
        <v>102</v>
      </c>
      <c r="BL94" t="s">
        <v>695</v>
      </c>
      <c r="BM94" t="s">
        <v>2169</v>
      </c>
      <c r="BN94" t="s">
        <v>74</v>
      </c>
      <c r="BO94" t="s">
        <v>1906</v>
      </c>
      <c r="BP94" t="s">
        <v>74</v>
      </c>
      <c r="BQ94" t="s">
        <v>74</v>
      </c>
      <c r="BR94" t="s">
        <v>106</v>
      </c>
      <c r="BS94" t="s">
        <v>2170</v>
      </c>
      <c r="BT94" t="str">
        <f>HYPERLINK("https%3A%2F%2Fwww.webofscience.com%2Fwos%2Fwoscc%2Ffull-record%2FWOS:000552273400002","View Full Record in Web of Science")</f>
        <v>View Full Record in Web of Science</v>
      </c>
    </row>
    <row r="95" spans="1:72" x14ac:dyDescent="0.15">
      <c r="A95" t="s">
        <v>72</v>
      </c>
      <c r="B95" t="s">
        <v>2171</v>
      </c>
      <c r="C95" t="s">
        <v>74</v>
      </c>
      <c r="D95" t="s">
        <v>74</v>
      </c>
      <c r="E95" t="s">
        <v>74</v>
      </c>
      <c r="F95" t="s">
        <v>2172</v>
      </c>
      <c r="G95" t="s">
        <v>74</v>
      </c>
      <c r="H95" t="s">
        <v>74</v>
      </c>
      <c r="I95" t="s">
        <v>2173</v>
      </c>
      <c r="J95" t="s">
        <v>2174</v>
      </c>
      <c r="K95" t="s">
        <v>74</v>
      </c>
      <c r="L95" t="s">
        <v>74</v>
      </c>
      <c r="M95" t="s">
        <v>78</v>
      </c>
      <c r="N95" t="s">
        <v>79</v>
      </c>
      <c r="O95" t="s">
        <v>74</v>
      </c>
      <c r="P95" t="s">
        <v>74</v>
      </c>
      <c r="Q95" t="s">
        <v>74</v>
      </c>
      <c r="R95" t="s">
        <v>74</v>
      </c>
      <c r="S95" t="s">
        <v>74</v>
      </c>
      <c r="T95" t="s">
        <v>2175</v>
      </c>
      <c r="U95" t="s">
        <v>2176</v>
      </c>
      <c r="V95" t="s">
        <v>2177</v>
      </c>
      <c r="W95" t="s">
        <v>2178</v>
      </c>
      <c r="X95" t="s">
        <v>2179</v>
      </c>
      <c r="Y95" t="s">
        <v>2180</v>
      </c>
      <c r="Z95" t="s">
        <v>2181</v>
      </c>
      <c r="AA95" t="s">
        <v>74</v>
      </c>
      <c r="AB95" t="s">
        <v>2182</v>
      </c>
      <c r="AC95" t="s">
        <v>2183</v>
      </c>
      <c r="AD95" t="s">
        <v>2184</v>
      </c>
      <c r="AE95" t="s">
        <v>2185</v>
      </c>
      <c r="AF95" t="s">
        <v>74</v>
      </c>
      <c r="AG95">
        <v>32</v>
      </c>
      <c r="AH95">
        <v>1</v>
      </c>
      <c r="AI95">
        <v>1</v>
      </c>
      <c r="AJ95">
        <v>0</v>
      </c>
      <c r="AK95">
        <v>4</v>
      </c>
      <c r="AL95" t="s">
        <v>2186</v>
      </c>
      <c r="AM95" t="s">
        <v>2187</v>
      </c>
      <c r="AN95" t="s">
        <v>2188</v>
      </c>
      <c r="AO95" t="s">
        <v>2189</v>
      </c>
      <c r="AP95" t="s">
        <v>2190</v>
      </c>
      <c r="AQ95" t="s">
        <v>74</v>
      </c>
      <c r="AR95" t="s">
        <v>2191</v>
      </c>
      <c r="AS95" t="s">
        <v>2192</v>
      </c>
      <c r="AT95" t="s">
        <v>99</v>
      </c>
      <c r="AU95">
        <v>2020</v>
      </c>
      <c r="AV95">
        <v>25</v>
      </c>
      <c r="AW95">
        <v>4</v>
      </c>
      <c r="AX95" t="s">
        <v>74</v>
      </c>
      <c r="AY95" t="s">
        <v>74</v>
      </c>
      <c r="AZ95" t="s">
        <v>74</v>
      </c>
      <c r="BA95" t="s">
        <v>74</v>
      </c>
      <c r="BB95">
        <v>543</v>
      </c>
      <c r="BC95">
        <v>550</v>
      </c>
      <c r="BD95" t="s">
        <v>74</v>
      </c>
      <c r="BE95" t="s">
        <v>2193</v>
      </c>
      <c r="BF95" t="str">
        <f>HYPERLINK("http://dx.doi.org/10.1007/s12257-019-0371-4","http://dx.doi.org/10.1007/s12257-019-0371-4")</f>
        <v>http://dx.doi.org/10.1007/s12257-019-0371-4</v>
      </c>
      <c r="BG95" t="s">
        <v>74</v>
      </c>
      <c r="BH95" t="s">
        <v>1003</v>
      </c>
      <c r="BI95">
        <v>8</v>
      </c>
      <c r="BJ95" t="s">
        <v>2194</v>
      </c>
      <c r="BK95" t="s">
        <v>102</v>
      </c>
      <c r="BL95" t="s">
        <v>2194</v>
      </c>
      <c r="BM95" t="s">
        <v>2195</v>
      </c>
      <c r="BN95" t="s">
        <v>74</v>
      </c>
      <c r="BO95" t="s">
        <v>74</v>
      </c>
      <c r="BP95" t="s">
        <v>74</v>
      </c>
      <c r="BQ95" t="s">
        <v>74</v>
      </c>
      <c r="BR95" t="s">
        <v>106</v>
      </c>
      <c r="BS95" t="s">
        <v>2196</v>
      </c>
      <c r="BT95" t="str">
        <f>HYPERLINK("https%3A%2F%2Fwww.webofscience.com%2Fwos%2Fwoscc%2Ffull-record%2FWOS:000550999700001","View Full Record in Web of Science")</f>
        <v>View Full Record in Web of Science</v>
      </c>
    </row>
    <row r="96" spans="1:72" x14ac:dyDescent="0.15">
      <c r="A96" t="s">
        <v>72</v>
      </c>
      <c r="B96" t="s">
        <v>2197</v>
      </c>
      <c r="C96" t="s">
        <v>74</v>
      </c>
      <c r="D96" t="s">
        <v>74</v>
      </c>
      <c r="E96" t="s">
        <v>74</v>
      </c>
      <c r="F96" t="s">
        <v>2198</v>
      </c>
      <c r="G96" t="s">
        <v>74</v>
      </c>
      <c r="H96" t="s">
        <v>74</v>
      </c>
      <c r="I96" t="s">
        <v>2199</v>
      </c>
      <c r="J96" t="s">
        <v>2200</v>
      </c>
      <c r="K96" t="s">
        <v>74</v>
      </c>
      <c r="L96" t="s">
        <v>74</v>
      </c>
      <c r="M96" t="s">
        <v>78</v>
      </c>
      <c r="N96" t="s">
        <v>79</v>
      </c>
      <c r="O96" t="s">
        <v>74</v>
      </c>
      <c r="P96" t="s">
        <v>74</v>
      </c>
      <c r="Q96" t="s">
        <v>74</v>
      </c>
      <c r="R96" t="s">
        <v>74</v>
      </c>
      <c r="S96" t="s">
        <v>74</v>
      </c>
      <c r="T96" t="s">
        <v>2201</v>
      </c>
      <c r="U96" t="s">
        <v>2202</v>
      </c>
      <c r="V96" t="s">
        <v>2203</v>
      </c>
      <c r="W96" t="s">
        <v>2204</v>
      </c>
      <c r="X96" t="s">
        <v>2205</v>
      </c>
      <c r="Y96" t="s">
        <v>2206</v>
      </c>
      <c r="Z96" t="s">
        <v>2207</v>
      </c>
      <c r="AA96" t="s">
        <v>2208</v>
      </c>
      <c r="AB96" t="s">
        <v>2209</v>
      </c>
      <c r="AC96" t="s">
        <v>2210</v>
      </c>
      <c r="AD96" t="s">
        <v>2211</v>
      </c>
      <c r="AE96" t="s">
        <v>2212</v>
      </c>
      <c r="AF96" t="s">
        <v>74</v>
      </c>
      <c r="AG96">
        <v>99</v>
      </c>
      <c r="AH96">
        <v>34</v>
      </c>
      <c r="AI96">
        <v>38</v>
      </c>
      <c r="AJ96">
        <v>2</v>
      </c>
      <c r="AK96">
        <v>29</v>
      </c>
      <c r="AL96" t="s">
        <v>994</v>
      </c>
      <c r="AM96" t="s">
        <v>995</v>
      </c>
      <c r="AN96" t="s">
        <v>996</v>
      </c>
      <c r="AO96" t="s">
        <v>2213</v>
      </c>
      <c r="AP96" t="s">
        <v>2214</v>
      </c>
      <c r="AQ96" t="s">
        <v>74</v>
      </c>
      <c r="AR96" t="s">
        <v>2200</v>
      </c>
      <c r="AS96" t="s">
        <v>2215</v>
      </c>
      <c r="AT96" t="s">
        <v>1001</v>
      </c>
      <c r="AU96">
        <v>2020</v>
      </c>
      <c r="AV96">
        <v>43</v>
      </c>
      <c r="AW96">
        <v>10</v>
      </c>
      <c r="AX96" t="s">
        <v>74</v>
      </c>
      <c r="AY96" t="s">
        <v>74</v>
      </c>
      <c r="AZ96" t="s">
        <v>74</v>
      </c>
      <c r="BA96" t="s">
        <v>74</v>
      </c>
      <c r="BB96">
        <v>1536</v>
      </c>
      <c r="BC96">
        <v>1549</v>
      </c>
      <c r="BD96" t="s">
        <v>74</v>
      </c>
      <c r="BE96" t="s">
        <v>2216</v>
      </c>
      <c r="BF96" t="str">
        <f>HYPERLINK("http://dx.doi.org/10.1111/ecog.05204","http://dx.doi.org/10.1111/ecog.05204")</f>
        <v>http://dx.doi.org/10.1111/ecog.05204</v>
      </c>
      <c r="BG96" t="s">
        <v>74</v>
      </c>
      <c r="BH96" t="s">
        <v>1003</v>
      </c>
      <c r="BI96">
        <v>14</v>
      </c>
      <c r="BJ96" t="s">
        <v>1004</v>
      </c>
      <c r="BK96" t="s">
        <v>102</v>
      </c>
      <c r="BL96" t="s">
        <v>1005</v>
      </c>
      <c r="BM96" t="s">
        <v>2217</v>
      </c>
      <c r="BN96" t="s">
        <v>74</v>
      </c>
      <c r="BO96" t="s">
        <v>161</v>
      </c>
      <c r="BP96" t="s">
        <v>74</v>
      </c>
      <c r="BQ96" t="s">
        <v>74</v>
      </c>
      <c r="BR96" t="s">
        <v>106</v>
      </c>
      <c r="BS96" t="s">
        <v>2218</v>
      </c>
      <c r="BT96" t="str">
        <f>HYPERLINK("https%3A%2F%2Fwww.webofscience.com%2Fwos%2Fwoscc%2Ffull-record%2FWOS:000550570200001","View Full Record in Web of Science")</f>
        <v>View Full Record in Web of Science</v>
      </c>
    </row>
    <row r="97" spans="1:72" x14ac:dyDescent="0.15">
      <c r="A97" t="s">
        <v>72</v>
      </c>
      <c r="B97" t="s">
        <v>2219</v>
      </c>
      <c r="C97" t="s">
        <v>74</v>
      </c>
      <c r="D97" t="s">
        <v>74</v>
      </c>
      <c r="E97" t="s">
        <v>74</v>
      </c>
      <c r="F97" t="s">
        <v>2220</v>
      </c>
      <c r="G97" t="s">
        <v>74</v>
      </c>
      <c r="H97" t="s">
        <v>74</v>
      </c>
      <c r="I97" t="s">
        <v>2221</v>
      </c>
      <c r="J97" t="s">
        <v>2222</v>
      </c>
      <c r="K97" t="s">
        <v>74</v>
      </c>
      <c r="L97" t="s">
        <v>74</v>
      </c>
      <c r="M97" t="s">
        <v>78</v>
      </c>
      <c r="N97" t="s">
        <v>79</v>
      </c>
      <c r="O97" t="s">
        <v>74</v>
      </c>
      <c r="P97" t="s">
        <v>74</v>
      </c>
      <c r="Q97" t="s">
        <v>74</v>
      </c>
      <c r="R97" t="s">
        <v>74</v>
      </c>
      <c r="S97" t="s">
        <v>74</v>
      </c>
      <c r="T97" t="s">
        <v>2223</v>
      </c>
      <c r="U97" t="s">
        <v>2224</v>
      </c>
      <c r="V97" t="s">
        <v>2225</v>
      </c>
      <c r="W97" t="s">
        <v>2226</v>
      </c>
      <c r="X97" t="s">
        <v>2227</v>
      </c>
      <c r="Y97" t="s">
        <v>2228</v>
      </c>
      <c r="Z97" t="s">
        <v>2229</v>
      </c>
      <c r="AA97" t="s">
        <v>2230</v>
      </c>
      <c r="AB97" t="s">
        <v>2231</v>
      </c>
      <c r="AC97" t="s">
        <v>2232</v>
      </c>
      <c r="AD97" t="s">
        <v>2232</v>
      </c>
      <c r="AE97" t="s">
        <v>2233</v>
      </c>
      <c r="AF97" t="s">
        <v>74</v>
      </c>
      <c r="AG97">
        <v>50</v>
      </c>
      <c r="AH97">
        <v>2</v>
      </c>
      <c r="AI97">
        <v>2</v>
      </c>
      <c r="AJ97">
        <v>0</v>
      </c>
      <c r="AK97">
        <v>4</v>
      </c>
      <c r="AL97" t="s">
        <v>2234</v>
      </c>
      <c r="AM97" t="s">
        <v>2235</v>
      </c>
      <c r="AN97" t="s">
        <v>2236</v>
      </c>
      <c r="AO97" t="s">
        <v>2237</v>
      </c>
      <c r="AP97" t="s">
        <v>2238</v>
      </c>
      <c r="AQ97" t="s">
        <v>74</v>
      </c>
      <c r="AR97" t="s">
        <v>2239</v>
      </c>
      <c r="AS97" t="s">
        <v>2240</v>
      </c>
      <c r="AT97" t="s">
        <v>74</v>
      </c>
      <c r="AU97">
        <v>2021</v>
      </c>
      <c r="AV97">
        <v>72</v>
      </c>
      <c r="AW97">
        <v>2</v>
      </c>
      <c r="AX97" t="s">
        <v>74</v>
      </c>
      <c r="AY97" t="s">
        <v>74</v>
      </c>
      <c r="AZ97" t="s">
        <v>74</v>
      </c>
      <c r="BA97" t="s">
        <v>74</v>
      </c>
      <c r="BB97">
        <v>263</v>
      </c>
      <c r="BC97">
        <v>274</v>
      </c>
      <c r="BD97" t="s">
        <v>74</v>
      </c>
      <c r="BE97" t="s">
        <v>2241</v>
      </c>
      <c r="BF97" t="str">
        <f>HYPERLINK("http://dx.doi.org/10.1071/MF20024","http://dx.doi.org/10.1071/MF20024")</f>
        <v>http://dx.doi.org/10.1071/MF20024</v>
      </c>
      <c r="BG97" t="s">
        <v>74</v>
      </c>
      <c r="BH97" t="s">
        <v>1003</v>
      </c>
      <c r="BI97">
        <v>12</v>
      </c>
      <c r="BJ97" t="s">
        <v>2242</v>
      </c>
      <c r="BK97" t="s">
        <v>102</v>
      </c>
      <c r="BL97" t="s">
        <v>2243</v>
      </c>
      <c r="BM97" t="s">
        <v>2244</v>
      </c>
      <c r="BN97" t="s">
        <v>74</v>
      </c>
      <c r="BO97" t="s">
        <v>74</v>
      </c>
      <c r="BP97" t="s">
        <v>74</v>
      </c>
      <c r="BQ97" t="s">
        <v>74</v>
      </c>
      <c r="BR97" t="s">
        <v>106</v>
      </c>
      <c r="BS97" t="s">
        <v>2245</v>
      </c>
      <c r="BT97" t="str">
        <f>HYPERLINK("https%3A%2F%2Fwww.webofscience.com%2Fwos%2Fwoscc%2Ffull-record%2FWOS:000550844500001","View Full Record in Web of Science")</f>
        <v>View Full Record in Web of Science</v>
      </c>
    </row>
    <row r="98" spans="1:72" x14ac:dyDescent="0.15">
      <c r="A98" t="s">
        <v>72</v>
      </c>
      <c r="B98" t="s">
        <v>2246</v>
      </c>
      <c r="C98" t="s">
        <v>74</v>
      </c>
      <c r="D98" t="s">
        <v>74</v>
      </c>
      <c r="E98" t="s">
        <v>74</v>
      </c>
      <c r="F98" t="s">
        <v>2247</v>
      </c>
      <c r="G98" t="s">
        <v>74</v>
      </c>
      <c r="H98" t="s">
        <v>74</v>
      </c>
      <c r="I98" t="s">
        <v>2248</v>
      </c>
      <c r="J98" t="s">
        <v>2249</v>
      </c>
      <c r="K98" t="s">
        <v>74</v>
      </c>
      <c r="L98" t="s">
        <v>74</v>
      </c>
      <c r="M98" t="s">
        <v>78</v>
      </c>
      <c r="N98" t="s">
        <v>79</v>
      </c>
      <c r="O98" t="s">
        <v>74</v>
      </c>
      <c r="P98" t="s">
        <v>74</v>
      </c>
      <c r="Q98" t="s">
        <v>74</v>
      </c>
      <c r="R98" t="s">
        <v>74</v>
      </c>
      <c r="S98" t="s">
        <v>74</v>
      </c>
      <c r="T98" t="s">
        <v>74</v>
      </c>
      <c r="U98" t="s">
        <v>2250</v>
      </c>
      <c r="V98" t="s">
        <v>2251</v>
      </c>
      <c r="W98" t="s">
        <v>2252</v>
      </c>
      <c r="X98" t="s">
        <v>2253</v>
      </c>
      <c r="Y98" t="s">
        <v>2254</v>
      </c>
      <c r="Z98" t="s">
        <v>2255</v>
      </c>
      <c r="AA98" t="s">
        <v>74</v>
      </c>
      <c r="AB98" t="s">
        <v>2256</v>
      </c>
      <c r="AC98" t="s">
        <v>2257</v>
      </c>
      <c r="AD98" t="s">
        <v>2258</v>
      </c>
      <c r="AE98" t="s">
        <v>2259</v>
      </c>
      <c r="AF98" t="s">
        <v>74</v>
      </c>
      <c r="AG98">
        <v>47</v>
      </c>
      <c r="AH98">
        <v>6</v>
      </c>
      <c r="AI98">
        <v>6</v>
      </c>
      <c r="AJ98">
        <v>1</v>
      </c>
      <c r="AK98">
        <v>1</v>
      </c>
      <c r="AL98" t="s">
        <v>1440</v>
      </c>
      <c r="AM98" t="s">
        <v>1628</v>
      </c>
      <c r="AN98" t="s">
        <v>1629</v>
      </c>
      <c r="AO98" t="s">
        <v>2260</v>
      </c>
      <c r="AP98" t="s">
        <v>2261</v>
      </c>
      <c r="AQ98" t="s">
        <v>74</v>
      </c>
      <c r="AR98" t="s">
        <v>2262</v>
      </c>
      <c r="AS98" t="s">
        <v>2263</v>
      </c>
      <c r="AT98" t="s">
        <v>1001</v>
      </c>
      <c r="AU98">
        <v>2020</v>
      </c>
      <c r="AV98">
        <v>97</v>
      </c>
      <c r="AW98">
        <v>5</v>
      </c>
      <c r="AX98" t="s">
        <v>74</v>
      </c>
      <c r="AY98" t="s">
        <v>74</v>
      </c>
      <c r="AZ98" t="s">
        <v>74</v>
      </c>
      <c r="BA98" t="s">
        <v>74</v>
      </c>
      <c r="BB98">
        <v>477</v>
      </c>
      <c r="BC98">
        <v>490</v>
      </c>
      <c r="BD98" t="s">
        <v>74</v>
      </c>
      <c r="BE98" t="s">
        <v>2264</v>
      </c>
      <c r="BF98" t="str">
        <f>HYPERLINK("http://dx.doi.org/10.1007/s11230-020-09923-7","http://dx.doi.org/10.1007/s11230-020-09923-7")</f>
        <v>http://dx.doi.org/10.1007/s11230-020-09923-7</v>
      </c>
      <c r="BG98" t="s">
        <v>74</v>
      </c>
      <c r="BH98" t="s">
        <v>1003</v>
      </c>
      <c r="BI98">
        <v>14</v>
      </c>
      <c r="BJ98" t="s">
        <v>2265</v>
      </c>
      <c r="BK98" t="s">
        <v>102</v>
      </c>
      <c r="BL98" t="s">
        <v>2265</v>
      </c>
      <c r="BM98" t="s">
        <v>2266</v>
      </c>
      <c r="BN98">
        <v>32691325</v>
      </c>
      <c r="BO98" t="s">
        <v>74</v>
      </c>
      <c r="BP98" t="s">
        <v>74</v>
      </c>
      <c r="BQ98" t="s">
        <v>74</v>
      </c>
      <c r="BR98" t="s">
        <v>106</v>
      </c>
      <c r="BS98" t="s">
        <v>2267</v>
      </c>
      <c r="BT98" t="str">
        <f>HYPERLINK("https%3A%2F%2Fwww.webofscience.com%2Fwos%2Fwoscc%2Ffull-record%2FWOS:000550622100001","View Full Record in Web of Science")</f>
        <v>View Full Record in Web of Science</v>
      </c>
    </row>
    <row r="99" spans="1:72" x14ac:dyDescent="0.15">
      <c r="A99" t="s">
        <v>72</v>
      </c>
      <c r="B99" t="s">
        <v>2268</v>
      </c>
      <c r="C99" t="s">
        <v>74</v>
      </c>
      <c r="D99" t="s">
        <v>74</v>
      </c>
      <c r="E99" t="s">
        <v>74</v>
      </c>
      <c r="F99" t="s">
        <v>2269</v>
      </c>
      <c r="G99" t="s">
        <v>74</v>
      </c>
      <c r="H99" t="s">
        <v>74</v>
      </c>
      <c r="I99" t="s">
        <v>2270</v>
      </c>
      <c r="J99" t="s">
        <v>2271</v>
      </c>
      <c r="K99" t="s">
        <v>74</v>
      </c>
      <c r="L99" t="s">
        <v>74</v>
      </c>
      <c r="M99" t="s">
        <v>78</v>
      </c>
      <c r="N99" t="s">
        <v>79</v>
      </c>
      <c r="O99" t="s">
        <v>74</v>
      </c>
      <c r="P99" t="s">
        <v>74</v>
      </c>
      <c r="Q99" t="s">
        <v>74</v>
      </c>
      <c r="R99" t="s">
        <v>74</v>
      </c>
      <c r="S99" t="s">
        <v>74</v>
      </c>
      <c r="T99" t="s">
        <v>2272</v>
      </c>
      <c r="U99" t="s">
        <v>2273</v>
      </c>
      <c r="V99" t="s">
        <v>2274</v>
      </c>
      <c r="W99" t="s">
        <v>2275</v>
      </c>
      <c r="X99" t="s">
        <v>2276</v>
      </c>
      <c r="Y99" t="s">
        <v>2277</v>
      </c>
      <c r="Z99" t="s">
        <v>2278</v>
      </c>
      <c r="AA99" t="s">
        <v>74</v>
      </c>
      <c r="AB99" t="s">
        <v>2279</v>
      </c>
      <c r="AC99" t="s">
        <v>2280</v>
      </c>
      <c r="AD99" t="s">
        <v>2281</v>
      </c>
      <c r="AE99" t="s">
        <v>2282</v>
      </c>
      <c r="AF99" t="s">
        <v>74</v>
      </c>
      <c r="AG99">
        <v>72</v>
      </c>
      <c r="AH99">
        <v>34</v>
      </c>
      <c r="AI99">
        <v>34</v>
      </c>
      <c r="AJ99">
        <v>1</v>
      </c>
      <c r="AK99">
        <v>20</v>
      </c>
      <c r="AL99" t="s">
        <v>1440</v>
      </c>
      <c r="AM99" t="s">
        <v>1628</v>
      </c>
      <c r="AN99" t="s">
        <v>1629</v>
      </c>
      <c r="AO99" t="s">
        <v>2283</v>
      </c>
      <c r="AP99" t="s">
        <v>2284</v>
      </c>
      <c r="AQ99" t="s">
        <v>74</v>
      </c>
      <c r="AR99" t="s">
        <v>2285</v>
      </c>
      <c r="AS99" t="s">
        <v>2286</v>
      </c>
      <c r="AT99" t="s">
        <v>1001</v>
      </c>
      <c r="AU99">
        <v>2020</v>
      </c>
      <c r="AV99">
        <v>32</v>
      </c>
      <c r="AW99">
        <v>5</v>
      </c>
      <c r="AX99" t="s">
        <v>74</v>
      </c>
      <c r="AY99" t="s">
        <v>74</v>
      </c>
      <c r="AZ99" t="s">
        <v>74</v>
      </c>
      <c r="BA99" t="s">
        <v>74</v>
      </c>
      <c r="BB99">
        <v>3199</v>
      </c>
      <c r="BC99">
        <v>3209</v>
      </c>
      <c r="BD99" t="s">
        <v>74</v>
      </c>
      <c r="BE99" t="s">
        <v>2287</v>
      </c>
      <c r="BF99" t="str">
        <f>HYPERLINK("http://dx.doi.org/10.1007/s10811-020-02201-5","http://dx.doi.org/10.1007/s10811-020-02201-5")</f>
        <v>http://dx.doi.org/10.1007/s10811-020-02201-5</v>
      </c>
      <c r="BG99" t="s">
        <v>74</v>
      </c>
      <c r="BH99" t="s">
        <v>1003</v>
      </c>
      <c r="BI99">
        <v>11</v>
      </c>
      <c r="BJ99" t="s">
        <v>2288</v>
      </c>
      <c r="BK99" t="s">
        <v>102</v>
      </c>
      <c r="BL99" t="s">
        <v>2288</v>
      </c>
      <c r="BM99" t="s">
        <v>2289</v>
      </c>
      <c r="BN99" t="s">
        <v>74</v>
      </c>
      <c r="BO99" t="s">
        <v>1474</v>
      </c>
      <c r="BP99" t="s">
        <v>74</v>
      </c>
      <c r="BQ99" t="s">
        <v>74</v>
      </c>
      <c r="BR99" t="s">
        <v>106</v>
      </c>
      <c r="BS99" t="s">
        <v>2290</v>
      </c>
      <c r="BT99" t="str">
        <f>HYPERLINK("https%3A%2F%2Fwww.webofscience.com%2Fwos%2Fwoscc%2Ffull-record%2FWOS:000550610100002","View Full Record in Web of Science")</f>
        <v>View Full Record in Web of Science</v>
      </c>
    </row>
    <row r="100" spans="1:72" x14ac:dyDescent="0.15">
      <c r="A100" t="s">
        <v>72</v>
      </c>
      <c r="B100" t="s">
        <v>2291</v>
      </c>
      <c r="C100" t="s">
        <v>74</v>
      </c>
      <c r="D100" t="s">
        <v>74</v>
      </c>
      <c r="E100" t="s">
        <v>74</v>
      </c>
      <c r="F100" t="s">
        <v>2292</v>
      </c>
      <c r="G100" t="s">
        <v>74</v>
      </c>
      <c r="H100" t="s">
        <v>74</v>
      </c>
      <c r="I100" t="s">
        <v>2293</v>
      </c>
      <c r="J100" t="s">
        <v>2294</v>
      </c>
      <c r="K100" t="s">
        <v>74</v>
      </c>
      <c r="L100" t="s">
        <v>74</v>
      </c>
      <c r="M100" t="s">
        <v>78</v>
      </c>
      <c r="N100" t="s">
        <v>79</v>
      </c>
      <c r="O100" t="s">
        <v>74</v>
      </c>
      <c r="P100" t="s">
        <v>74</v>
      </c>
      <c r="Q100" t="s">
        <v>74</v>
      </c>
      <c r="R100" t="s">
        <v>74</v>
      </c>
      <c r="S100" t="s">
        <v>74</v>
      </c>
      <c r="T100" t="s">
        <v>74</v>
      </c>
      <c r="U100" t="s">
        <v>2295</v>
      </c>
      <c r="V100" t="s">
        <v>2296</v>
      </c>
      <c r="W100" t="s">
        <v>2297</v>
      </c>
      <c r="X100" t="s">
        <v>2298</v>
      </c>
      <c r="Y100" t="s">
        <v>2299</v>
      </c>
      <c r="Z100" t="s">
        <v>2300</v>
      </c>
      <c r="AA100" t="s">
        <v>2301</v>
      </c>
      <c r="AB100" t="s">
        <v>2302</v>
      </c>
      <c r="AC100" t="s">
        <v>2303</v>
      </c>
      <c r="AD100" t="s">
        <v>2304</v>
      </c>
      <c r="AE100" t="s">
        <v>2305</v>
      </c>
      <c r="AF100" t="s">
        <v>74</v>
      </c>
      <c r="AG100">
        <v>72</v>
      </c>
      <c r="AH100">
        <v>13</v>
      </c>
      <c r="AI100">
        <v>15</v>
      </c>
      <c r="AJ100">
        <v>0</v>
      </c>
      <c r="AK100">
        <v>11</v>
      </c>
      <c r="AL100" t="s">
        <v>994</v>
      </c>
      <c r="AM100" t="s">
        <v>995</v>
      </c>
      <c r="AN100" t="s">
        <v>996</v>
      </c>
      <c r="AO100" t="s">
        <v>2306</v>
      </c>
      <c r="AP100" t="s">
        <v>2307</v>
      </c>
      <c r="AQ100" t="s">
        <v>74</v>
      </c>
      <c r="AR100" t="s">
        <v>2308</v>
      </c>
      <c r="AS100" t="s">
        <v>2309</v>
      </c>
      <c r="AT100" t="s">
        <v>1176</v>
      </c>
      <c r="AU100">
        <v>2020</v>
      </c>
      <c r="AV100">
        <v>65</v>
      </c>
      <c r="AW100">
        <v>12</v>
      </c>
      <c r="AX100" t="s">
        <v>74</v>
      </c>
      <c r="AY100" t="s">
        <v>74</v>
      </c>
      <c r="AZ100" t="s">
        <v>74</v>
      </c>
      <c r="BA100" t="s">
        <v>74</v>
      </c>
      <c r="BB100">
        <v>2912</v>
      </c>
      <c r="BC100">
        <v>2925</v>
      </c>
      <c r="BD100" t="s">
        <v>74</v>
      </c>
      <c r="BE100" t="s">
        <v>2310</v>
      </c>
      <c r="BF100" t="str">
        <f>HYPERLINK("http://dx.doi.org/10.1002/lno.11562","http://dx.doi.org/10.1002/lno.11562")</f>
        <v>http://dx.doi.org/10.1002/lno.11562</v>
      </c>
      <c r="BG100" t="s">
        <v>74</v>
      </c>
      <c r="BH100" t="s">
        <v>1003</v>
      </c>
      <c r="BI100">
        <v>14</v>
      </c>
      <c r="BJ100" t="s">
        <v>2311</v>
      </c>
      <c r="BK100" t="s">
        <v>102</v>
      </c>
      <c r="BL100" t="s">
        <v>2312</v>
      </c>
      <c r="BM100" t="s">
        <v>2313</v>
      </c>
      <c r="BN100">
        <v>33380749</v>
      </c>
      <c r="BO100" t="s">
        <v>1474</v>
      </c>
      <c r="BP100" t="s">
        <v>74</v>
      </c>
      <c r="BQ100" t="s">
        <v>74</v>
      </c>
      <c r="BR100" t="s">
        <v>106</v>
      </c>
      <c r="BS100" t="s">
        <v>2314</v>
      </c>
      <c r="BT100" t="str">
        <f>HYPERLINK("https%3A%2F%2Fwww.webofscience.com%2Fwos%2Fwoscc%2Ffull-record%2FWOS:000550505400001","View Full Record in Web of Science")</f>
        <v>View Full Record in Web of Science</v>
      </c>
    </row>
    <row r="101" spans="1:72" x14ac:dyDescent="0.15">
      <c r="A101" t="s">
        <v>72</v>
      </c>
      <c r="B101" t="s">
        <v>2315</v>
      </c>
      <c r="C101" t="s">
        <v>74</v>
      </c>
      <c r="D101" t="s">
        <v>74</v>
      </c>
      <c r="E101" t="s">
        <v>74</v>
      </c>
      <c r="F101" t="s">
        <v>2316</v>
      </c>
      <c r="G101" t="s">
        <v>74</v>
      </c>
      <c r="H101" t="s">
        <v>74</v>
      </c>
      <c r="I101" t="s">
        <v>2317</v>
      </c>
      <c r="J101" t="s">
        <v>2318</v>
      </c>
      <c r="K101" t="s">
        <v>74</v>
      </c>
      <c r="L101" t="s">
        <v>74</v>
      </c>
      <c r="M101" t="s">
        <v>78</v>
      </c>
      <c r="N101" t="s">
        <v>79</v>
      </c>
      <c r="O101" t="s">
        <v>74</v>
      </c>
      <c r="P101" t="s">
        <v>74</v>
      </c>
      <c r="Q101" t="s">
        <v>74</v>
      </c>
      <c r="R101" t="s">
        <v>74</v>
      </c>
      <c r="S101" t="s">
        <v>74</v>
      </c>
      <c r="T101" t="s">
        <v>2319</v>
      </c>
      <c r="U101" t="s">
        <v>2320</v>
      </c>
      <c r="V101" t="s">
        <v>2321</v>
      </c>
      <c r="W101" t="s">
        <v>2322</v>
      </c>
      <c r="X101" t="s">
        <v>2323</v>
      </c>
      <c r="Y101" t="s">
        <v>2324</v>
      </c>
      <c r="Z101" t="s">
        <v>2325</v>
      </c>
      <c r="AA101" t="s">
        <v>2326</v>
      </c>
      <c r="AB101" t="s">
        <v>2327</v>
      </c>
      <c r="AC101" t="s">
        <v>2328</v>
      </c>
      <c r="AD101" t="s">
        <v>2329</v>
      </c>
      <c r="AE101" t="s">
        <v>2330</v>
      </c>
      <c r="AF101" t="s">
        <v>74</v>
      </c>
      <c r="AG101">
        <v>68</v>
      </c>
      <c r="AH101">
        <v>12</v>
      </c>
      <c r="AI101">
        <v>13</v>
      </c>
      <c r="AJ101">
        <v>0</v>
      </c>
      <c r="AK101">
        <v>7</v>
      </c>
      <c r="AL101" t="s">
        <v>1440</v>
      </c>
      <c r="AM101" t="s">
        <v>399</v>
      </c>
      <c r="AN101" t="s">
        <v>1441</v>
      </c>
      <c r="AO101" t="s">
        <v>2331</v>
      </c>
      <c r="AP101" t="s">
        <v>2332</v>
      </c>
      <c r="AQ101" t="s">
        <v>74</v>
      </c>
      <c r="AR101" t="s">
        <v>2333</v>
      </c>
      <c r="AS101" t="s">
        <v>2334</v>
      </c>
      <c r="AT101" t="s">
        <v>1001</v>
      </c>
      <c r="AU101">
        <v>2020</v>
      </c>
      <c r="AV101">
        <v>55</v>
      </c>
      <c r="AW101" t="s">
        <v>2335</v>
      </c>
      <c r="AX101" t="s">
        <v>74</v>
      </c>
      <c r="AY101" t="s">
        <v>74</v>
      </c>
      <c r="AZ101" t="s">
        <v>74</v>
      </c>
      <c r="BA101" t="s">
        <v>74</v>
      </c>
      <c r="BB101">
        <v>1875</v>
      </c>
      <c r="BC101">
        <v>1892</v>
      </c>
      <c r="BD101" t="s">
        <v>74</v>
      </c>
      <c r="BE101" t="s">
        <v>2336</v>
      </c>
      <c r="BF101" t="str">
        <f>HYPERLINK("http://dx.doi.org/10.1007/s00382-020-05354-8","http://dx.doi.org/10.1007/s00382-020-05354-8")</f>
        <v>http://dx.doi.org/10.1007/s00382-020-05354-8</v>
      </c>
      <c r="BG101" t="s">
        <v>74</v>
      </c>
      <c r="BH101" t="s">
        <v>1003</v>
      </c>
      <c r="BI101">
        <v>18</v>
      </c>
      <c r="BJ101" t="s">
        <v>159</v>
      </c>
      <c r="BK101" t="s">
        <v>102</v>
      </c>
      <c r="BL101" t="s">
        <v>159</v>
      </c>
      <c r="BM101" t="s">
        <v>2337</v>
      </c>
      <c r="BN101" t="s">
        <v>74</v>
      </c>
      <c r="BO101" t="s">
        <v>189</v>
      </c>
      <c r="BP101" t="s">
        <v>74</v>
      </c>
      <c r="BQ101" t="s">
        <v>74</v>
      </c>
      <c r="BR101" t="s">
        <v>106</v>
      </c>
      <c r="BS101" t="s">
        <v>2338</v>
      </c>
      <c r="BT101" t="str">
        <f>HYPERLINK("https%3A%2F%2Fwww.webofscience.com%2Fwos%2Fwoscc%2Ffull-record%2FWOS:000549795500001","View Full Record in Web of Science")</f>
        <v>View Full Record in Web of Science</v>
      </c>
    </row>
    <row r="102" spans="1:72" x14ac:dyDescent="0.15">
      <c r="A102" t="s">
        <v>72</v>
      </c>
      <c r="B102" t="s">
        <v>2339</v>
      </c>
      <c r="C102" t="s">
        <v>74</v>
      </c>
      <c r="D102" t="s">
        <v>74</v>
      </c>
      <c r="E102" t="s">
        <v>74</v>
      </c>
      <c r="F102" t="s">
        <v>2340</v>
      </c>
      <c r="G102" t="s">
        <v>74</v>
      </c>
      <c r="H102" t="s">
        <v>74</v>
      </c>
      <c r="I102" t="s">
        <v>2341</v>
      </c>
      <c r="J102" t="s">
        <v>2342</v>
      </c>
      <c r="K102" t="s">
        <v>74</v>
      </c>
      <c r="L102" t="s">
        <v>74</v>
      </c>
      <c r="M102" t="s">
        <v>78</v>
      </c>
      <c r="N102" t="s">
        <v>79</v>
      </c>
      <c r="O102" t="s">
        <v>74</v>
      </c>
      <c r="P102" t="s">
        <v>74</v>
      </c>
      <c r="Q102" t="s">
        <v>74</v>
      </c>
      <c r="R102" t="s">
        <v>74</v>
      </c>
      <c r="S102" t="s">
        <v>74</v>
      </c>
      <c r="T102" t="s">
        <v>2343</v>
      </c>
      <c r="U102" t="s">
        <v>2344</v>
      </c>
      <c r="V102" t="s">
        <v>2345</v>
      </c>
      <c r="W102" t="s">
        <v>2346</v>
      </c>
      <c r="X102" t="s">
        <v>2347</v>
      </c>
      <c r="Y102" t="s">
        <v>2348</v>
      </c>
      <c r="Z102" t="s">
        <v>2349</v>
      </c>
      <c r="AA102" t="s">
        <v>74</v>
      </c>
      <c r="AB102" t="s">
        <v>2350</v>
      </c>
      <c r="AC102" t="s">
        <v>2351</v>
      </c>
      <c r="AD102" t="s">
        <v>2351</v>
      </c>
      <c r="AE102" t="s">
        <v>2352</v>
      </c>
      <c r="AF102" t="s">
        <v>74</v>
      </c>
      <c r="AG102">
        <v>50</v>
      </c>
      <c r="AH102">
        <v>19</v>
      </c>
      <c r="AI102">
        <v>20</v>
      </c>
      <c r="AJ102">
        <v>2</v>
      </c>
      <c r="AK102">
        <v>9</v>
      </c>
      <c r="AL102" t="s">
        <v>1440</v>
      </c>
      <c r="AM102" t="s">
        <v>1628</v>
      </c>
      <c r="AN102" t="s">
        <v>1629</v>
      </c>
      <c r="AO102" t="s">
        <v>2353</v>
      </c>
      <c r="AP102" t="s">
        <v>2354</v>
      </c>
      <c r="AQ102" t="s">
        <v>74</v>
      </c>
      <c r="AR102" t="s">
        <v>2355</v>
      </c>
      <c r="AS102" t="s">
        <v>2356</v>
      </c>
      <c r="AT102" t="s">
        <v>2357</v>
      </c>
      <c r="AU102">
        <v>2020</v>
      </c>
      <c r="AV102">
        <v>36</v>
      </c>
      <c r="AW102">
        <v>8</v>
      </c>
      <c r="AX102" t="s">
        <v>74</v>
      </c>
      <c r="AY102" t="s">
        <v>74</v>
      </c>
      <c r="AZ102" t="s">
        <v>74</v>
      </c>
      <c r="BA102" t="s">
        <v>74</v>
      </c>
      <c r="BB102" t="s">
        <v>74</v>
      </c>
      <c r="BC102" t="s">
        <v>74</v>
      </c>
      <c r="BD102">
        <v>120</v>
      </c>
      <c r="BE102" t="s">
        <v>2358</v>
      </c>
      <c r="BF102" t="str">
        <f>HYPERLINK("http://dx.doi.org/10.1007/s11274-020-02893-4","http://dx.doi.org/10.1007/s11274-020-02893-4")</f>
        <v>http://dx.doi.org/10.1007/s11274-020-02893-4</v>
      </c>
      <c r="BG102" t="s">
        <v>74</v>
      </c>
      <c r="BH102" t="s">
        <v>74</v>
      </c>
      <c r="BI102">
        <v>11</v>
      </c>
      <c r="BJ102" t="s">
        <v>2194</v>
      </c>
      <c r="BK102" t="s">
        <v>102</v>
      </c>
      <c r="BL102" t="s">
        <v>2194</v>
      </c>
      <c r="BM102" t="s">
        <v>2359</v>
      </c>
      <c r="BN102">
        <v>32681377</v>
      </c>
      <c r="BO102" t="s">
        <v>74</v>
      </c>
      <c r="BP102" t="s">
        <v>74</v>
      </c>
      <c r="BQ102" t="s">
        <v>74</v>
      </c>
      <c r="BR102" t="s">
        <v>106</v>
      </c>
      <c r="BS102" t="s">
        <v>2360</v>
      </c>
      <c r="BT102" t="str">
        <f>HYPERLINK("https%3A%2F%2Fwww.webofscience.com%2Fwos%2Fwoscc%2Ffull-record%2FWOS:000552417100003","View Full Record in Web of Science")</f>
        <v>View Full Record in Web of Science</v>
      </c>
    </row>
    <row r="103" spans="1:72" x14ac:dyDescent="0.15">
      <c r="A103" t="s">
        <v>72</v>
      </c>
      <c r="B103" t="s">
        <v>2361</v>
      </c>
      <c r="C103" t="s">
        <v>74</v>
      </c>
      <c r="D103" t="s">
        <v>74</v>
      </c>
      <c r="E103" t="s">
        <v>74</v>
      </c>
      <c r="F103" t="s">
        <v>2362</v>
      </c>
      <c r="G103" t="s">
        <v>74</v>
      </c>
      <c r="H103" t="s">
        <v>74</v>
      </c>
      <c r="I103" t="s">
        <v>2363</v>
      </c>
      <c r="J103" t="s">
        <v>2364</v>
      </c>
      <c r="K103" t="s">
        <v>74</v>
      </c>
      <c r="L103" t="s">
        <v>74</v>
      </c>
      <c r="M103" t="s">
        <v>78</v>
      </c>
      <c r="N103" t="s">
        <v>79</v>
      </c>
      <c r="O103" t="s">
        <v>74</v>
      </c>
      <c r="P103" t="s">
        <v>74</v>
      </c>
      <c r="Q103" t="s">
        <v>74</v>
      </c>
      <c r="R103" t="s">
        <v>74</v>
      </c>
      <c r="S103" t="s">
        <v>74</v>
      </c>
      <c r="T103" t="s">
        <v>2365</v>
      </c>
      <c r="U103" t="s">
        <v>2366</v>
      </c>
      <c r="V103" t="s">
        <v>2367</v>
      </c>
      <c r="W103" t="s">
        <v>2368</v>
      </c>
      <c r="X103" t="s">
        <v>2369</v>
      </c>
      <c r="Y103" t="s">
        <v>2370</v>
      </c>
      <c r="Z103" t="s">
        <v>2371</v>
      </c>
      <c r="AA103" t="s">
        <v>2372</v>
      </c>
      <c r="AB103" t="s">
        <v>2373</v>
      </c>
      <c r="AC103" t="s">
        <v>2374</v>
      </c>
      <c r="AD103" t="s">
        <v>2375</v>
      </c>
      <c r="AE103" t="s">
        <v>2376</v>
      </c>
      <c r="AF103" t="s">
        <v>74</v>
      </c>
      <c r="AG103">
        <v>32</v>
      </c>
      <c r="AH103">
        <v>57</v>
      </c>
      <c r="AI103">
        <v>64</v>
      </c>
      <c r="AJ103">
        <v>4</v>
      </c>
      <c r="AK103">
        <v>16</v>
      </c>
      <c r="AL103" t="s">
        <v>2377</v>
      </c>
      <c r="AM103" t="s">
        <v>945</v>
      </c>
      <c r="AN103" t="s">
        <v>2378</v>
      </c>
      <c r="AO103" t="s">
        <v>2379</v>
      </c>
      <c r="AP103" t="s">
        <v>74</v>
      </c>
      <c r="AQ103" t="s">
        <v>74</v>
      </c>
      <c r="AR103" t="s">
        <v>2380</v>
      </c>
      <c r="AS103" t="s">
        <v>2381</v>
      </c>
      <c r="AT103" t="s">
        <v>2382</v>
      </c>
      <c r="AU103">
        <v>2020</v>
      </c>
      <c r="AV103">
        <v>8</v>
      </c>
      <c r="AW103">
        <v>1</v>
      </c>
      <c r="AX103" t="s">
        <v>74</v>
      </c>
      <c r="AY103" t="s">
        <v>74</v>
      </c>
      <c r="AZ103" t="s">
        <v>74</v>
      </c>
      <c r="BA103" t="s">
        <v>74</v>
      </c>
      <c r="BB103" t="s">
        <v>74</v>
      </c>
      <c r="BC103" t="s">
        <v>74</v>
      </c>
      <c r="BD103">
        <v>31</v>
      </c>
      <c r="BE103" t="s">
        <v>2383</v>
      </c>
      <c r="BF103" t="str">
        <f>HYPERLINK("http://dx.doi.org/10.1186/s40462-020-00217-7","http://dx.doi.org/10.1186/s40462-020-00217-7")</f>
        <v>http://dx.doi.org/10.1186/s40462-020-00217-7</v>
      </c>
      <c r="BG103" t="s">
        <v>74</v>
      </c>
      <c r="BH103" t="s">
        <v>74</v>
      </c>
      <c r="BI103">
        <v>13</v>
      </c>
      <c r="BJ103" t="s">
        <v>1446</v>
      </c>
      <c r="BK103" t="s">
        <v>102</v>
      </c>
      <c r="BL103" t="s">
        <v>103</v>
      </c>
      <c r="BM103" t="s">
        <v>2384</v>
      </c>
      <c r="BN103">
        <v>32695402</v>
      </c>
      <c r="BO103" t="s">
        <v>2385</v>
      </c>
      <c r="BP103" t="s">
        <v>74</v>
      </c>
      <c r="BQ103" t="s">
        <v>74</v>
      </c>
      <c r="BR103" t="s">
        <v>106</v>
      </c>
      <c r="BS103" t="s">
        <v>2386</v>
      </c>
      <c r="BT103" t="str">
        <f>HYPERLINK("https%3A%2F%2Fwww.webofscience.com%2Fwos%2Fwoscc%2Ffull-record%2FWOS:000552302200001","View Full Record in Web of Science")</f>
        <v>View Full Record in Web of Science</v>
      </c>
    </row>
    <row r="104" spans="1:72" x14ac:dyDescent="0.15">
      <c r="A104" t="s">
        <v>72</v>
      </c>
      <c r="B104" t="s">
        <v>2387</v>
      </c>
      <c r="C104" t="s">
        <v>74</v>
      </c>
      <c r="D104" t="s">
        <v>74</v>
      </c>
      <c r="E104" t="s">
        <v>74</v>
      </c>
      <c r="F104" t="s">
        <v>2388</v>
      </c>
      <c r="G104" t="s">
        <v>74</v>
      </c>
      <c r="H104" t="s">
        <v>74</v>
      </c>
      <c r="I104" t="s">
        <v>2389</v>
      </c>
      <c r="J104" t="s">
        <v>2390</v>
      </c>
      <c r="K104" t="s">
        <v>74</v>
      </c>
      <c r="L104" t="s">
        <v>74</v>
      </c>
      <c r="M104" t="s">
        <v>78</v>
      </c>
      <c r="N104" t="s">
        <v>79</v>
      </c>
      <c r="O104" t="s">
        <v>74</v>
      </c>
      <c r="P104" t="s">
        <v>74</v>
      </c>
      <c r="Q104" t="s">
        <v>74</v>
      </c>
      <c r="R104" t="s">
        <v>74</v>
      </c>
      <c r="S104" t="s">
        <v>74</v>
      </c>
      <c r="T104" t="s">
        <v>74</v>
      </c>
      <c r="U104" t="s">
        <v>2391</v>
      </c>
      <c r="V104" t="s">
        <v>2392</v>
      </c>
      <c r="W104" t="s">
        <v>2393</v>
      </c>
      <c r="X104" t="s">
        <v>2394</v>
      </c>
      <c r="Y104" t="s">
        <v>2395</v>
      </c>
      <c r="Z104" t="s">
        <v>2396</v>
      </c>
      <c r="AA104" t="s">
        <v>2397</v>
      </c>
      <c r="AB104" t="s">
        <v>2398</v>
      </c>
      <c r="AC104" t="s">
        <v>2399</v>
      </c>
      <c r="AD104" t="s">
        <v>2400</v>
      </c>
      <c r="AE104" t="s">
        <v>2401</v>
      </c>
      <c r="AF104" t="s">
        <v>74</v>
      </c>
      <c r="AG104">
        <v>46</v>
      </c>
      <c r="AH104">
        <v>6</v>
      </c>
      <c r="AI104">
        <v>6</v>
      </c>
      <c r="AJ104">
        <v>1</v>
      </c>
      <c r="AK104">
        <v>4</v>
      </c>
      <c r="AL104" t="s">
        <v>1440</v>
      </c>
      <c r="AM104" t="s">
        <v>399</v>
      </c>
      <c r="AN104" t="s">
        <v>1441</v>
      </c>
      <c r="AO104" t="s">
        <v>2402</v>
      </c>
      <c r="AP104" t="s">
        <v>2403</v>
      </c>
      <c r="AQ104" t="s">
        <v>74</v>
      </c>
      <c r="AR104" t="s">
        <v>2404</v>
      </c>
      <c r="AS104" t="s">
        <v>2405</v>
      </c>
      <c r="AT104" t="s">
        <v>1001</v>
      </c>
      <c r="AU104">
        <v>2020</v>
      </c>
      <c r="AV104">
        <v>77</v>
      </c>
      <c r="AW104">
        <v>10</v>
      </c>
      <c r="AX104" t="s">
        <v>74</v>
      </c>
      <c r="AY104" t="s">
        <v>74</v>
      </c>
      <c r="AZ104" t="s">
        <v>74</v>
      </c>
      <c r="BA104" t="s">
        <v>74</v>
      </c>
      <c r="BB104">
        <v>2940</v>
      </c>
      <c r="BC104">
        <v>2952</v>
      </c>
      <c r="BD104" t="s">
        <v>74</v>
      </c>
      <c r="BE104" t="s">
        <v>2406</v>
      </c>
      <c r="BF104" t="str">
        <f>HYPERLINK("http://dx.doi.org/10.1007/s00284-020-02120-1","http://dx.doi.org/10.1007/s00284-020-02120-1")</f>
        <v>http://dx.doi.org/10.1007/s00284-020-02120-1</v>
      </c>
      <c r="BG104" t="s">
        <v>74</v>
      </c>
      <c r="BH104" t="s">
        <v>1003</v>
      </c>
      <c r="BI104">
        <v>13</v>
      </c>
      <c r="BJ104" t="s">
        <v>2045</v>
      </c>
      <c r="BK104" t="s">
        <v>102</v>
      </c>
      <c r="BL104" t="s">
        <v>2045</v>
      </c>
      <c r="BM104" t="s">
        <v>2407</v>
      </c>
      <c r="BN104">
        <v>32681312</v>
      </c>
      <c r="BO104" t="s">
        <v>74</v>
      </c>
      <c r="BP104" t="s">
        <v>74</v>
      </c>
      <c r="BQ104" t="s">
        <v>74</v>
      </c>
      <c r="BR104" t="s">
        <v>106</v>
      </c>
      <c r="BS104" t="s">
        <v>2408</v>
      </c>
      <c r="BT104" t="str">
        <f>HYPERLINK("https%3A%2F%2Fwww.webofscience.com%2Fwos%2Fwoscc%2Ffull-record%2FWOS:000549683100003","View Full Record in Web of Science")</f>
        <v>View Full Record in Web of Science</v>
      </c>
    </row>
    <row r="105" spans="1:72" x14ac:dyDescent="0.15">
      <c r="A105" t="s">
        <v>72</v>
      </c>
      <c r="B105" t="s">
        <v>2409</v>
      </c>
      <c r="C105" t="s">
        <v>74</v>
      </c>
      <c r="D105" t="s">
        <v>74</v>
      </c>
      <c r="E105" t="s">
        <v>74</v>
      </c>
      <c r="F105" t="s">
        <v>2410</v>
      </c>
      <c r="G105" t="s">
        <v>74</v>
      </c>
      <c r="H105" t="s">
        <v>74</v>
      </c>
      <c r="I105" t="s">
        <v>2411</v>
      </c>
      <c r="J105" t="s">
        <v>2412</v>
      </c>
      <c r="K105" t="s">
        <v>74</v>
      </c>
      <c r="L105" t="s">
        <v>74</v>
      </c>
      <c r="M105" t="s">
        <v>78</v>
      </c>
      <c r="N105" t="s">
        <v>79</v>
      </c>
      <c r="O105" t="s">
        <v>74</v>
      </c>
      <c r="P105" t="s">
        <v>74</v>
      </c>
      <c r="Q105" t="s">
        <v>74</v>
      </c>
      <c r="R105" t="s">
        <v>74</v>
      </c>
      <c r="S105" t="s">
        <v>74</v>
      </c>
      <c r="T105" t="s">
        <v>2413</v>
      </c>
      <c r="U105" t="s">
        <v>2414</v>
      </c>
      <c r="V105" t="s">
        <v>2415</v>
      </c>
      <c r="W105" t="s">
        <v>2416</v>
      </c>
      <c r="X105" t="s">
        <v>2417</v>
      </c>
      <c r="Y105" t="s">
        <v>2418</v>
      </c>
      <c r="Z105" t="s">
        <v>2419</v>
      </c>
      <c r="AA105" t="s">
        <v>2420</v>
      </c>
      <c r="AB105" t="s">
        <v>2421</v>
      </c>
      <c r="AC105" t="s">
        <v>2422</v>
      </c>
      <c r="AD105" t="s">
        <v>2423</v>
      </c>
      <c r="AE105" t="s">
        <v>2424</v>
      </c>
      <c r="AF105" t="s">
        <v>74</v>
      </c>
      <c r="AG105">
        <v>78</v>
      </c>
      <c r="AH105">
        <v>8</v>
      </c>
      <c r="AI105">
        <v>8</v>
      </c>
      <c r="AJ105">
        <v>2</v>
      </c>
      <c r="AK105">
        <v>21</v>
      </c>
      <c r="AL105" t="s">
        <v>2425</v>
      </c>
      <c r="AM105" t="s">
        <v>152</v>
      </c>
      <c r="AN105" t="s">
        <v>2426</v>
      </c>
      <c r="AO105" t="s">
        <v>2427</v>
      </c>
      <c r="AP105" t="s">
        <v>74</v>
      </c>
      <c r="AQ105" t="s">
        <v>74</v>
      </c>
      <c r="AR105" t="s">
        <v>2428</v>
      </c>
      <c r="AS105" t="s">
        <v>2429</v>
      </c>
      <c r="AT105" t="s">
        <v>2430</v>
      </c>
      <c r="AU105">
        <v>2020</v>
      </c>
      <c r="AV105">
        <v>4</v>
      </c>
      <c r="AW105">
        <v>7</v>
      </c>
      <c r="AX105" t="s">
        <v>74</v>
      </c>
      <c r="AY105" t="s">
        <v>74</v>
      </c>
      <c r="AZ105" t="s">
        <v>74</v>
      </c>
      <c r="BA105" t="s">
        <v>74</v>
      </c>
      <c r="BB105">
        <v>1140</v>
      </c>
      <c r="BC105">
        <v>1148</v>
      </c>
      <c r="BD105" t="s">
        <v>74</v>
      </c>
      <c r="BE105" t="s">
        <v>2431</v>
      </c>
      <c r="BF105" t="str">
        <f>HYPERLINK("http://dx.doi.org/10.1021/acsearthspacechem.0c00116","http://dx.doi.org/10.1021/acsearthspacechem.0c00116")</f>
        <v>http://dx.doi.org/10.1021/acsearthspacechem.0c00116</v>
      </c>
      <c r="BG105" t="s">
        <v>74</v>
      </c>
      <c r="BH105" t="s">
        <v>74</v>
      </c>
      <c r="BI105">
        <v>9</v>
      </c>
      <c r="BJ105" t="s">
        <v>2432</v>
      </c>
      <c r="BK105" t="s">
        <v>102</v>
      </c>
      <c r="BL105" t="s">
        <v>2433</v>
      </c>
      <c r="BM105" t="s">
        <v>2434</v>
      </c>
      <c r="BN105" t="s">
        <v>74</v>
      </c>
      <c r="BO105" t="s">
        <v>74</v>
      </c>
      <c r="BP105" t="s">
        <v>74</v>
      </c>
      <c r="BQ105" t="s">
        <v>74</v>
      </c>
      <c r="BR105" t="s">
        <v>106</v>
      </c>
      <c r="BS105" t="s">
        <v>2435</v>
      </c>
      <c r="BT105" t="str">
        <f>HYPERLINK("https%3A%2F%2Fwww.webofscience.com%2Fwos%2Fwoscc%2Ffull-record%2FWOS:000551545600018","View Full Record in Web of Science")</f>
        <v>View Full Record in Web of Science</v>
      </c>
    </row>
    <row r="106" spans="1:72" x14ac:dyDescent="0.15">
      <c r="A106" t="s">
        <v>72</v>
      </c>
      <c r="B106" t="s">
        <v>2436</v>
      </c>
      <c r="C106" t="s">
        <v>74</v>
      </c>
      <c r="D106" t="s">
        <v>74</v>
      </c>
      <c r="E106" t="s">
        <v>74</v>
      </c>
      <c r="F106" t="s">
        <v>2437</v>
      </c>
      <c r="G106" t="s">
        <v>74</v>
      </c>
      <c r="H106" t="s">
        <v>74</v>
      </c>
      <c r="I106" t="s">
        <v>2438</v>
      </c>
      <c r="J106" t="s">
        <v>1783</v>
      </c>
      <c r="K106" t="s">
        <v>74</v>
      </c>
      <c r="L106" t="s">
        <v>74</v>
      </c>
      <c r="M106" t="s">
        <v>78</v>
      </c>
      <c r="N106" t="s">
        <v>79</v>
      </c>
      <c r="O106" t="s">
        <v>74</v>
      </c>
      <c r="P106" t="s">
        <v>74</v>
      </c>
      <c r="Q106" t="s">
        <v>74</v>
      </c>
      <c r="R106" t="s">
        <v>74</v>
      </c>
      <c r="S106" t="s">
        <v>74</v>
      </c>
      <c r="T106" t="s">
        <v>2439</v>
      </c>
      <c r="U106" t="s">
        <v>2440</v>
      </c>
      <c r="V106" t="s">
        <v>2441</v>
      </c>
      <c r="W106" t="s">
        <v>2442</v>
      </c>
      <c r="X106" t="s">
        <v>2443</v>
      </c>
      <c r="Y106" t="s">
        <v>2444</v>
      </c>
      <c r="Z106" t="s">
        <v>2445</v>
      </c>
      <c r="AA106" t="s">
        <v>2446</v>
      </c>
      <c r="AB106" t="s">
        <v>2447</v>
      </c>
      <c r="AC106" t="s">
        <v>2448</v>
      </c>
      <c r="AD106" t="s">
        <v>2449</v>
      </c>
      <c r="AE106" t="s">
        <v>2450</v>
      </c>
      <c r="AF106" t="s">
        <v>74</v>
      </c>
      <c r="AG106">
        <v>41</v>
      </c>
      <c r="AH106">
        <v>3</v>
      </c>
      <c r="AI106">
        <v>3</v>
      </c>
      <c r="AJ106">
        <v>0</v>
      </c>
      <c r="AK106">
        <v>6</v>
      </c>
      <c r="AL106" t="s">
        <v>1440</v>
      </c>
      <c r="AM106" t="s">
        <v>399</v>
      </c>
      <c r="AN106" t="s">
        <v>1441</v>
      </c>
      <c r="AO106" t="s">
        <v>1796</v>
      </c>
      <c r="AP106" t="s">
        <v>1797</v>
      </c>
      <c r="AQ106" t="s">
        <v>74</v>
      </c>
      <c r="AR106" t="s">
        <v>1798</v>
      </c>
      <c r="AS106" t="s">
        <v>1799</v>
      </c>
      <c r="AT106" t="s">
        <v>1930</v>
      </c>
      <c r="AU106">
        <v>2020</v>
      </c>
      <c r="AV106">
        <v>43</v>
      </c>
      <c r="AW106">
        <v>9</v>
      </c>
      <c r="AX106" t="s">
        <v>74</v>
      </c>
      <c r="AY106" t="s">
        <v>74</v>
      </c>
      <c r="AZ106" t="s">
        <v>74</v>
      </c>
      <c r="BA106" t="s">
        <v>74</v>
      </c>
      <c r="BB106">
        <v>1353</v>
      </c>
      <c r="BC106">
        <v>1361</v>
      </c>
      <c r="BD106" t="s">
        <v>74</v>
      </c>
      <c r="BE106" t="s">
        <v>2451</v>
      </c>
      <c r="BF106" t="str">
        <f>HYPERLINK("http://dx.doi.org/10.1007/s00300-020-02713-3","http://dx.doi.org/10.1007/s00300-020-02713-3")</f>
        <v>http://dx.doi.org/10.1007/s00300-020-02713-3</v>
      </c>
      <c r="BG106" t="s">
        <v>74</v>
      </c>
      <c r="BH106" t="s">
        <v>1003</v>
      </c>
      <c r="BI106">
        <v>9</v>
      </c>
      <c r="BJ106" t="s">
        <v>1004</v>
      </c>
      <c r="BK106" t="s">
        <v>102</v>
      </c>
      <c r="BL106" t="s">
        <v>1005</v>
      </c>
      <c r="BM106" t="s">
        <v>1949</v>
      </c>
      <c r="BN106" t="s">
        <v>74</v>
      </c>
      <c r="BO106" t="s">
        <v>294</v>
      </c>
      <c r="BP106" t="s">
        <v>74</v>
      </c>
      <c r="BQ106" t="s">
        <v>74</v>
      </c>
      <c r="BR106" t="s">
        <v>106</v>
      </c>
      <c r="BS106" t="s">
        <v>2452</v>
      </c>
      <c r="BT106" t="str">
        <f>HYPERLINK("https%3A%2F%2Fwww.webofscience.com%2Fwos%2Fwoscc%2Ffull-record%2FWOS:000557645900001","View Full Record in Web of Science")</f>
        <v>View Full Record in Web of Science</v>
      </c>
    </row>
    <row r="107" spans="1:72" x14ac:dyDescent="0.15">
      <c r="A107" t="s">
        <v>72</v>
      </c>
      <c r="B107" t="s">
        <v>2453</v>
      </c>
      <c r="C107" t="s">
        <v>74</v>
      </c>
      <c r="D107" t="s">
        <v>74</v>
      </c>
      <c r="E107" t="s">
        <v>74</v>
      </c>
      <c r="F107" t="s">
        <v>2454</v>
      </c>
      <c r="G107" t="s">
        <v>74</v>
      </c>
      <c r="H107" t="s">
        <v>74</v>
      </c>
      <c r="I107" t="s">
        <v>2455</v>
      </c>
      <c r="J107" t="s">
        <v>2456</v>
      </c>
      <c r="K107" t="s">
        <v>74</v>
      </c>
      <c r="L107" t="s">
        <v>74</v>
      </c>
      <c r="M107" t="s">
        <v>78</v>
      </c>
      <c r="N107" t="s">
        <v>79</v>
      </c>
      <c r="O107" t="s">
        <v>74</v>
      </c>
      <c r="P107" t="s">
        <v>74</v>
      </c>
      <c r="Q107" t="s">
        <v>74</v>
      </c>
      <c r="R107" t="s">
        <v>74</v>
      </c>
      <c r="S107" t="s">
        <v>74</v>
      </c>
      <c r="T107" t="s">
        <v>2457</v>
      </c>
      <c r="U107" t="s">
        <v>2458</v>
      </c>
      <c r="V107" t="s">
        <v>2459</v>
      </c>
      <c r="W107" t="s">
        <v>2460</v>
      </c>
      <c r="X107" t="s">
        <v>2461</v>
      </c>
      <c r="Y107" t="s">
        <v>2462</v>
      </c>
      <c r="Z107" t="s">
        <v>2463</v>
      </c>
      <c r="AA107" t="s">
        <v>2464</v>
      </c>
      <c r="AB107" t="s">
        <v>2465</v>
      </c>
      <c r="AC107" t="s">
        <v>2466</v>
      </c>
      <c r="AD107" t="s">
        <v>2467</v>
      </c>
      <c r="AE107" t="s">
        <v>2468</v>
      </c>
      <c r="AF107" t="s">
        <v>74</v>
      </c>
      <c r="AG107">
        <v>64</v>
      </c>
      <c r="AH107">
        <v>15</v>
      </c>
      <c r="AI107">
        <v>15</v>
      </c>
      <c r="AJ107">
        <v>0</v>
      </c>
      <c r="AK107">
        <v>7</v>
      </c>
      <c r="AL107" t="s">
        <v>1024</v>
      </c>
      <c r="AM107" t="s">
        <v>1025</v>
      </c>
      <c r="AN107" t="s">
        <v>1026</v>
      </c>
      <c r="AO107" t="s">
        <v>74</v>
      </c>
      <c r="AP107" t="s">
        <v>2469</v>
      </c>
      <c r="AQ107" t="s">
        <v>74</v>
      </c>
      <c r="AR107" t="s">
        <v>2470</v>
      </c>
      <c r="AS107" t="s">
        <v>2471</v>
      </c>
      <c r="AT107" t="s">
        <v>2430</v>
      </c>
      <c r="AU107">
        <v>2020</v>
      </c>
      <c r="AV107">
        <v>8</v>
      </c>
      <c r="AW107" t="s">
        <v>74</v>
      </c>
      <c r="AX107" t="s">
        <v>74</v>
      </c>
      <c r="AY107" t="s">
        <v>74</v>
      </c>
      <c r="AZ107" t="s">
        <v>74</v>
      </c>
      <c r="BA107" t="s">
        <v>74</v>
      </c>
      <c r="BB107" t="s">
        <v>74</v>
      </c>
      <c r="BC107" t="s">
        <v>74</v>
      </c>
      <c r="BD107">
        <v>249</v>
      </c>
      <c r="BE107" t="s">
        <v>2472</v>
      </c>
      <c r="BF107" t="str">
        <f>HYPERLINK("http://dx.doi.org/10.3389/feart.2020.00249","http://dx.doi.org/10.3389/feart.2020.00249")</f>
        <v>http://dx.doi.org/10.3389/feart.2020.00249</v>
      </c>
      <c r="BG107" t="s">
        <v>74</v>
      </c>
      <c r="BH107" t="s">
        <v>74</v>
      </c>
      <c r="BI107">
        <v>25</v>
      </c>
      <c r="BJ107" t="s">
        <v>471</v>
      </c>
      <c r="BK107" t="s">
        <v>102</v>
      </c>
      <c r="BL107" t="s">
        <v>472</v>
      </c>
      <c r="BM107" t="s">
        <v>2473</v>
      </c>
      <c r="BN107" t="s">
        <v>74</v>
      </c>
      <c r="BO107" t="s">
        <v>1778</v>
      </c>
      <c r="BP107" t="s">
        <v>74</v>
      </c>
      <c r="BQ107" t="s">
        <v>74</v>
      </c>
      <c r="BR107" t="s">
        <v>106</v>
      </c>
      <c r="BS107" t="s">
        <v>2474</v>
      </c>
      <c r="BT107" t="str">
        <f>HYPERLINK("https%3A%2F%2Fwww.webofscience.com%2Fwos%2Fwoscc%2Ffull-record%2FWOS:000556789000001","View Full Record in Web of Science")</f>
        <v>View Full Record in Web of Science</v>
      </c>
    </row>
    <row r="108" spans="1:72" x14ac:dyDescent="0.15">
      <c r="A108" t="s">
        <v>72</v>
      </c>
      <c r="B108" t="s">
        <v>2475</v>
      </c>
      <c r="C108" t="s">
        <v>74</v>
      </c>
      <c r="D108" t="s">
        <v>74</v>
      </c>
      <c r="E108" t="s">
        <v>74</v>
      </c>
      <c r="F108" t="s">
        <v>2476</v>
      </c>
      <c r="G108" t="s">
        <v>74</v>
      </c>
      <c r="H108" t="s">
        <v>74</v>
      </c>
      <c r="I108" t="s">
        <v>2477</v>
      </c>
      <c r="J108" t="s">
        <v>1572</v>
      </c>
      <c r="K108" t="s">
        <v>74</v>
      </c>
      <c r="L108" t="s">
        <v>74</v>
      </c>
      <c r="M108" t="s">
        <v>78</v>
      </c>
      <c r="N108" t="s">
        <v>79</v>
      </c>
      <c r="O108" t="s">
        <v>74</v>
      </c>
      <c r="P108" t="s">
        <v>74</v>
      </c>
      <c r="Q108" t="s">
        <v>74</v>
      </c>
      <c r="R108" t="s">
        <v>74</v>
      </c>
      <c r="S108" t="s">
        <v>74</v>
      </c>
      <c r="T108" t="s">
        <v>2478</v>
      </c>
      <c r="U108" t="s">
        <v>2479</v>
      </c>
      <c r="V108" t="s">
        <v>2480</v>
      </c>
      <c r="W108" t="s">
        <v>2481</v>
      </c>
      <c r="X108" t="s">
        <v>2482</v>
      </c>
      <c r="Y108" t="s">
        <v>2483</v>
      </c>
      <c r="Z108" t="s">
        <v>2484</v>
      </c>
      <c r="AA108" t="s">
        <v>74</v>
      </c>
      <c r="AB108" t="s">
        <v>2485</v>
      </c>
      <c r="AC108" t="s">
        <v>2486</v>
      </c>
      <c r="AD108" t="s">
        <v>2487</v>
      </c>
      <c r="AE108" t="s">
        <v>2488</v>
      </c>
      <c r="AF108" t="s">
        <v>74</v>
      </c>
      <c r="AG108">
        <v>60</v>
      </c>
      <c r="AH108">
        <v>31</v>
      </c>
      <c r="AI108">
        <v>38</v>
      </c>
      <c r="AJ108">
        <v>0</v>
      </c>
      <c r="AK108">
        <v>15</v>
      </c>
      <c r="AL108" t="s">
        <v>151</v>
      </c>
      <c r="AM108" t="s">
        <v>152</v>
      </c>
      <c r="AN108" t="s">
        <v>153</v>
      </c>
      <c r="AO108" t="s">
        <v>1585</v>
      </c>
      <c r="AP108" t="s">
        <v>1586</v>
      </c>
      <c r="AQ108" t="s">
        <v>74</v>
      </c>
      <c r="AR108" t="s">
        <v>1587</v>
      </c>
      <c r="AS108" t="s">
        <v>1588</v>
      </c>
      <c r="AT108" t="s">
        <v>2430</v>
      </c>
      <c r="AU108">
        <v>2020</v>
      </c>
      <c r="AV108">
        <v>125</v>
      </c>
      <c r="AW108">
        <v>13</v>
      </c>
      <c r="AX108" t="s">
        <v>74</v>
      </c>
      <c r="AY108" t="s">
        <v>74</v>
      </c>
      <c r="AZ108" t="s">
        <v>74</v>
      </c>
      <c r="BA108" t="s">
        <v>74</v>
      </c>
      <c r="BB108" t="s">
        <v>74</v>
      </c>
      <c r="BC108" t="s">
        <v>74</v>
      </c>
      <c r="BD108" t="s">
        <v>2489</v>
      </c>
      <c r="BE108" t="s">
        <v>2490</v>
      </c>
      <c r="BF108" t="str">
        <f>HYPERLINK("http://dx.doi.org/10.1029/2019JD032180","http://dx.doi.org/10.1029/2019JD032180")</f>
        <v>http://dx.doi.org/10.1029/2019JD032180</v>
      </c>
      <c r="BG108" t="s">
        <v>74</v>
      </c>
      <c r="BH108" t="s">
        <v>74</v>
      </c>
      <c r="BI108">
        <v>14</v>
      </c>
      <c r="BJ108" t="s">
        <v>159</v>
      </c>
      <c r="BK108" t="s">
        <v>102</v>
      </c>
      <c r="BL108" t="s">
        <v>159</v>
      </c>
      <c r="BM108" t="s">
        <v>2491</v>
      </c>
      <c r="BN108" t="s">
        <v>74</v>
      </c>
      <c r="BO108" t="s">
        <v>294</v>
      </c>
      <c r="BP108" t="s">
        <v>74</v>
      </c>
      <c r="BQ108" t="s">
        <v>74</v>
      </c>
      <c r="BR108" t="s">
        <v>106</v>
      </c>
      <c r="BS108" t="s">
        <v>2492</v>
      </c>
      <c r="BT108" t="str">
        <f>HYPERLINK("https%3A%2F%2Fwww.webofscience.com%2Fwos%2Fwoscc%2Ffull-record%2FWOS:000551484700033","View Full Record in Web of Science")</f>
        <v>View Full Record in Web of Science</v>
      </c>
    </row>
    <row r="109" spans="1:72" x14ac:dyDescent="0.15">
      <c r="A109" t="s">
        <v>72</v>
      </c>
      <c r="B109" t="s">
        <v>2493</v>
      </c>
      <c r="C109" t="s">
        <v>74</v>
      </c>
      <c r="D109" t="s">
        <v>74</v>
      </c>
      <c r="E109" t="s">
        <v>74</v>
      </c>
      <c r="F109" t="s">
        <v>2494</v>
      </c>
      <c r="G109" t="s">
        <v>74</v>
      </c>
      <c r="H109" t="s">
        <v>74</v>
      </c>
      <c r="I109" t="s">
        <v>2495</v>
      </c>
      <c r="J109" t="s">
        <v>2496</v>
      </c>
      <c r="K109" t="s">
        <v>74</v>
      </c>
      <c r="L109" t="s">
        <v>74</v>
      </c>
      <c r="M109" t="s">
        <v>78</v>
      </c>
      <c r="N109" t="s">
        <v>79</v>
      </c>
      <c r="O109" t="s">
        <v>74</v>
      </c>
      <c r="P109" t="s">
        <v>74</v>
      </c>
      <c r="Q109" t="s">
        <v>74</v>
      </c>
      <c r="R109" t="s">
        <v>74</v>
      </c>
      <c r="S109" t="s">
        <v>74</v>
      </c>
      <c r="T109" t="s">
        <v>74</v>
      </c>
      <c r="U109" t="s">
        <v>2497</v>
      </c>
      <c r="V109" t="s">
        <v>2498</v>
      </c>
      <c r="W109" t="s">
        <v>2499</v>
      </c>
      <c r="X109" t="s">
        <v>2500</v>
      </c>
      <c r="Y109" t="s">
        <v>2501</v>
      </c>
      <c r="Z109" t="s">
        <v>2502</v>
      </c>
      <c r="AA109" t="s">
        <v>2503</v>
      </c>
      <c r="AB109" t="s">
        <v>2504</v>
      </c>
      <c r="AC109" t="s">
        <v>2505</v>
      </c>
      <c r="AD109" t="s">
        <v>2506</v>
      </c>
      <c r="AE109" t="s">
        <v>2507</v>
      </c>
      <c r="AF109" t="s">
        <v>74</v>
      </c>
      <c r="AG109">
        <v>100</v>
      </c>
      <c r="AH109">
        <v>3</v>
      </c>
      <c r="AI109">
        <v>3</v>
      </c>
      <c r="AJ109">
        <v>0</v>
      </c>
      <c r="AK109">
        <v>11</v>
      </c>
      <c r="AL109" t="s">
        <v>1049</v>
      </c>
      <c r="AM109" t="s">
        <v>1050</v>
      </c>
      <c r="AN109" t="s">
        <v>1051</v>
      </c>
      <c r="AO109" t="s">
        <v>2508</v>
      </c>
      <c r="AP109" t="s">
        <v>2509</v>
      </c>
      <c r="AQ109" t="s">
        <v>74</v>
      </c>
      <c r="AR109" t="s">
        <v>2510</v>
      </c>
      <c r="AS109" t="s">
        <v>2511</v>
      </c>
      <c r="AT109" t="s">
        <v>2430</v>
      </c>
      <c r="AU109">
        <v>2020</v>
      </c>
      <c r="AV109">
        <v>16</v>
      </c>
      <c r="AW109">
        <v>4</v>
      </c>
      <c r="AX109" t="s">
        <v>74</v>
      </c>
      <c r="AY109" t="s">
        <v>74</v>
      </c>
      <c r="AZ109" t="s">
        <v>74</v>
      </c>
      <c r="BA109" t="s">
        <v>74</v>
      </c>
      <c r="BB109">
        <v>1245</v>
      </c>
      <c r="BC109">
        <v>1261</v>
      </c>
      <c r="BD109" t="s">
        <v>74</v>
      </c>
      <c r="BE109" t="s">
        <v>2512</v>
      </c>
      <c r="BF109" t="str">
        <f>HYPERLINK("http://dx.doi.org/10.5194/cp-16-1245-2020","http://dx.doi.org/10.5194/cp-16-1245-2020")</f>
        <v>http://dx.doi.org/10.5194/cp-16-1245-2020</v>
      </c>
      <c r="BG109" t="s">
        <v>74</v>
      </c>
      <c r="BH109" t="s">
        <v>74</v>
      </c>
      <c r="BI109">
        <v>17</v>
      </c>
      <c r="BJ109" t="s">
        <v>1057</v>
      </c>
      <c r="BK109" t="s">
        <v>102</v>
      </c>
      <c r="BL109" t="s">
        <v>1058</v>
      </c>
      <c r="BM109" t="s">
        <v>2513</v>
      </c>
      <c r="BN109" t="s">
        <v>74</v>
      </c>
      <c r="BO109" t="s">
        <v>1778</v>
      </c>
      <c r="BP109" t="s">
        <v>74</v>
      </c>
      <c r="BQ109" t="s">
        <v>74</v>
      </c>
      <c r="BR109" t="s">
        <v>106</v>
      </c>
      <c r="BS109" t="s">
        <v>2514</v>
      </c>
      <c r="BT109" t="str">
        <f>HYPERLINK("https%3A%2F%2Fwww.webofscience.com%2Fwos%2Fwoscc%2Ffull-record%2FWOS:000551505700001","View Full Record in Web of Science")</f>
        <v>View Full Record in Web of Science</v>
      </c>
    </row>
    <row r="110" spans="1:72" x14ac:dyDescent="0.15">
      <c r="A110" t="s">
        <v>72</v>
      </c>
      <c r="B110" t="s">
        <v>2515</v>
      </c>
      <c r="C110" t="s">
        <v>74</v>
      </c>
      <c r="D110" t="s">
        <v>74</v>
      </c>
      <c r="E110" t="s">
        <v>74</v>
      </c>
      <c r="F110" t="s">
        <v>2516</v>
      </c>
      <c r="G110" t="s">
        <v>74</v>
      </c>
      <c r="H110" t="s">
        <v>74</v>
      </c>
      <c r="I110" t="s">
        <v>2517</v>
      </c>
      <c r="J110" t="s">
        <v>1505</v>
      </c>
      <c r="K110" t="s">
        <v>74</v>
      </c>
      <c r="L110" t="s">
        <v>74</v>
      </c>
      <c r="M110" t="s">
        <v>78</v>
      </c>
      <c r="N110" t="s">
        <v>79</v>
      </c>
      <c r="O110" t="s">
        <v>74</v>
      </c>
      <c r="P110" t="s">
        <v>74</v>
      </c>
      <c r="Q110" t="s">
        <v>74</v>
      </c>
      <c r="R110" t="s">
        <v>74</v>
      </c>
      <c r="S110" t="s">
        <v>74</v>
      </c>
      <c r="T110" t="s">
        <v>74</v>
      </c>
      <c r="U110" t="s">
        <v>2518</v>
      </c>
      <c r="V110" t="s">
        <v>2519</v>
      </c>
      <c r="W110" t="s">
        <v>2520</v>
      </c>
      <c r="X110" t="s">
        <v>2521</v>
      </c>
      <c r="Y110" t="s">
        <v>2522</v>
      </c>
      <c r="Z110" t="s">
        <v>2523</v>
      </c>
      <c r="AA110" t="s">
        <v>2524</v>
      </c>
      <c r="AB110" t="s">
        <v>2525</v>
      </c>
      <c r="AC110" t="s">
        <v>2526</v>
      </c>
      <c r="AD110" t="s">
        <v>2527</v>
      </c>
      <c r="AE110" t="s">
        <v>2528</v>
      </c>
      <c r="AF110" t="s">
        <v>74</v>
      </c>
      <c r="AG110">
        <v>50</v>
      </c>
      <c r="AH110">
        <v>26</v>
      </c>
      <c r="AI110">
        <v>30</v>
      </c>
      <c r="AJ110">
        <v>1</v>
      </c>
      <c r="AK110">
        <v>6</v>
      </c>
      <c r="AL110" t="s">
        <v>151</v>
      </c>
      <c r="AM110" t="s">
        <v>152</v>
      </c>
      <c r="AN110" t="s">
        <v>153</v>
      </c>
      <c r="AO110" t="s">
        <v>1517</v>
      </c>
      <c r="AP110" t="s">
        <v>1518</v>
      </c>
      <c r="AQ110" t="s">
        <v>74</v>
      </c>
      <c r="AR110" t="s">
        <v>1519</v>
      </c>
      <c r="AS110" t="s">
        <v>1520</v>
      </c>
      <c r="AT110" t="s">
        <v>2430</v>
      </c>
      <c r="AU110">
        <v>2020</v>
      </c>
      <c r="AV110">
        <v>47</v>
      </c>
      <c r="AW110">
        <v>13</v>
      </c>
      <c r="AX110" t="s">
        <v>74</v>
      </c>
      <c r="AY110" t="s">
        <v>74</v>
      </c>
      <c r="AZ110" t="s">
        <v>74</v>
      </c>
      <c r="BA110" t="s">
        <v>74</v>
      </c>
      <c r="BB110" t="s">
        <v>74</v>
      </c>
      <c r="BC110" t="s">
        <v>74</v>
      </c>
      <c r="BD110" t="s">
        <v>2529</v>
      </c>
      <c r="BE110" t="s">
        <v>2530</v>
      </c>
      <c r="BF110" t="str">
        <f>HYPERLINK("http://dx.doi.org/10.1029/2020GL088248","http://dx.doi.org/10.1029/2020GL088248")</f>
        <v>http://dx.doi.org/10.1029/2020GL088248</v>
      </c>
      <c r="BG110" t="s">
        <v>74</v>
      </c>
      <c r="BH110" t="s">
        <v>74</v>
      </c>
      <c r="BI110">
        <v>10</v>
      </c>
      <c r="BJ110" t="s">
        <v>471</v>
      </c>
      <c r="BK110" t="s">
        <v>102</v>
      </c>
      <c r="BL110" t="s">
        <v>472</v>
      </c>
      <c r="BM110" t="s">
        <v>2531</v>
      </c>
      <c r="BN110" t="s">
        <v>74</v>
      </c>
      <c r="BO110" t="s">
        <v>1657</v>
      </c>
      <c r="BP110" t="s">
        <v>74</v>
      </c>
      <c r="BQ110" t="s">
        <v>74</v>
      </c>
      <c r="BR110" t="s">
        <v>106</v>
      </c>
      <c r="BS110" t="s">
        <v>2532</v>
      </c>
      <c r="BT110" t="str">
        <f>HYPERLINK("https%3A%2F%2Fwww.webofscience.com%2Fwos%2Fwoscc%2Ffull-record%2FWOS:000551465400007","View Full Record in Web of Science")</f>
        <v>View Full Record in Web of Science</v>
      </c>
    </row>
    <row r="111" spans="1:72" x14ac:dyDescent="0.15">
      <c r="A111" t="s">
        <v>72</v>
      </c>
      <c r="B111" t="s">
        <v>2533</v>
      </c>
      <c r="C111" t="s">
        <v>74</v>
      </c>
      <c r="D111" t="s">
        <v>74</v>
      </c>
      <c r="E111" t="s">
        <v>74</v>
      </c>
      <c r="F111" t="s">
        <v>2534</v>
      </c>
      <c r="G111" t="s">
        <v>74</v>
      </c>
      <c r="H111" t="s">
        <v>74</v>
      </c>
      <c r="I111" t="s">
        <v>2535</v>
      </c>
      <c r="J111" t="s">
        <v>1505</v>
      </c>
      <c r="K111" t="s">
        <v>74</v>
      </c>
      <c r="L111" t="s">
        <v>74</v>
      </c>
      <c r="M111" t="s">
        <v>78</v>
      </c>
      <c r="N111" t="s">
        <v>79</v>
      </c>
      <c r="O111" t="s">
        <v>74</v>
      </c>
      <c r="P111" t="s">
        <v>74</v>
      </c>
      <c r="Q111" t="s">
        <v>74</v>
      </c>
      <c r="R111" t="s">
        <v>74</v>
      </c>
      <c r="S111" t="s">
        <v>74</v>
      </c>
      <c r="T111" t="s">
        <v>2536</v>
      </c>
      <c r="U111" t="s">
        <v>2537</v>
      </c>
      <c r="V111" t="s">
        <v>2538</v>
      </c>
      <c r="W111" t="s">
        <v>2539</v>
      </c>
      <c r="X111" t="s">
        <v>2540</v>
      </c>
      <c r="Y111" t="s">
        <v>2541</v>
      </c>
      <c r="Z111" t="s">
        <v>2542</v>
      </c>
      <c r="AA111" t="s">
        <v>2543</v>
      </c>
      <c r="AB111" t="s">
        <v>2544</v>
      </c>
      <c r="AC111" t="s">
        <v>2545</v>
      </c>
      <c r="AD111" t="s">
        <v>2546</v>
      </c>
      <c r="AE111" t="s">
        <v>2547</v>
      </c>
      <c r="AF111" t="s">
        <v>74</v>
      </c>
      <c r="AG111">
        <v>56</v>
      </c>
      <c r="AH111">
        <v>8</v>
      </c>
      <c r="AI111">
        <v>8</v>
      </c>
      <c r="AJ111">
        <v>4</v>
      </c>
      <c r="AK111">
        <v>48</v>
      </c>
      <c r="AL111" t="s">
        <v>151</v>
      </c>
      <c r="AM111" t="s">
        <v>152</v>
      </c>
      <c r="AN111" t="s">
        <v>153</v>
      </c>
      <c r="AO111" t="s">
        <v>1517</v>
      </c>
      <c r="AP111" t="s">
        <v>1518</v>
      </c>
      <c r="AQ111" t="s">
        <v>74</v>
      </c>
      <c r="AR111" t="s">
        <v>1519</v>
      </c>
      <c r="AS111" t="s">
        <v>1520</v>
      </c>
      <c r="AT111" t="s">
        <v>2430</v>
      </c>
      <c r="AU111">
        <v>2020</v>
      </c>
      <c r="AV111">
        <v>47</v>
      </c>
      <c r="AW111">
        <v>13</v>
      </c>
      <c r="AX111" t="s">
        <v>74</v>
      </c>
      <c r="AY111" t="s">
        <v>74</v>
      </c>
      <c r="AZ111" t="s">
        <v>74</v>
      </c>
      <c r="BA111" t="s">
        <v>74</v>
      </c>
      <c r="BB111" t="s">
        <v>74</v>
      </c>
      <c r="BC111" t="s">
        <v>74</v>
      </c>
      <c r="BD111" t="s">
        <v>2548</v>
      </c>
      <c r="BE111" t="s">
        <v>2549</v>
      </c>
      <c r="BF111" t="str">
        <f>HYPERLINK("http://dx.doi.org/10.1029/2020GL087888","http://dx.doi.org/10.1029/2020GL087888")</f>
        <v>http://dx.doi.org/10.1029/2020GL087888</v>
      </c>
      <c r="BG111" t="s">
        <v>74</v>
      </c>
      <c r="BH111" t="s">
        <v>74</v>
      </c>
      <c r="BI111">
        <v>10</v>
      </c>
      <c r="BJ111" t="s">
        <v>471</v>
      </c>
      <c r="BK111" t="s">
        <v>102</v>
      </c>
      <c r="BL111" t="s">
        <v>472</v>
      </c>
      <c r="BM111" t="s">
        <v>2531</v>
      </c>
      <c r="BN111" t="s">
        <v>74</v>
      </c>
      <c r="BO111" t="s">
        <v>294</v>
      </c>
      <c r="BP111" t="s">
        <v>74</v>
      </c>
      <c r="BQ111" t="s">
        <v>74</v>
      </c>
      <c r="BR111" t="s">
        <v>106</v>
      </c>
      <c r="BS111" t="s">
        <v>2550</v>
      </c>
      <c r="BT111" t="str">
        <f>HYPERLINK("https%3A%2F%2Fwww.webofscience.com%2Fwos%2Fwoscc%2Ffull-record%2FWOS:000551465400050","View Full Record in Web of Science")</f>
        <v>View Full Record in Web of Science</v>
      </c>
    </row>
    <row r="112" spans="1:72" x14ac:dyDescent="0.15">
      <c r="A112" t="s">
        <v>72</v>
      </c>
      <c r="B112" t="s">
        <v>2551</v>
      </c>
      <c r="C112" t="s">
        <v>74</v>
      </c>
      <c r="D112" t="s">
        <v>74</v>
      </c>
      <c r="E112" t="s">
        <v>74</v>
      </c>
      <c r="F112" t="s">
        <v>2552</v>
      </c>
      <c r="G112" t="s">
        <v>74</v>
      </c>
      <c r="H112" t="s">
        <v>74</v>
      </c>
      <c r="I112" t="s">
        <v>2553</v>
      </c>
      <c r="J112" t="s">
        <v>1505</v>
      </c>
      <c r="K112" t="s">
        <v>74</v>
      </c>
      <c r="L112" t="s">
        <v>74</v>
      </c>
      <c r="M112" t="s">
        <v>78</v>
      </c>
      <c r="N112" t="s">
        <v>79</v>
      </c>
      <c r="O112" t="s">
        <v>74</v>
      </c>
      <c r="P112" t="s">
        <v>74</v>
      </c>
      <c r="Q112" t="s">
        <v>74</v>
      </c>
      <c r="R112" t="s">
        <v>74</v>
      </c>
      <c r="S112" t="s">
        <v>74</v>
      </c>
      <c r="T112" t="s">
        <v>2554</v>
      </c>
      <c r="U112" t="s">
        <v>2555</v>
      </c>
      <c r="V112" t="s">
        <v>2556</v>
      </c>
      <c r="W112" t="s">
        <v>2557</v>
      </c>
      <c r="X112" t="s">
        <v>2558</v>
      </c>
      <c r="Y112" t="s">
        <v>2559</v>
      </c>
      <c r="Z112" t="s">
        <v>2560</v>
      </c>
      <c r="AA112" t="s">
        <v>2561</v>
      </c>
      <c r="AB112" t="s">
        <v>2562</v>
      </c>
      <c r="AC112" t="s">
        <v>2563</v>
      </c>
      <c r="AD112" t="s">
        <v>2564</v>
      </c>
      <c r="AE112" t="s">
        <v>2565</v>
      </c>
      <c r="AF112" t="s">
        <v>74</v>
      </c>
      <c r="AG112">
        <v>44</v>
      </c>
      <c r="AH112">
        <v>19</v>
      </c>
      <c r="AI112">
        <v>20</v>
      </c>
      <c r="AJ112">
        <v>0</v>
      </c>
      <c r="AK112">
        <v>5</v>
      </c>
      <c r="AL112" t="s">
        <v>151</v>
      </c>
      <c r="AM112" t="s">
        <v>152</v>
      </c>
      <c r="AN112" t="s">
        <v>153</v>
      </c>
      <c r="AO112" t="s">
        <v>1517</v>
      </c>
      <c r="AP112" t="s">
        <v>1518</v>
      </c>
      <c r="AQ112" t="s">
        <v>74</v>
      </c>
      <c r="AR112" t="s">
        <v>1519</v>
      </c>
      <c r="AS112" t="s">
        <v>1520</v>
      </c>
      <c r="AT112" t="s">
        <v>2430</v>
      </c>
      <c r="AU112">
        <v>2020</v>
      </c>
      <c r="AV112">
        <v>47</v>
      </c>
      <c r="AW112">
        <v>13</v>
      </c>
      <c r="AX112" t="s">
        <v>74</v>
      </c>
      <c r="AY112" t="s">
        <v>74</v>
      </c>
      <c r="AZ112" t="s">
        <v>74</v>
      </c>
      <c r="BA112" t="s">
        <v>74</v>
      </c>
      <c r="BB112" t="s">
        <v>74</v>
      </c>
      <c r="BC112" t="s">
        <v>74</v>
      </c>
      <c r="BD112" t="s">
        <v>2566</v>
      </c>
      <c r="BE112" t="s">
        <v>2567</v>
      </c>
      <c r="BF112" t="str">
        <f>HYPERLINK("http://dx.doi.org/10.1029/2020GL088119","http://dx.doi.org/10.1029/2020GL088119")</f>
        <v>http://dx.doi.org/10.1029/2020GL088119</v>
      </c>
      <c r="BG112" t="s">
        <v>74</v>
      </c>
      <c r="BH112" t="s">
        <v>74</v>
      </c>
      <c r="BI112">
        <v>10</v>
      </c>
      <c r="BJ112" t="s">
        <v>471</v>
      </c>
      <c r="BK112" t="s">
        <v>102</v>
      </c>
      <c r="BL112" t="s">
        <v>472</v>
      </c>
      <c r="BM112" t="s">
        <v>2531</v>
      </c>
      <c r="BN112" t="s">
        <v>74</v>
      </c>
      <c r="BO112" t="s">
        <v>448</v>
      </c>
      <c r="BP112" t="s">
        <v>74</v>
      </c>
      <c r="BQ112" t="s">
        <v>74</v>
      </c>
      <c r="BR112" t="s">
        <v>106</v>
      </c>
      <c r="BS112" t="s">
        <v>2568</v>
      </c>
      <c r="BT112" t="str">
        <f>HYPERLINK("https%3A%2F%2Fwww.webofscience.com%2Fwos%2Fwoscc%2Ffull-record%2FWOS:000551465400014","View Full Record in Web of Science")</f>
        <v>View Full Record in Web of Science</v>
      </c>
    </row>
    <row r="113" spans="1:72" x14ac:dyDescent="0.15">
      <c r="A113" t="s">
        <v>72</v>
      </c>
      <c r="B113" t="s">
        <v>2569</v>
      </c>
      <c r="C113" t="s">
        <v>74</v>
      </c>
      <c r="D113" t="s">
        <v>74</v>
      </c>
      <c r="E113" t="s">
        <v>74</v>
      </c>
      <c r="F113" t="s">
        <v>2570</v>
      </c>
      <c r="G113" t="s">
        <v>74</v>
      </c>
      <c r="H113" t="s">
        <v>74</v>
      </c>
      <c r="I113" t="s">
        <v>2571</v>
      </c>
      <c r="J113" t="s">
        <v>1505</v>
      </c>
      <c r="K113" t="s">
        <v>74</v>
      </c>
      <c r="L113" t="s">
        <v>74</v>
      </c>
      <c r="M113" t="s">
        <v>78</v>
      </c>
      <c r="N113" t="s">
        <v>79</v>
      </c>
      <c r="O113" t="s">
        <v>74</v>
      </c>
      <c r="P113" t="s">
        <v>74</v>
      </c>
      <c r="Q113" t="s">
        <v>74</v>
      </c>
      <c r="R113" t="s">
        <v>74</v>
      </c>
      <c r="S113" t="s">
        <v>74</v>
      </c>
      <c r="T113" t="s">
        <v>2572</v>
      </c>
      <c r="U113" t="s">
        <v>2573</v>
      </c>
      <c r="V113" t="s">
        <v>2574</v>
      </c>
      <c r="W113" t="s">
        <v>2575</v>
      </c>
      <c r="X113" t="s">
        <v>2576</v>
      </c>
      <c r="Y113" t="s">
        <v>2577</v>
      </c>
      <c r="Z113" t="s">
        <v>2578</v>
      </c>
      <c r="AA113" t="s">
        <v>2579</v>
      </c>
      <c r="AB113" t="s">
        <v>2580</v>
      </c>
      <c r="AC113" t="s">
        <v>2581</v>
      </c>
      <c r="AD113" t="s">
        <v>2582</v>
      </c>
      <c r="AE113" t="s">
        <v>2583</v>
      </c>
      <c r="AF113" t="s">
        <v>74</v>
      </c>
      <c r="AG113">
        <v>38</v>
      </c>
      <c r="AH113">
        <v>11</v>
      </c>
      <c r="AI113">
        <v>11</v>
      </c>
      <c r="AJ113">
        <v>4</v>
      </c>
      <c r="AK113">
        <v>13</v>
      </c>
      <c r="AL113" t="s">
        <v>151</v>
      </c>
      <c r="AM113" t="s">
        <v>152</v>
      </c>
      <c r="AN113" t="s">
        <v>153</v>
      </c>
      <c r="AO113" t="s">
        <v>1517</v>
      </c>
      <c r="AP113" t="s">
        <v>1518</v>
      </c>
      <c r="AQ113" t="s">
        <v>74</v>
      </c>
      <c r="AR113" t="s">
        <v>1519</v>
      </c>
      <c r="AS113" t="s">
        <v>1520</v>
      </c>
      <c r="AT113" t="s">
        <v>2430</v>
      </c>
      <c r="AU113">
        <v>2020</v>
      </c>
      <c r="AV113">
        <v>47</v>
      </c>
      <c r="AW113">
        <v>13</v>
      </c>
      <c r="AX113" t="s">
        <v>74</v>
      </c>
      <c r="AY113" t="s">
        <v>74</v>
      </c>
      <c r="AZ113" t="s">
        <v>74</v>
      </c>
      <c r="BA113" t="s">
        <v>74</v>
      </c>
      <c r="BB113" t="s">
        <v>74</v>
      </c>
      <c r="BC113" t="s">
        <v>74</v>
      </c>
      <c r="BD113" t="s">
        <v>2584</v>
      </c>
      <c r="BE113" t="s">
        <v>2585</v>
      </c>
      <c r="BF113" t="str">
        <f>HYPERLINK("http://dx.doi.org/10.1029/2020GL088131","http://dx.doi.org/10.1029/2020GL088131")</f>
        <v>http://dx.doi.org/10.1029/2020GL088131</v>
      </c>
      <c r="BG113" t="s">
        <v>74</v>
      </c>
      <c r="BH113" t="s">
        <v>74</v>
      </c>
      <c r="BI113">
        <v>8</v>
      </c>
      <c r="BJ113" t="s">
        <v>471</v>
      </c>
      <c r="BK113" t="s">
        <v>102</v>
      </c>
      <c r="BL113" t="s">
        <v>472</v>
      </c>
      <c r="BM113" t="s">
        <v>2531</v>
      </c>
      <c r="BN113" t="s">
        <v>74</v>
      </c>
      <c r="BO113" t="s">
        <v>448</v>
      </c>
      <c r="BP113" t="s">
        <v>74</v>
      </c>
      <c r="BQ113" t="s">
        <v>74</v>
      </c>
      <c r="BR113" t="s">
        <v>106</v>
      </c>
      <c r="BS113" t="s">
        <v>2586</v>
      </c>
      <c r="BT113" t="str">
        <f>HYPERLINK("https%3A%2F%2Fwww.webofscience.com%2Fwos%2Fwoscc%2Ffull-record%2FWOS:000551465400019","View Full Record in Web of Science")</f>
        <v>View Full Record in Web of Science</v>
      </c>
    </row>
    <row r="114" spans="1:72" x14ac:dyDescent="0.15">
      <c r="A114" t="s">
        <v>72</v>
      </c>
      <c r="B114" t="s">
        <v>2587</v>
      </c>
      <c r="C114" t="s">
        <v>74</v>
      </c>
      <c r="D114" t="s">
        <v>74</v>
      </c>
      <c r="E114" t="s">
        <v>74</v>
      </c>
      <c r="F114" t="s">
        <v>2588</v>
      </c>
      <c r="G114" t="s">
        <v>74</v>
      </c>
      <c r="H114" t="s">
        <v>74</v>
      </c>
      <c r="I114" t="s">
        <v>2589</v>
      </c>
      <c r="J114" t="s">
        <v>1505</v>
      </c>
      <c r="K114" t="s">
        <v>74</v>
      </c>
      <c r="L114" t="s">
        <v>74</v>
      </c>
      <c r="M114" t="s">
        <v>78</v>
      </c>
      <c r="N114" t="s">
        <v>79</v>
      </c>
      <c r="O114" t="s">
        <v>74</v>
      </c>
      <c r="P114" t="s">
        <v>74</v>
      </c>
      <c r="Q114" t="s">
        <v>74</v>
      </c>
      <c r="R114" t="s">
        <v>74</v>
      </c>
      <c r="S114" t="s">
        <v>74</v>
      </c>
      <c r="T114" t="s">
        <v>2590</v>
      </c>
      <c r="U114" t="s">
        <v>2591</v>
      </c>
      <c r="V114" t="s">
        <v>2592</v>
      </c>
      <c r="W114" t="s">
        <v>2593</v>
      </c>
      <c r="X114" t="s">
        <v>2594</v>
      </c>
      <c r="Y114" t="s">
        <v>2595</v>
      </c>
      <c r="Z114" t="s">
        <v>2596</v>
      </c>
      <c r="AA114" t="s">
        <v>2597</v>
      </c>
      <c r="AB114" t="s">
        <v>2598</v>
      </c>
      <c r="AC114" t="s">
        <v>2599</v>
      </c>
      <c r="AD114" t="s">
        <v>2600</v>
      </c>
      <c r="AE114" t="s">
        <v>2601</v>
      </c>
      <c r="AF114" t="s">
        <v>74</v>
      </c>
      <c r="AG114">
        <v>44</v>
      </c>
      <c r="AH114">
        <v>2</v>
      </c>
      <c r="AI114">
        <v>2</v>
      </c>
      <c r="AJ114">
        <v>0</v>
      </c>
      <c r="AK114">
        <v>3</v>
      </c>
      <c r="AL114" t="s">
        <v>151</v>
      </c>
      <c r="AM114" t="s">
        <v>152</v>
      </c>
      <c r="AN114" t="s">
        <v>153</v>
      </c>
      <c r="AO114" t="s">
        <v>1517</v>
      </c>
      <c r="AP114" t="s">
        <v>1518</v>
      </c>
      <c r="AQ114" t="s">
        <v>74</v>
      </c>
      <c r="AR114" t="s">
        <v>1519</v>
      </c>
      <c r="AS114" t="s">
        <v>1520</v>
      </c>
      <c r="AT114" t="s">
        <v>2430</v>
      </c>
      <c r="AU114">
        <v>2020</v>
      </c>
      <c r="AV114">
        <v>47</v>
      </c>
      <c r="AW114">
        <v>13</v>
      </c>
      <c r="AX114" t="s">
        <v>74</v>
      </c>
      <c r="AY114" t="s">
        <v>74</v>
      </c>
      <c r="AZ114" t="s">
        <v>74</v>
      </c>
      <c r="BA114" t="s">
        <v>74</v>
      </c>
      <c r="BB114" t="s">
        <v>74</v>
      </c>
      <c r="BC114" t="s">
        <v>74</v>
      </c>
      <c r="BD114" t="s">
        <v>2602</v>
      </c>
      <c r="BE114" t="s">
        <v>2603</v>
      </c>
      <c r="BF114" t="str">
        <f>HYPERLINK("http://dx.doi.org/10.1029/2020GL088750","http://dx.doi.org/10.1029/2020GL088750")</f>
        <v>http://dx.doi.org/10.1029/2020GL088750</v>
      </c>
      <c r="BG114" t="s">
        <v>74</v>
      </c>
      <c r="BH114" t="s">
        <v>74</v>
      </c>
      <c r="BI114">
        <v>8</v>
      </c>
      <c r="BJ114" t="s">
        <v>471</v>
      </c>
      <c r="BK114" t="s">
        <v>102</v>
      </c>
      <c r="BL114" t="s">
        <v>472</v>
      </c>
      <c r="BM114" t="s">
        <v>2531</v>
      </c>
      <c r="BN114" t="s">
        <v>74</v>
      </c>
      <c r="BO114" t="s">
        <v>1657</v>
      </c>
      <c r="BP114" t="s">
        <v>74</v>
      </c>
      <c r="BQ114" t="s">
        <v>74</v>
      </c>
      <c r="BR114" t="s">
        <v>106</v>
      </c>
      <c r="BS114" t="s">
        <v>2604</v>
      </c>
      <c r="BT114" t="str">
        <f>HYPERLINK("https%3A%2F%2Fwww.webofscience.com%2Fwos%2Fwoscc%2Ffull-record%2FWOS:000551465400059","View Full Record in Web of Science")</f>
        <v>View Full Record in Web of Science</v>
      </c>
    </row>
    <row r="115" spans="1:72" x14ac:dyDescent="0.15">
      <c r="A115" t="s">
        <v>72</v>
      </c>
      <c r="B115" t="s">
        <v>2605</v>
      </c>
      <c r="C115" t="s">
        <v>74</v>
      </c>
      <c r="D115" t="s">
        <v>74</v>
      </c>
      <c r="E115" t="s">
        <v>74</v>
      </c>
      <c r="F115" t="s">
        <v>2606</v>
      </c>
      <c r="G115" t="s">
        <v>74</v>
      </c>
      <c r="H115" t="s">
        <v>74</v>
      </c>
      <c r="I115" t="s">
        <v>2607</v>
      </c>
      <c r="J115" t="s">
        <v>2608</v>
      </c>
      <c r="K115" t="s">
        <v>74</v>
      </c>
      <c r="L115" t="s">
        <v>74</v>
      </c>
      <c r="M115" t="s">
        <v>78</v>
      </c>
      <c r="N115" t="s">
        <v>79</v>
      </c>
      <c r="O115" t="s">
        <v>74</v>
      </c>
      <c r="P115" t="s">
        <v>74</v>
      </c>
      <c r="Q115" t="s">
        <v>74</v>
      </c>
      <c r="R115" t="s">
        <v>74</v>
      </c>
      <c r="S115" t="s">
        <v>74</v>
      </c>
      <c r="T115" t="s">
        <v>2609</v>
      </c>
      <c r="U115" t="s">
        <v>74</v>
      </c>
      <c r="V115" t="s">
        <v>2610</v>
      </c>
      <c r="W115" t="s">
        <v>2611</v>
      </c>
      <c r="X115" t="s">
        <v>2612</v>
      </c>
      <c r="Y115" t="s">
        <v>2613</v>
      </c>
      <c r="Z115" t="s">
        <v>2614</v>
      </c>
      <c r="AA115" t="s">
        <v>74</v>
      </c>
      <c r="AB115" t="s">
        <v>74</v>
      </c>
      <c r="AC115" t="s">
        <v>74</v>
      </c>
      <c r="AD115" t="s">
        <v>74</v>
      </c>
      <c r="AE115" t="s">
        <v>74</v>
      </c>
      <c r="AF115" t="s">
        <v>74</v>
      </c>
      <c r="AG115">
        <v>39</v>
      </c>
      <c r="AH115">
        <v>3</v>
      </c>
      <c r="AI115">
        <v>3</v>
      </c>
      <c r="AJ115">
        <v>0</v>
      </c>
      <c r="AK115">
        <v>5</v>
      </c>
      <c r="AL115" t="s">
        <v>2615</v>
      </c>
      <c r="AM115" t="s">
        <v>1412</v>
      </c>
      <c r="AN115" t="s">
        <v>2616</v>
      </c>
      <c r="AO115" t="s">
        <v>2617</v>
      </c>
      <c r="AP115" t="s">
        <v>2618</v>
      </c>
      <c r="AQ115" t="s">
        <v>74</v>
      </c>
      <c r="AR115" t="s">
        <v>2619</v>
      </c>
      <c r="AS115" t="s">
        <v>2620</v>
      </c>
      <c r="AT115" t="s">
        <v>2621</v>
      </c>
      <c r="AU115">
        <v>2020</v>
      </c>
      <c r="AV115">
        <v>56</v>
      </c>
      <c r="AW115">
        <v>4</v>
      </c>
      <c r="AX115" t="s">
        <v>74</v>
      </c>
      <c r="AY115" t="s">
        <v>74</v>
      </c>
      <c r="AZ115" t="s">
        <v>2622</v>
      </c>
      <c r="BA115" t="s">
        <v>74</v>
      </c>
      <c r="BB115">
        <v>547</v>
      </c>
      <c r="BC115">
        <v>567</v>
      </c>
      <c r="BD115" t="s">
        <v>74</v>
      </c>
      <c r="BE115" t="s">
        <v>2623</v>
      </c>
      <c r="BF115" t="str">
        <f>HYPERLINK("http://dx.doi.org/10.1080/17449855.2020.1782576","http://dx.doi.org/10.1080/17449855.2020.1782576")</f>
        <v>http://dx.doi.org/10.1080/17449855.2020.1782576</v>
      </c>
      <c r="BG115" t="s">
        <v>74</v>
      </c>
      <c r="BH115" t="s">
        <v>1003</v>
      </c>
      <c r="BI115">
        <v>21</v>
      </c>
      <c r="BJ115" t="s">
        <v>2624</v>
      </c>
      <c r="BK115" t="s">
        <v>2625</v>
      </c>
      <c r="BL115" t="s">
        <v>2624</v>
      </c>
      <c r="BM115" t="s">
        <v>2626</v>
      </c>
      <c r="BN115" t="s">
        <v>74</v>
      </c>
      <c r="BO115" t="s">
        <v>74</v>
      </c>
      <c r="BP115" t="s">
        <v>74</v>
      </c>
      <c r="BQ115" t="s">
        <v>74</v>
      </c>
      <c r="BR115" t="s">
        <v>106</v>
      </c>
      <c r="BS115" t="s">
        <v>2627</v>
      </c>
      <c r="BT115" t="str">
        <f>HYPERLINK("https%3A%2F%2Fwww.webofscience.com%2Fwos%2Fwoscc%2Ffull-record%2FWOS:000548968600001","View Full Record in Web of Science")</f>
        <v>View Full Record in Web of Science</v>
      </c>
    </row>
    <row r="116" spans="1:72" x14ac:dyDescent="0.15">
      <c r="A116" t="s">
        <v>72</v>
      </c>
      <c r="B116" t="s">
        <v>2628</v>
      </c>
      <c r="C116" t="s">
        <v>74</v>
      </c>
      <c r="D116" t="s">
        <v>74</v>
      </c>
      <c r="E116" t="s">
        <v>74</v>
      </c>
      <c r="F116" t="s">
        <v>2629</v>
      </c>
      <c r="G116" t="s">
        <v>74</v>
      </c>
      <c r="H116" t="s">
        <v>74</v>
      </c>
      <c r="I116" t="s">
        <v>2630</v>
      </c>
      <c r="J116" t="s">
        <v>2111</v>
      </c>
      <c r="K116" t="s">
        <v>74</v>
      </c>
      <c r="L116" t="s">
        <v>74</v>
      </c>
      <c r="M116" t="s">
        <v>78</v>
      </c>
      <c r="N116" t="s">
        <v>79</v>
      </c>
      <c r="O116" t="s">
        <v>74</v>
      </c>
      <c r="P116" t="s">
        <v>74</v>
      </c>
      <c r="Q116" t="s">
        <v>74</v>
      </c>
      <c r="R116" t="s">
        <v>74</v>
      </c>
      <c r="S116" t="s">
        <v>74</v>
      </c>
      <c r="T116" t="s">
        <v>74</v>
      </c>
      <c r="U116" t="s">
        <v>2631</v>
      </c>
      <c r="V116" t="s">
        <v>2632</v>
      </c>
      <c r="W116" t="s">
        <v>2633</v>
      </c>
      <c r="X116" t="s">
        <v>2634</v>
      </c>
      <c r="Y116" t="s">
        <v>2635</v>
      </c>
      <c r="Z116" t="s">
        <v>2636</v>
      </c>
      <c r="AA116" t="s">
        <v>2637</v>
      </c>
      <c r="AB116" t="s">
        <v>2638</v>
      </c>
      <c r="AC116" t="s">
        <v>2639</v>
      </c>
      <c r="AD116" t="s">
        <v>2639</v>
      </c>
      <c r="AE116" t="s">
        <v>2640</v>
      </c>
      <c r="AF116" t="s">
        <v>74</v>
      </c>
      <c r="AG116">
        <v>74</v>
      </c>
      <c r="AH116">
        <v>26</v>
      </c>
      <c r="AI116">
        <v>28</v>
      </c>
      <c r="AJ116">
        <v>3</v>
      </c>
      <c r="AK116">
        <v>22</v>
      </c>
      <c r="AL116" t="s">
        <v>2121</v>
      </c>
      <c r="AM116" t="s">
        <v>2122</v>
      </c>
      <c r="AN116" t="s">
        <v>2123</v>
      </c>
      <c r="AO116" t="s">
        <v>2124</v>
      </c>
      <c r="AP116" t="s">
        <v>74</v>
      </c>
      <c r="AQ116" t="s">
        <v>74</v>
      </c>
      <c r="AR116" t="s">
        <v>2111</v>
      </c>
      <c r="AS116" t="s">
        <v>2125</v>
      </c>
      <c r="AT116" t="s">
        <v>2430</v>
      </c>
      <c r="AU116">
        <v>2020</v>
      </c>
      <c r="AV116">
        <v>15</v>
      </c>
      <c r="AW116">
        <v>7</v>
      </c>
      <c r="AX116" t="s">
        <v>74</v>
      </c>
      <c r="AY116" t="s">
        <v>74</v>
      </c>
      <c r="AZ116" t="s">
        <v>74</v>
      </c>
      <c r="BA116" t="s">
        <v>74</v>
      </c>
      <c r="BB116" t="s">
        <v>74</v>
      </c>
      <c r="BC116" t="s">
        <v>74</v>
      </c>
      <c r="BD116" t="s">
        <v>2641</v>
      </c>
      <c r="BE116" t="s">
        <v>2642</v>
      </c>
      <c r="BF116" t="str">
        <f>HYPERLINK("http://dx.doi.org/10.1371/journal.pone.0230807","http://dx.doi.org/10.1371/journal.pone.0230807")</f>
        <v>http://dx.doi.org/10.1371/journal.pone.0230807</v>
      </c>
      <c r="BG116" t="s">
        <v>74</v>
      </c>
      <c r="BH116" t="s">
        <v>74</v>
      </c>
      <c r="BI116">
        <v>21</v>
      </c>
      <c r="BJ116" t="s">
        <v>1125</v>
      </c>
      <c r="BK116" t="s">
        <v>102</v>
      </c>
      <c r="BL116" t="s">
        <v>1126</v>
      </c>
      <c r="BM116" t="s">
        <v>2643</v>
      </c>
      <c r="BN116">
        <v>32673342</v>
      </c>
      <c r="BO116" t="s">
        <v>1778</v>
      </c>
      <c r="BP116" t="s">
        <v>74</v>
      </c>
      <c r="BQ116" t="s">
        <v>74</v>
      </c>
      <c r="BR116" t="s">
        <v>106</v>
      </c>
      <c r="BS116" t="s">
        <v>2644</v>
      </c>
      <c r="BT116" t="str">
        <f>HYPERLINK("https%3A%2F%2Fwww.webofscience.com%2Fwos%2Fwoscc%2Ffull-record%2FWOS:000553976700027","View Full Record in Web of Science")</f>
        <v>View Full Record in Web of Science</v>
      </c>
    </row>
    <row r="117" spans="1:72" x14ac:dyDescent="0.15">
      <c r="A117" t="s">
        <v>72</v>
      </c>
      <c r="B117" t="s">
        <v>2645</v>
      </c>
      <c r="C117" t="s">
        <v>74</v>
      </c>
      <c r="D117" t="s">
        <v>74</v>
      </c>
      <c r="E117" t="s">
        <v>74</v>
      </c>
      <c r="F117" t="s">
        <v>2646</v>
      </c>
      <c r="G117" t="s">
        <v>74</v>
      </c>
      <c r="H117" t="s">
        <v>74</v>
      </c>
      <c r="I117" t="s">
        <v>2647</v>
      </c>
      <c r="J117" t="s">
        <v>2648</v>
      </c>
      <c r="K117" t="s">
        <v>74</v>
      </c>
      <c r="L117" t="s">
        <v>74</v>
      </c>
      <c r="M117" t="s">
        <v>78</v>
      </c>
      <c r="N117" t="s">
        <v>1850</v>
      </c>
      <c r="O117" t="s">
        <v>74</v>
      </c>
      <c r="P117" t="s">
        <v>74</v>
      </c>
      <c r="Q117" t="s">
        <v>74</v>
      </c>
      <c r="R117" t="s">
        <v>74</v>
      </c>
      <c r="S117" t="s">
        <v>74</v>
      </c>
      <c r="T117" t="s">
        <v>2649</v>
      </c>
      <c r="U117" t="s">
        <v>2650</v>
      </c>
      <c r="V117" t="s">
        <v>74</v>
      </c>
      <c r="W117" t="s">
        <v>2651</v>
      </c>
      <c r="X117" t="s">
        <v>2652</v>
      </c>
      <c r="Y117" t="s">
        <v>2653</v>
      </c>
      <c r="Z117" t="s">
        <v>2654</v>
      </c>
      <c r="AA117" t="s">
        <v>2655</v>
      </c>
      <c r="AB117" t="s">
        <v>2656</v>
      </c>
      <c r="AC117" t="s">
        <v>2657</v>
      </c>
      <c r="AD117" t="s">
        <v>2658</v>
      </c>
      <c r="AE117" t="s">
        <v>2659</v>
      </c>
      <c r="AF117" t="s">
        <v>74</v>
      </c>
      <c r="AG117">
        <v>23</v>
      </c>
      <c r="AH117">
        <v>5</v>
      </c>
      <c r="AI117">
        <v>5</v>
      </c>
      <c r="AJ117">
        <v>0</v>
      </c>
      <c r="AK117">
        <v>12</v>
      </c>
      <c r="AL117" t="s">
        <v>284</v>
      </c>
      <c r="AM117" t="s">
        <v>285</v>
      </c>
      <c r="AN117" t="s">
        <v>286</v>
      </c>
      <c r="AO117" t="s">
        <v>2660</v>
      </c>
      <c r="AP117" t="s">
        <v>2661</v>
      </c>
      <c r="AQ117" t="s">
        <v>74</v>
      </c>
      <c r="AR117" t="s">
        <v>2648</v>
      </c>
      <c r="AS117" t="s">
        <v>2662</v>
      </c>
      <c r="AT117" t="s">
        <v>2663</v>
      </c>
      <c r="AU117">
        <v>2020</v>
      </c>
      <c r="AV117">
        <v>371</v>
      </c>
      <c r="AW117" t="s">
        <v>74</v>
      </c>
      <c r="AX117" t="s">
        <v>74</v>
      </c>
      <c r="AY117" t="s">
        <v>74</v>
      </c>
      <c r="AZ117" t="s">
        <v>74</v>
      </c>
      <c r="BA117" t="s">
        <v>74</v>
      </c>
      <c r="BB117" t="s">
        <v>74</v>
      </c>
      <c r="BC117" t="s">
        <v>74</v>
      </c>
      <c r="BD117">
        <v>114369</v>
      </c>
      <c r="BE117" t="s">
        <v>2664</v>
      </c>
      <c r="BF117" t="str">
        <f>HYPERLINK("http://dx.doi.org/10.1016/j.geoderma.2020.114369","http://dx.doi.org/10.1016/j.geoderma.2020.114369")</f>
        <v>http://dx.doi.org/10.1016/j.geoderma.2020.114369</v>
      </c>
      <c r="BG117" t="s">
        <v>74</v>
      </c>
      <c r="BH117" t="s">
        <v>74</v>
      </c>
      <c r="BI117">
        <v>3</v>
      </c>
      <c r="BJ117" t="s">
        <v>2665</v>
      </c>
      <c r="BK117" t="s">
        <v>102</v>
      </c>
      <c r="BL117" t="s">
        <v>2666</v>
      </c>
      <c r="BM117" t="s">
        <v>2667</v>
      </c>
      <c r="BN117" t="s">
        <v>74</v>
      </c>
      <c r="BO117" t="s">
        <v>74</v>
      </c>
      <c r="BP117" t="s">
        <v>74</v>
      </c>
      <c r="BQ117" t="s">
        <v>74</v>
      </c>
      <c r="BR117" t="s">
        <v>106</v>
      </c>
      <c r="BS117" t="s">
        <v>2668</v>
      </c>
      <c r="BT117" t="str">
        <f>HYPERLINK("https%3A%2F%2Fwww.webofscience.com%2Fwos%2Fwoscc%2Ffull-record%2FWOS:000533627500004","View Full Record in Web of Science")</f>
        <v>View Full Record in Web of Science</v>
      </c>
    </row>
    <row r="118" spans="1:72" x14ac:dyDescent="0.15">
      <c r="A118" t="s">
        <v>72</v>
      </c>
      <c r="B118" t="s">
        <v>2669</v>
      </c>
      <c r="C118" t="s">
        <v>74</v>
      </c>
      <c r="D118" t="s">
        <v>74</v>
      </c>
      <c r="E118" t="s">
        <v>74</v>
      </c>
      <c r="F118" t="s">
        <v>2670</v>
      </c>
      <c r="G118" t="s">
        <v>74</v>
      </c>
      <c r="H118" t="s">
        <v>74</v>
      </c>
      <c r="I118" t="s">
        <v>2671</v>
      </c>
      <c r="J118" t="s">
        <v>2672</v>
      </c>
      <c r="K118" t="s">
        <v>74</v>
      </c>
      <c r="L118" t="s">
        <v>74</v>
      </c>
      <c r="M118" t="s">
        <v>78</v>
      </c>
      <c r="N118" t="s">
        <v>79</v>
      </c>
      <c r="O118" t="s">
        <v>74</v>
      </c>
      <c r="P118" t="s">
        <v>74</v>
      </c>
      <c r="Q118" t="s">
        <v>74</v>
      </c>
      <c r="R118" t="s">
        <v>74</v>
      </c>
      <c r="S118" t="s">
        <v>74</v>
      </c>
      <c r="T118" t="s">
        <v>2673</v>
      </c>
      <c r="U118" t="s">
        <v>2674</v>
      </c>
      <c r="V118" t="s">
        <v>2675</v>
      </c>
      <c r="W118" t="s">
        <v>2676</v>
      </c>
      <c r="X118" t="s">
        <v>2677</v>
      </c>
      <c r="Y118" t="s">
        <v>2678</v>
      </c>
      <c r="Z118" t="s">
        <v>2679</v>
      </c>
      <c r="AA118" t="s">
        <v>2680</v>
      </c>
      <c r="AB118" t="s">
        <v>2681</v>
      </c>
      <c r="AC118" t="s">
        <v>74</v>
      </c>
      <c r="AD118" t="s">
        <v>74</v>
      </c>
      <c r="AE118" t="s">
        <v>74</v>
      </c>
      <c r="AF118" t="s">
        <v>74</v>
      </c>
      <c r="AG118">
        <v>89</v>
      </c>
      <c r="AH118">
        <v>9</v>
      </c>
      <c r="AI118">
        <v>9</v>
      </c>
      <c r="AJ118">
        <v>0</v>
      </c>
      <c r="AK118">
        <v>7</v>
      </c>
      <c r="AL118" t="s">
        <v>284</v>
      </c>
      <c r="AM118" t="s">
        <v>285</v>
      </c>
      <c r="AN118" t="s">
        <v>286</v>
      </c>
      <c r="AO118" t="s">
        <v>2682</v>
      </c>
      <c r="AP118" t="s">
        <v>2683</v>
      </c>
      <c r="AQ118" t="s">
        <v>74</v>
      </c>
      <c r="AR118" t="s">
        <v>2684</v>
      </c>
      <c r="AS118" t="s">
        <v>2685</v>
      </c>
      <c r="AT118" t="s">
        <v>2663</v>
      </c>
      <c r="AU118">
        <v>2020</v>
      </c>
      <c r="AV118">
        <v>405</v>
      </c>
      <c r="AW118" t="s">
        <v>74</v>
      </c>
      <c r="AX118" t="s">
        <v>74</v>
      </c>
      <c r="AY118" t="s">
        <v>74</v>
      </c>
      <c r="AZ118" t="s">
        <v>74</v>
      </c>
      <c r="BA118" t="s">
        <v>74</v>
      </c>
      <c r="BB118" t="s">
        <v>74</v>
      </c>
      <c r="BC118" t="s">
        <v>74</v>
      </c>
      <c r="BD118">
        <v>105701</v>
      </c>
      <c r="BE118" t="s">
        <v>2686</v>
      </c>
      <c r="BF118" t="str">
        <f>HYPERLINK("http://dx.doi.org/10.1016/j.sedgeo.2020.105701","http://dx.doi.org/10.1016/j.sedgeo.2020.105701")</f>
        <v>http://dx.doi.org/10.1016/j.sedgeo.2020.105701</v>
      </c>
      <c r="BG118" t="s">
        <v>74</v>
      </c>
      <c r="BH118" t="s">
        <v>74</v>
      </c>
      <c r="BI118">
        <v>10</v>
      </c>
      <c r="BJ118" t="s">
        <v>472</v>
      </c>
      <c r="BK118" t="s">
        <v>102</v>
      </c>
      <c r="BL118" t="s">
        <v>472</v>
      </c>
      <c r="BM118" t="s">
        <v>2687</v>
      </c>
      <c r="BN118" t="s">
        <v>74</v>
      </c>
      <c r="BO118" t="s">
        <v>74</v>
      </c>
      <c r="BP118" t="s">
        <v>74</v>
      </c>
      <c r="BQ118" t="s">
        <v>74</v>
      </c>
      <c r="BR118" t="s">
        <v>106</v>
      </c>
      <c r="BS118" t="s">
        <v>2688</v>
      </c>
      <c r="BT118" t="str">
        <f>HYPERLINK("https%3A%2F%2Fwww.webofscience.com%2Fwos%2Fwoscc%2Ffull-record%2FWOS:000560551600007","View Full Record in Web of Science")</f>
        <v>View Full Record in Web of Science</v>
      </c>
    </row>
    <row r="119" spans="1:72" x14ac:dyDescent="0.15">
      <c r="A119" t="s">
        <v>72</v>
      </c>
      <c r="B119" t="s">
        <v>2689</v>
      </c>
      <c r="C119" t="s">
        <v>74</v>
      </c>
      <c r="D119" t="s">
        <v>74</v>
      </c>
      <c r="E119" t="s">
        <v>74</v>
      </c>
      <c r="F119" t="s">
        <v>2690</v>
      </c>
      <c r="G119" t="s">
        <v>74</v>
      </c>
      <c r="H119" t="s">
        <v>74</v>
      </c>
      <c r="I119" t="s">
        <v>2691</v>
      </c>
      <c r="J119" t="s">
        <v>2672</v>
      </c>
      <c r="K119" t="s">
        <v>74</v>
      </c>
      <c r="L119" t="s">
        <v>74</v>
      </c>
      <c r="M119" t="s">
        <v>78</v>
      </c>
      <c r="N119" t="s">
        <v>79</v>
      </c>
      <c r="O119" t="s">
        <v>74</v>
      </c>
      <c r="P119" t="s">
        <v>74</v>
      </c>
      <c r="Q119" t="s">
        <v>74</v>
      </c>
      <c r="R119" t="s">
        <v>74</v>
      </c>
      <c r="S119" t="s">
        <v>74</v>
      </c>
      <c r="T119" t="s">
        <v>2692</v>
      </c>
      <c r="U119" t="s">
        <v>2693</v>
      </c>
      <c r="V119" t="s">
        <v>2694</v>
      </c>
      <c r="W119" t="s">
        <v>2695</v>
      </c>
      <c r="X119" t="s">
        <v>2696</v>
      </c>
      <c r="Y119" t="s">
        <v>2697</v>
      </c>
      <c r="Z119" t="s">
        <v>2698</v>
      </c>
      <c r="AA119" t="s">
        <v>74</v>
      </c>
      <c r="AB119" t="s">
        <v>2699</v>
      </c>
      <c r="AC119" t="s">
        <v>2700</v>
      </c>
      <c r="AD119" t="s">
        <v>2701</v>
      </c>
      <c r="AE119" t="s">
        <v>2702</v>
      </c>
      <c r="AF119" t="s">
        <v>74</v>
      </c>
      <c r="AG119">
        <v>127</v>
      </c>
      <c r="AH119">
        <v>4</v>
      </c>
      <c r="AI119">
        <v>5</v>
      </c>
      <c r="AJ119">
        <v>0</v>
      </c>
      <c r="AK119">
        <v>22</v>
      </c>
      <c r="AL119" t="s">
        <v>284</v>
      </c>
      <c r="AM119" t="s">
        <v>285</v>
      </c>
      <c r="AN119" t="s">
        <v>286</v>
      </c>
      <c r="AO119" t="s">
        <v>2682</v>
      </c>
      <c r="AP119" t="s">
        <v>2683</v>
      </c>
      <c r="AQ119" t="s">
        <v>74</v>
      </c>
      <c r="AR119" t="s">
        <v>2684</v>
      </c>
      <c r="AS119" t="s">
        <v>2685</v>
      </c>
      <c r="AT119" t="s">
        <v>2663</v>
      </c>
      <c r="AU119">
        <v>2020</v>
      </c>
      <c r="AV119">
        <v>405</v>
      </c>
      <c r="AW119" t="s">
        <v>74</v>
      </c>
      <c r="AX119" t="s">
        <v>74</v>
      </c>
      <c r="AY119" t="s">
        <v>74</v>
      </c>
      <c r="AZ119" t="s">
        <v>74</v>
      </c>
      <c r="BA119" t="s">
        <v>74</v>
      </c>
      <c r="BB119" t="s">
        <v>74</v>
      </c>
      <c r="BC119" t="s">
        <v>74</v>
      </c>
      <c r="BD119">
        <v>105705</v>
      </c>
      <c r="BE119" t="s">
        <v>2703</v>
      </c>
      <c r="BF119" t="str">
        <f>HYPERLINK("http://dx.doi.org/10.1016/j.sedgeo.2020.105705","http://dx.doi.org/10.1016/j.sedgeo.2020.105705")</f>
        <v>http://dx.doi.org/10.1016/j.sedgeo.2020.105705</v>
      </c>
      <c r="BG119" t="s">
        <v>74</v>
      </c>
      <c r="BH119" t="s">
        <v>74</v>
      </c>
      <c r="BI119">
        <v>18</v>
      </c>
      <c r="BJ119" t="s">
        <v>472</v>
      </c>
      <c r="BK119" t="s">
        <v>102</v>
      </c>
      <c r="BL119" t="s">
        <v>472</v>
      </c>
      <c r="BM119" t="s">
        <v>2687</v>
      </c>
      <c r="BN119" t="s">
        <v>74</v>
      </c>
      <c r="BO119" t="s">
        <v>189</v>
      </c>
      <c r="BP119" t="s">
        <v>74</v>
      </c>
      <c r="BQ119" t="s">
        <v>74</v>
      </c>
      <c r="BR119" t="s">
        <v>106</v>
      </c>
      <c r="BS119" t="s">
        <v>2704</v>
      </c>
      <c r="BT119" t="str">
        <f>HYPERLINK("https%3A%2F%2Fwww.webofscience.com%2Fwos%2Fwoscc%2Ffull-record%2FWOS:000560551600011","View Full Record in Web of Science")</f>
        <v>View Full Record in Web of Science</v>
      </c>
    </row>
    <row r="120" spans="1:72" x14ac:dyDescent="0.15">
      <c r="A120" t="s">
        <v>72</v>
      </c>
      <c r="B120" t="s">
        <v>2705</v>
      </c>
      <c r="C120" t="s">
        <v>74</v>
      </c>
      <c r="D120" t="s">
        <v>74</v>
      </c>
      <c r="E120" t="s">
        <v>74</v>
      </c>
      <c r="F120" t="s">
        <v>2706</v>
      </c>
      <c r="G120" t="s">
        <v>74</v>
      </c>
      <c r="H120" t="s">
        <v>74</v>
      </c>
      <c r="I120" t="s">
        <v>2707</v>
      </c>
      <c r="J120" t="s">
        <v>2028</v>
      </c>
      <c r="K120" t="s">
        <v>74</v>
      </c>
      <c r="L120" t="s">
        <v>74</v>
      </c>
      <c r="M120" t="s">
        <v>78</v>
      </c>
      <c r="N120" t="s">
        <v>79</v>
      </c>
      <c r="O120" t="s">
        <v>74</v>
      </c>
      <c r="P120" t="s">
        <v>74</v>
      </c>
      <c r="Q120" t="s">
        <v>74</v>
      </c>
      <c r="R120" t="s">
        <v>74</v>
      </c>
      <c r="S120" t="s">
        <v>74</v>
      </c>
      <c r="T120" t="s">
        <v>2708</v>
      </c>
      <c r="U120" t="s">
        <v>2709</v>
      </c>
      <c r="V120" t="s">
        <v>2710</v>
      </c>
      <c r="W120" t="s">
        <v>2711</v>
      </c>
      <c r="X120" t="s">
        <v>2712</v>
      </c>
      <c r="Y120" t="s">
        <v>2713</v>
      </c>
      <c r="Z120" t="s">
        <v>2714</v>
      </c>
      <c r="AA120" t="s">
        <v>2715</v>
      </c>
      <c r="AB120" t="s">
        <v>2716</v>
      </c>
      <c r="AC120" t="s">
        <v>2717</v>
      </c>
      <c r="AD120" t="s">
        <v>2718</v>
      </c>
      <c r="AE120" t="s">
        <v>2719</v>
      </c>
      <c r="AF120" t="s">
        <v>74</v>
      </c>
      <c r="AG120">
        <v>45</v>
      </c>
      <c r="AH120">
        <v>4</v>
      </c>
      <c r="AI120">
        <v>4</v>
      </c>
      <c r="AJ120">
        <v>0</v>
      </c>
      <c r="AK120">
        <v>3</v>
      </c>
      <c r="AL120" t="s">
        <v>1024</v>
      </c>
      <c r="AM120" t="s">
        <v>1025</v>
      </c>
      <c r="AN120" t="s">
        <v>1026</v>
      </c>
      <c r="AO120" t="s">
        <v>74</v>
      </c>
      <c r="AP120" t="s">
        <v>2040</v>
      </c>
      <c r="AQ120" t="s">
        <v>74</v>
      </c>
      <c r="AR120" t="s">
        <v>2041</v>
      </c>
      <c r="AS120" t="s">
        <v>2042</v>
      </c>
      <c r="AT120" t="s">
        <v>2663</v>
      </c>
      <c r="AU120">
        <v>2020</v>
      </c>
      <c r="AV120">
        <v>11</v>
      </c>
      <c r="AW120" t="s">
        <v>74</v>
      </c>
      <c r="AX120" t="s">
        <v>74</v>
      </c>
      <c r="AY120" t="s">
        <v>74</v>
      </c>
      <c r="AZ120" t="s">
        <v>74</v>
      </c>
      <c r="BA120" t="s">
        <v>74</v>
      </c>
      <c r="BB120" t="s">
        <v>74</v>
      </c>
      <c r="BC120" t="s">
        <v>74</v>
      </c>
      <c r="BD120">
        <v>1645</v>
      </c>
      <c r="BE120" t="s">
        <v>2720</v>
      </c>
      <c r="BF120" t="str">
        <f>HYPERLINK("http://dx.doi.org/10.3389/fmicb.2020.01645","http://dx.doi.org/10.3389/fmicb.2020.01645")</f>
        <v>http://dx.doi.org/10.3389/fmicb.2020.01645</v>
      </c>
      <c r="BG120" t="s">
        <v>74</v>
      </c>
      <c r="BH120" t="s">
        <v>74</v>
      </c>
      <c r="BI120">
        <v>10</v>
      </c>
      <c r="BJ120" t="s">
        <v>2045</v>
      </c>
      <c r="BK120" t="s">
        <v>102</v>
      </c>
      <c r="BL120" t="s">
        <v>2045</v>
      </c>
      <c r="BM120" t="s">
        <v>2721</v>
      </c>
      <c r="BN120">
        <v>32760385</v>
      </c>
      <c r="BO120" t="s">
        <v>1778</v>
      </c>
      <c r="BP120" t="s">
        <v>74</v>
      </c>
      <c r="BQ120" t="s">
        <v>74</v>
      </c>
      <c r="BR120" t="s">
        <v>106</v>
      </c>
      <c r="BS120" t="s">
        <v>2722</v>
      </c>
      <c r="BT120" t="str">
        <f>HYPERLINK("https%3A%2F%2Fwww.webofscience.com%2Fwos%2Fwoscc%2Ffull-record%2FWOS:000556467500001","View Full Record in Web of Science")</f>
        <v>View Full Record in Web of Science</v>
      </c>
    </row>
    <row r="121" spans="1:72" x14ac:dyDescent="0.15">
      <c r="A121" t="s">
        <v>72</v>
      </c>
      <c r="B121" t="s">
        <v>2723</v>
      </c>
      <c r="C121" t="s">
        <v>74</v>
      </c>
      <c r="D121" t="s">
        <v>74</v>
      </c>
      <c r="E121" t="s">
        <v>74</v>
      </c>
      <c r="F121" t="s">
        <v>2724</v>
      </c>
      <c r="G121" t="s">
        <v>74</v>
      </c>
      <c r="H121" t="s">
        <v>74</v>
      </c>
      <c r="I121" t="s">
        <v>2725</v>
      </c>
      <c r="J121" t="s">
        <v>1065</v>
      </c>
      <c r="K121" t="s">
        <v>74</v>
      </c>
      <c r="L121" t="s">
        <v>74</v>
      </c>
      <c r="M121" t="s">
        <v>78</v>
      </c>
      <c r="N121" t="s">
        <v>79</v>
      </c>
      <c r="O121" t="s">
        <v>74</v>
      </c>
      <c r="P121" t="s">
        <v>74</v>
      </c>
      <c r="Q121" t="s">
        <v>74</v>
      </c>
      <c r="R121" t="s">
        <v>74</v>
      </c>
      <c r="S121" t="s">
        <v>74</v>
      </c>
      <c r="T121" t="s">
        <v>2726</v>
      </c>
      <c r="U121" t="s">
        <v>2727</v>
      </c>
      <c r="V121" t="s">
        <v>2728</v>
      </c>
      <c r="W121" t="s">
        <v>2729</v>
      </c>
      <c r="X121" t="s">
        <v>2730</v>
      </c>
      <c r="Y121" t="s">
        <v>2731</v>
      </c>
      <c r="Z121" t="s">
        <v>2732</v>
      </c>
      <c r="AA121" t="s">
        <v>2733</v>
      </c>
      <c r="AB121" t="s">
        <v>2734</v>
      </c>
      <c r="AC121" t="s">
        <v>2735</v>
      </c>
      <c r="AD121" t="s">
        <v>2736</v>
      </c>
      <c r="AE121" t="s">
        <v>2737</v>
      </c>
      <c r="AF121" t="s">
        <v>74</v>
      </c>
      <c r="AG121">
        <v>64</v>
      </c>
      <c r="AH121">
        <v>13</v>
      </c>
      <c r="AI121">
        <v>14</v>
      </c>
      <c r="AJ121">
        <v>2</v>
      </c>
      <c r="AK121">
        <v>20</v>
      </c>
      <c r="AL121" t="s">
        <v>1024</v>
      </c>
      <c r="AM121" t="s">
        <v>1025</v>
      </c>
      <c r="AN121" t="s">
        <v>1026</v>
      </c>
      <c r="AO121" t="s">
        <v>74</v>
      </c>
      <c r="AP121" t="s">
        <v>1078</v>
      </c>
      <c r="AQ121" t="s">
        <v>74</v>
      </c>
      <c r="AR121" t="s">
        <v>1079</v>
      </c>
      <c r="AS121" t="s">
        <v>1080</v>
      </c>
      <c r="AT121" t="s">
        <v>2663</v>
      </c>
      <c r="AU121">
        <v>2020</v>
      </c>
      <c r="AV121">
        <v>7</v>
      </c>
      <c r="AW121" t="s">
        <v>74</v>
      </c>
      <c r="AX121" t="s">
        <v>74</v>
      </c>
      <c r="AY121" t="s">
        <v>74</v>
      </c>
      <c r="AZ121" t="s">
        <v>74</v>
      </c>
      <c r="BA121" t="s">
        <v>74</v>
      </c>
      <c r="BB121" t="s">
        <v>74</v>
      </c>
      <c r="BC121" t="s">
        <v>74</v>
      </c>
      <c r="BD121">
        <v>568</v>
      </c>
      <c r="BE121" t="s">
        <v>2738</v>
      </c>
      <c r="BF121" t="str">
        <f>HYPERLINK("http://dx.doi.org/10.3389/fmars.2020.00568","http://dx.doi.org/10.3389/fmars.2020.00568")</f>
        <v>http://dx.doi.org/10.3389/fmars.2020.00568</v>
      </c>
      <c r="BG121" t="s">
        <v>74</v>
      </c>
      <c r="BH121" t="s">
        <v>74</v>
      </c>
      <c r="BI121">
        <v>17</v>
      </c>
      <c r="BJ121" t="s">
        <v>237</v>
      </c>
      <c r="BK121" t="s">
        <v>102</v>
      </c>
      <c r="BL121" t="s">
        <v>238</v>
      </c>
      <c r="BM121" t="s">
        <v>2739</v>
      </c>
      <c r="BN121" t="s">
        <v>74</v>
      </c>
      <c r="BO121" t="s">
        <v>161</v>
      </c>
      <c r="BP121" t="s">
        <v>74</v>
      </c>
      <c r="BQ121" t="s">
        <v>74</v>
      </c>
      <c r="BR121" t="s">
        <v>106</v>
      </c>
      <c r="BS121" t="s">
        <v>2740</v>
      </c>
      <c r="BT121" t="str">
        <f>HYPERLINK("https%3A%2F%2Fwww.webofscience.com%2Fwos%2Fwoscc%2Ffull-record%2FWOS:000550282300001","View Full Record in Web of Science")</f>
        <v>View Full Record in Web of Science</v>
      </c>
    </row>
    <row r="122" spans="1:72" x14ac:dyDescent="0.15">
      <c r="A122" t="s">
        <v>72</v>
      </c>
      <c r="B122" t="s">
        <v>2741</v>
      </c>
      <c r="C122" t="s">
        <v>74</v>
      </c>
      <c r="D122" t="s">
        <v>74</v>
      </c>
      <c r="E122" t="s">
        <v>74</v>
      </c>
      <c r="F122" t="s">
        <v>2742</v>
      </c>
      <c r="G122" t="s">
        <v>74</v>
      </c>
      <c r="H122" t="s">
        <v>74</v>
      </c>
      <c r="I122" t="s">
        <v>2743</v>
      </c>
      <c r="J122" t="s">
        <v>2744</v>
      </c>
      <c r="K122" t="s">
        <v>74</v>
      </c>
      <c r="L122" t="s">
        <v>74</v>
      </c>
      <c r="M122" t="s">
        <v>78</v>
      </c>
      <c r="N122" t="s">
        <v>79</v>
      </c>
      <c r="O122" t="s">
        <v>74</v>
      </c>
      <c r="P122" t="s">
        <v>74</v>
      </c>
      <c r="Q122" t="s">
        <v>74</v>
      </c>
      <c r="R122" t="s">
        <v>74</v>
      </c>
      <c r="S122" t="s">
        <v>74</v>
      </c>
      <c r="T122" t="s">
        <v>2745</v>
      </c>
      <c r="U122" t="s">
        <v>2746</v>
      </c>
      <c r="V122" t="s">
        <v>2747</v>
      </c>
      <c r="W122" t="s">
        <v>2748</v>
      </c>
      <c r="X122" t="s">
        <v>2749</v>
      </c>
      <c r="Y122" t="s">
        <v>2750</v>
      </c>
      <c r="Z122" t="s">
        <v>2751</v>
      </c>
      <c r="AA122" t="s">
        <v>74</v>
      </c>
      <c r="AB122" t="s">
        <v>2752</v>
      </c>
      <c r="AC122" t="s">
        <v>2753</v>
      </c>
      <c r="AD122" t="s">
        <v>2754</v>
      </c>
      <c r="AE122" t="s">
        <v>2755</v>
      </c>
      <c r="AF122" t="s">
        <v>74</v>
      </c>
      <c r="AG122">
        <v>127</v>
      </c>
      <c r="AH122">
        <v>6</v>
      </c>
      <c r="AI122">
        <v>6</v>
      </c>
      <c r="AJ122">
        <v>1</v>
      </c>
      <c r="AK122">
        <v>9</v>
      </c>
      <c r="AL122" t="s">
        <v>994</v>
      </c>
      <c r="AM122" t="s">
        <v>995</v>
      </c>
      <c r="AN122" t="s">
        <v>996</v>
      </c>
      <c r="AO122" t="s">
        <v>2756</v>
      </c>
      <c r="AP122" t="s">
        <v>74</v>
      </c>
      <c r="AQ122" t="s">
        <v>74</v>
      </c>
      <c r="AR122" t="s">
        <v>2757</v>
      </c>
      <c r="AS122" t="s">
        <v>2758</v>
      </c>
      <c r="AT122" t="s">
        <v>99</v>
      </c>
      <c r="AU122">
        <v>2020</v>
      </c>
      <c r="AV122">
        <v>10</v>
      </c>
      <c r="AW122">
        <v>15</v>
      </c>
      <c r="AX122" t="s">
        <v>74</v>
      </c>
      <c r="AY122" t="s">
        <v>74</v>
      </c>
      <c r="AZ122" t="s">
        <v>74</v>
      </c>
      <c r="BA122" t="s">
        <v>74</v>
      </c>
      <c r="BB122">
        <v>8127</v>
      </c>
      <c r="BC122">
        <v>8143</v>
      </c>
      <c r="BD122" t="s">
        <v>74</v>
      </c>
      <c r="BE122" t="s">
        <v>2759</v>
      </c>
      <c r="BF122" t="str">
        <f>HYPERLINK("http://dx.doi.org/10.1002/ece3.6504","http://dx.doi.org/10.1002/ece3.6504")</f>
        <v>http://dx.doi.org/10.1002/ece3.6504</v>
      </c>
      <c r="BG122" t="s">
        <v>74</v>
      </c>
      <c r="BH122" t="s">
        <v>1003</v>
      </c>
      <c r="BI122">
        <v>17</v>
      </c>
      <c r="BJ122" t="s">
        <v>2760</v>
      </c>
      <c r="BK122" t="s">
        <v>102</v>
      </c>
      <c r="BL122" t="s">
        <v>2761</v>
      </c>
      <c r="BM122" t="s">
        <v>2762</v>
      </c>
      <c r="BN122">
        <v>32788966</v>
      </c>
      <c r="BO122" t="s">
        <v>1778</v>
      </c>
      <c r="BP122" t="s">
        <v>74</v>
      </c>
      <c r="BQ122" t="s">
        <v>74</v>
      </c>
      <c r="BR122" t="s">
        <v>106</v>
      </c>
      <c r="BS122" t="s">
        <v>2763</v>
      </c>
      <c r="BT122" t="str">
        <f>HYPERLINK("https%3A%2F%2Fwww.webofscience.com%2Fwos%2Fwoscc%2Ffull-record%2FWOS:000548440100001","View Full Record in Web of Science")</f>
        <v>View Full Record in Web of Science</v>
      </c>
    </row>
    <row r="123" spans="1:72" x14ac:dyDescent="0.15">
      <c r="A123" t="s">
        <v>72</v>
      </c>
      <c r="B123" t="s">
        <v>2764</v>
      </c>
      <c r="C123" t="s">
        <v>74</v>
      </c>
      <c r="D123" t="s">
        <v>74</v>
      </c>
      <c r="E123" t="s">
        <v>74</v>
      </c>
      <c r="F123" t="s">
        <v>2765</v>
      </c>
      <c r="G123" t="s">
        <v>74</v>
      </c>
      <c r="H123" t="s">
        <v>74</v>
      </c>
      <c r="I123" t="s">
        <v>2766</v>
      </c>
      <c r="J123" t="s">
        <v>1357</v>
      </c>
      <c r="K123" t="s">
        <v>74</v>
      </c>
      <c r="L123" t="s">
        <v>74</v>
      </c>
      <c r="M123" t="s">
        <v>78</v>
      </c>
      <c r="N123" t="s">
        <v>79</v>
      </c>
      <c r="O123" t="s">
        <v>74</v>
      </c>
      <c r="P123" t="s">
        <v>74</v>
      </c>
      <c r="Q123" t="s">
        <v>74</v>
      </c>
      <c r="R123" t="s">
        <v>74</v>
      </c>
      <c r="S123" t="s">
        <v>74</v>
      </c>
      <c r="T123" t="s">
        <v>2767</v>
      </c>
      <c r="U123" t="s">
        <v>2768</v>
      </c>
      <c r="V123" t="s">
        <v>2769</v>
      </c>
      <c r="W123" t="s">
        <v>2770</v>
      </c>
      <c r="X123" t="s">
        <v>2771</v>
      </c>
      <c r="Y123" t="s">
        <v>2772</v>
      </c>
      <c r="Z123" t="s">
        <v>2773</v>
      </c>
      <c r="AA123" t="s">
        <v>2774</v>
      </c>
      <c r="AB123" t="s">
        <v>2775</v>
      </c>
      <c r="AC123" t="s">
        <v>2776</v>
      </c>
      <c r="AD123" t="s">
        <v>2777</v>
      </c>
      <c r="AE123" t="s">
        <v>2778</v>
      </c>
      <c r="AF123" t="s">
        <v>74</v>
      </c>
      <c r="AG123">
        <v>47</v>
      </c>
      <c r="AH123">
        <v>50</v>
      </c>
      <c r="AI123">
        <v>52</v>
      </c>
      <c r="AJ123">
        <v>21</v>
      </c>
      <c r="AK123">
        <v>153</v>
      </c>
      <c r="AL123" t="s">
        <v>994</v>
      </c>
      <c r="AM123" t="s">
        <v>995</v>
      </c>
      <c r="AN123" t="s">
        <v>996</v>
      </c>
      <c r="AO123" t="s">
        <v>1370</v>
      </c>
      <c r="AP123" t="s">
        <v>1371</v>
      </c>
      <c r="AQ123" t="s">
        <v>74</v>
      </c>
      <c r="AR123" t="s">
        <v>1372</v>
      </c>
      <c r="AS123" t="s">
        <v>1373</v>
      </c>
      <c r="AT123" t="s">
        <v>1930</v>
      </c>
      <c r="AU123">
        <v>2020</v>
      </c>
      <c r="AV123">
        <v>26</v>
      </c>
      <c r="AW123">
        <v>9</v>
      </c>
      <c r="AX123" t="s">
        <v>74</v>
      </c>
      <c r="AY123" t="s">
        <v>74</v>
      </c>
      <c r="AZ123" t="s">
        <v>74</v>
      </c>
      <c r="BA123" t="s">
        <v>74</v>
      </c>
      <c r="BB123">
        <v>4800</v>
      </c>
      <c r="BC123">
        <v>4811</v>
      </c>
      <c r="BD123" t="s">
        <v>74</v>
      </c>
      <c r="BE123" t="s">
        <v>2779</v>
      </c>
      <c r="BF123" t="str">
        <f>HYPERLINK("http://dx.doi.org/10.1111/gcb.15255","http://dx.doi.org/10.1111/gcb.15255")</f>
        <v>http://dx.doi.org/10.1111/gcb.15255</v>
      </c>
      <c r="BG123" t="s">
        <v>74</v>
      </c>
      <c r="BH123" t="s">
        <v>1003</v>
      </c>
      <c r="BI123">
        <v>12</v>
      </c>
      <c r="BJ123" t="s">
        <v>1375</v>
      </c>
      <c r="BK123" t="s">
        <v>102</v>
      </c>
      <c r="BL123" t="s">
        <v>1005</v>
      </c>
      <c r="BM123" t="s">
        <v>2780</v>
      </c>
      <c r="BN123">
        <v>32585056</v>
      </c>
      <c r="BO123" t="s">
        <v>74</v>
      </c>
      <c r="BP123" t="s">
        <v>74</v>
      </c>
      <c r="BQ123" t="s">
        <v>74</v>
      </c>
      <c r="BR123" t="s">
        <v>106</v>
      </c>
      <c r="BS123" t="s">
        <v>2781</v>
      </c>
      <c r="BT123" t="str">
        <f>HYPERLINK("https%3A%2F%2Fwww.webofscience.com%2Fwos%2Fwoscc%2Ffull-record%2FWOS:000548272800001","View Full Record in Web of Science")</f>
        <v>View Full Record in Web of Science</v>
      </c>
    </row>
    <row r="124" spans="1:72" x14ac:dyDescent="0.15">
      <c r="A124" t="s">
        <v>72</v>
      </c>
      <c r="B124" t="s">
        <v>2782</v>
      </c>
      <c r="C124" t="s">
        <v>74</v>
      </c>
      <c r="D124" t="s">
        <v>74</v>
      </c>
      <c r="E124" t="s">
        <v>74</v>
      </c>
      <c r="F124" t="s">
        <v>2783</v>
      </c>
      <c r="G124" t="s">
        <v>74</v>
      </c>
      <c r="H124" t="s">
        <v>74</v>
      </c>
      <c r="I124" t="s">
        <v>2784</v>
      </c>
      <c r="J124" t="s">
        <v>2785</v>
      </c>
      <c r="K124" t="s">
        <v>74</v>
      </c>
      <c r="L124" t="s">
        <v>74</v>
      </c>
      <c r="M124" t="s">
        <v>78</v>
      </c>
      <c r="N124" t="s">
        <v>245</v>
      </c>
      <c r="O124" t="s">
        <v>74</v>
      </c>
      <c r="P124" t="s">
        <v>74</v>
      </c>
      <c r="Q124" t="s">
        <v>74</v>
      </c>
      <c r="R124" t="s">
        <v>74</v>
      </c>
      <c r="S124" t="s">
        <v>74</v>
      </c>
      <c r="T124" t="s">
        <v>74</v>
      </c>
      <c r="U124" t="s">
        <v>2786</v>
      </c>
      <c r="V124" t="s">
        <v>2787</v>
      </c>
      <c r="W124" t="s">
        <v>2788</v>
      </c>
      <c r="X124" t="s">
        <v>2789</v>
      </c>
      <c r="Y124" t="s">
        <v>2790</v>
      </c>
      <c r="Z124" t="s">
        <v>2791</v>
      </c>
      <c r="AA124" t="s">
        <v>2792</v>
      </c>
      <c r="AB124" t="s">
        <v>2793</v>
      </c>
      <c r="AC124" t="s">
        <v>2794</v>
      </c>
      <c r="AD124" t="s">
        <v>2795</v>
      </c>
      <c r="AE124" t="s">
        <v>2796</v>
      </c>
      <c r="AF124" t="s">
        <v>74</v>
      </c>
      <c r="AG124">
        <v>56</v>
      </c>
      <c r="AH124">
        <v>38</v>
      </c>
      <c r="AI124">
        <v>44</v>
      </c>
      <c r="AJ124">
        <v>9</v>
      </c>
      <c r="AK124">
        <v>91</v>
      </c>
      <c r="AL124" t="s">
        <v>92</v>
      </c>
      <c r="AM124" t="s">
        <v>93</v>
      </c>
      <c r="AN124" t="s">
        <v>94</v>
      </c>
      <c r="AO124" t="s">
        <v>2797</v>
      </c>
      <c r="AP124" t="s">
        <v>2798</v>
      </c>
      <c r="AQ124" t="s">
        <v>74</v>
      </c>
      <c r="AR124" t="s">
        <v>2799</v>
      </c>
      <c r="AS124" t="s">
        <v>2800</v>
      </c>
      <c r="AT124" t="s">
        <v>2663</v>
      </c>
      <c r="AU124">
        <v>2020</v>
      </c>
      <c r="AV124">
        <v>240</v>
      </c>
      <c r="AW124" t="s">
        <v>74</v>
      </c>
      <c r="AX124" t="s">
        <v>74</v>
      </c>
      <c r="AY124" t="s">
        <v>74</v>
      </c>
      <c r="AZ124" t="s">
        <v>74</v>
      </c>
      <c r="BA124" t="s">
        <v>74</v>
      </c>
      <c r="BB124" t="s">
        <v>74</v>
      </c>
      <c r="BC124" t="s">
        <v>74</v>
      </c>
      <c r="BD124">
        <v>106386</v>
      </c>
      <c r="BE124" t="s">
        <v>2801</v>
      </c>
      <c r="BF124" t="str">
        <f>HYPERLINK("http://dx.doi.org/10.1016/j.quascirev.2020.106386","http://dx.doi.org/10.1016/j.quascirev.2020.106386")</f>
        <v>http://dx.doi.org/10.1016/j.quascirev.2020.106386</v>
      </c>
      <c r="BG124" t="s">
        <v>74</v>
      </c>
      <c r="BH124" t="s">
        <v>74</v>
      </c>
      <c r="BI124">
        <v>14</v>
      </c>
      <c r="BJ124" t="s">
        <v>694</v>
      </c>
      <c r="BK124" t="s">
        <v>102</v>
      </c>
      <c r="BL124" t="s">
        <v>695</v>
      </c>
      <c r="BM124" t="s">
        <v>2802</v>
      </c>
      <c r="BN124" t="s">
        <v>74</v>
      </c>
      <c r="BO124" t="s">
        <v>189</v>
      </c>
      <c r="BP124" t="s">
        <v>74</v>
      </c>
      <c r="BQ124" t="s">
        <v>74</v>
      </c>
      <c r="BR124" t="s">
        <v>106</v>
      </c>
      <c r="BS124" t="s">
        <v>2803</v>
      </c>
      <c r="BT124" t="str">
        <f>HYPERLINK("https%3A%2F%2Fwww.webofscience.com%2Fwos%2Fwoscc%2Ffull-record%2FWOS:000546906200014","View Full Record in Web of Science")</f>
        <v>View Full Record in Web of Science</v>
      </c>
    </row>
    <row r="125" spans="1:72" x14ac:dyDescent="0.15">
      <c r="A125" t="s">
        <v>72</v>
      </c>
      <c r="B125" t="s">
        <v>2804</v>
      </c>
      <c r="C125" t="s">
        <v>74</v>
      </c>
      <c r="D125" t="s">
        <v>74</v>
      </c>
      <c r="E125" t="s">
        <v>74</v>
      </c>
      <c r="F125" t="s">
        <v>2805</v>
      </c>
      <c r="G125" t="s">
        <v>74</v>
      </c>
      <c r="H125" t="s">
        <v>74</v>
      </c>
      <c r="I125" t="s">
        <v>2806</v>
      </c>
      <c r="J125" t="s">
        <v>2807</v>
      </c>
      <c r="K125" t="s">
        <v>74</v>
      </c>
      <c r="L125" t="s">
        <v>74</v>
      </c>
      <c r="M125" t="s">
        <v>78</v>
      </c>
      <c r="N125" t="s">
        <v>79</v>
      </c>
      <c r="O125" t="s">
        <v>74</v>
      </c>
      <c r="P125" t="s">
        <v>74</v>
      </c>
      <c r="Q125" t="s">
        <v>74</v>
      </c>
      <c r="R125" t="s">
        <v>74</v>
      </c>
      <c r="S125" t="s">
        <v>74</v>
      </c>
      <c r="T125" t="s">
        <v>2808</v>
      </c>
      <c r="U125" t="s">
        <v>2809</v>
      </c>
      <c r="V125" t="s">
        <v>2810</v>
      </c>
      <c r="W125" t="s">
        <v>2811</v>
      </c>
      <c r="X125" t="s">
        <v>2812</v>
      </c>
      <c r="Y125" t="s">
        <v>2813</v>
      </c>
      <c r="Z125" t="s">
        <v>2814</v>
      </c>
      <c r="AA125" t="s">
        <v>74</v>
      </c>
      <c r="AB125" t="s">
        <v>74</v>
      </c>
      <c r="AC125" t="s">
        <v>2815</v>
      </c>
      <c r="AD125" t="s">
        <v>2816</v>
      </c>
      <c r="AE125" t="s">
        <v>2817</v>
      </c>
      <c r="AF125" t="s">
        <v>74</v>
      </c>
      <c r="AG125">
        <v>59</v>
      </c>
      <c r="AH125">
        <v>20</v>
      </c>
      <c r="AI125">
        <v>23</v>
      </c>
      <c r="AJ125">
        <v>8</v>
      </c>
      <c r="AK125">
        <v>67</v>
      </c>
      <c r="AL125" t="s">
        <v>92</v>
      </c>
      <c r="AM125" t="s">
        <v>93</v>
      </c>
      <c r="AN125" t="s">
        <v>94</v>
      </c>
      <c r="AO125" t="s">
        <v>2818</v>
      </c>
      <c r="AP125" t="s">
        <v>2819</v>
      </c>
      <c r="AQ125" t="s">
        <v>74</v>
      </c>
      <c r="AR125" t="s">
        <v>2820</v>
      </c>
      <c r="AS125" t="s">
        <v>2821</v>
      </c>
      <c r="AT125" t="s">
        <v>2663</v>
      </c>
      <c r="AU125">
        <v>2020</v>
      </c>
      <c r="AV125">
        <v>233</v>
      </c>
      <c r="AW125" t="s">
        <v>74</v>
      </c>
      <c r="AX125" t="s">
        <v>74</v>
      </c>
      <c r="AY125" t="s">
        <v>74</v>
      </c>
      <c r="AZ125" t="s">
        <v>74</v>
      </c>
      <c r="BA125" t="s">
        <v>74</v>
      </c>
      <c r="BB125" t="s">
        <v>74</v>
      </c>
      <c r="BC125" t="s">
        <v>74</v>
      </c>
      <c r="BD125">
        <v>117611</v>
      </c>
      <c r="BE125" t="s">
        <v>2822</v>
      </c>
      <c r="BF125" t="str">
        <f>HYPERLINK("http://dx.doi.org/10.1016/j.atmosenv.2020.117611","http://dx.doi.org/10.1016/j.atmosenv.2020.117611")</f>
        <v>http://dx.doi.org/10.1016/j.atmosenv.2020.117611</v>
      </c>
      <c r="BG125" t="s">
        <v>74</v>
      </c>
      <c r="BH125" t="s">
        <v>74</v>
      </c>
      <c r="BI125">
        <v>9</v>
      </c>
      <c r="BJ125" t="s">
        <v>2068</v>
      </c>
      <c r="BK125" t="s">
        <v>102</v>
      </c>
      <c r="BL125" t="s">
        <v>2069</v>
      </c>
      <c r="BM125" t="s">
        <v>2823</v>
      </c>
      <c r="BN125" t="s">
        <v>74</v>
      </c>
      <c r="BO125" t="s">
        <v>74</v>
      </c>
      <c r="BP125" t="s">
        <v>74</v>
      </c>
      <c r="BQ125" t="s">
        <v>74</v>
      </c>
      <c r="BR125" t="s">
        <v>106</v>
      </c>
      <c r="BS125" t="s">
        <v>2824</v>
      </c>
      <c r="BT125" t="str">
        <f>HYPERLINK("https%3A%2F%2Fwww.webofscience.com%2Fwos%2Fwoscc%2Ffull-record%2FWOS:000539152300018","View Full Record in Web of Science")</f>
        <v>View Full Record in Web of Science</v>
      </c>
    </row>
    <row r="126" spans="1:72" x14ac:dyDescent="0.15">
      <c r="A126" t="s">
        <v>72</v>
      </c>
      <c r="B126" t="s">
        <v>2825</v>
      </c>
      <c r="C126" t="s">
        <v>74</v>
      </c>
      <c r="D126" t="s">
        <v>74</v>
      </c>
      <c r="E126" t="s">
        <v>74</v>
      </c>
      <c r="F126" t="s">
        <v>2826</v>
      </c>
      <c r="G126" t="s">
        <v>74</v>
      </c>
      <c r="H126" t="s">
        <v>74</v>
      </c>
      <c r="I126" t="s">
        <v>2827</v>
      </c>
      <c r="J126" t="s">
        <v>412</v>
      </c>
      <c r="K126" t="s">
        <v>74</v>
      </c>
      <c r="L126" t="s">
        <v>74</v>
      </c>
      <c r="M126" t="s">
        <v>78</v>
      </c>
      <c r="N126" t="s">
        <v>79</v>
      </c>
      <c r="O126" t="s">
        <v>74</v>
      </c>
      <c r="P126" t="s">
        <v>74</v>
      </c>
      <c r="Q126" t="s">
        <v>74</v>
      </c>
      <c r="R126" t="s">
        <v>74</v>
      </c>
      <c r="S126" t="s">
        <v>74</v>
      </c>
      <c r="T126" t="s">
        <v>2828</v>
      </c>
      <c r="U126" t="s">
        <v>2829</v>
      </c>
      <c r="V126" t="s">
        <v>2830</v>
      </c>
      <c r="W126" t="s">
        <v>2831</v>
      </c>
      <c r="X126" t="s">
        <v>2832</v>
      </c>
      <c r="Y126" t="s">
        <v>2833</v>
      </c>
      <c r="Z126" t="s">
        <v>2834</v>
      </c>
      <c r="AA126" t="s">
        <v>2835</v>
      </c>
      <c r="AB126" t="s">
        <v>2836</v>
      </c>
      <c r="AC126" t="s">
        <v>2837</v>
      </c>
      <c r="AD126" t="s">
        <v>2838</v>
      </c>
      <c r="AE126" t="s">
        <v>2839</v>
      </c>
      <c r="AF126" t="s">
        <v>74</v>
      </c>
      <c r="AG126">
        <v>83</v>
      </c>
      <c r="AH126">
        <v>64</v>
      </c>
      <c r="AI126">
        <v>65</v>
      </c>
      <c r="AJ126">
        <v>2</v>
      </c>
      <c r="AK126">
        <v>11</v>
      </c>
      <c r="AL126" t="s">
        <v>92</v>
      </c>
      <c r="AM126" t="s">
        <v>93</v>
      </c>
      <c r="AN126" t="s">
        <v>94</v>
      </c>
      <c r="AO126" t="s">
        <v>425</v>
      </c>
      <c r="AP126" t="s">
        <v>426</v>
      </c>
      <c r="AQ126" t="s">
        <v>74</v>
      </c>
      <c r="AR126" t="s">
        <v>427</v>
      </c>
      <c r="AS126" t="s">
        <v>428</v>
      </c>
      <c r="AT126" t="s">
        <v>2663</v>
      </c>
      <c r="AU126">
        <v>2020</v>
      </c>
      <c r="AV126">
        <v>281</v>
      </c>
      <c r="AW126" t="s">
        <v>74</v>
      </c>
      <c r="AX126" t="s">
        <v>74</v>
      </c>
      <c r="AY126" t="s">
        <v>74</v>
      </c>
      <c r="AZ126" t="s">
        <v>74</v>
      </c>
      <c r="BA126" t="s">
        <v>74</v>
      </c>
      <c r="BB126">
        <v>53</v>
      </c>
      <c r="BC126">
        <v>66</v>
      </c>
      <c r="BD126" t="s">
        <v>74</v>
      </c>
      <c r="BE126" t="s">
        <v>2840</v>
      </c>
      <c r="BF126" t="str">
        <f>HYPERLINK("http://dx.doi.org/10.1016/j.gca.2020.05.007","http://dx.doi.org/10.1016/j.gca.2020.05.007")</f>
        <v>http://dx.doi.org/10.1016/j.gca.2020.05.007</v>
      </c>
      <c r="BG126" t="s">
        <v>74</v>
      </c>
      <c r="BH126" t="s">
        <v>74</v>
      </c>
      <c r="BI126">
        <v>14</v>
      </c>
      <c r="BJ126" t="s">
        <v>131</v>
      </c>
      <c r="BK126" t="s">
        <v>102</v>
      </c>
      <c r="BL126" t="s">
        <v>131</v>
      </c>
      <c r="BM126" t="s">
        <v>2841</v>
      </c>
      <c r="BN126" t="s">
        <v>74</v>
      </c>
      <c r="BO126" t="s">
        <v>319</v>
      </c>
      <c r="BP126" t="s">
        <v>74</v>
      </c>
      <c r="BQ126" t="s">
        <v>74</v>
      </c>
      <c r="BR126" t="s">
        <v>106</v>
      </c>
      <c r="BS126" t="s">
        <v>2842</v>
      </c>
      <c r="BT126" t="str">
        <f>HYPERLINK("https%3A%2F%2Fwww.webofscience.com%2Fwos%2Fwoscc%2Ffull-record%2FWOS:000539243800004","View Full Record in Web of Science")</f>
        <v>View Full Record in Web of Science</v>
      </c>
    </row>
    <row r="127" spans="1:72" x14ac:dyDescent="0.15">
      <c r="A127" t="s">
        <v>72</v>
      </c>
      <c r="B127" t="s">
        <v>2843</v>
      </c>
      <c r="C127" t="s">
        <v>74</v>
      </c>
      <c r="D127" t="s">
        <v>74</v>
      </c>
      <c r="E127" t="s">
        <v>74</v>
      </c>
      <c r="F127" t="s">
        <v>2844</v>
      </c>
      <c r="G127" t="s">
        <v>74</v>
      </c>
      <c r="H127" t="s">
        <v>74</v>
      </c>
      <c r="I127" t="s">
        <v>2845</v>
      </c>
      <c r="J127" t="s">
        <v>657</v>
      </c>
      <c r="K127" t="s">
        <v>74</v>
      </c>
      <c r="L127" t="s">
        <v>74</v>
      </c>
      <c r="M127" t="s">
        <v>78</v>
      </c>
      <c r="N127" t="s">
        <v>2846</v>
      </c>
      <c r="O127" t="s">
        <v>74</v>
      </c>
      <c r="P127" t="s">
        <v>74</v>
      </c>
      <c r="Q127" t="s">
        <v>74</v>
      </c>
      <c r="R127" t="s">
        <v>74</v>
      </c>
      <c r="S127" t="s">
        <v>74</v>
      </c>
      <c r="T127" t="s">
        <v>74</v>
      </c>
      <c r="U127" t="s">
        <v>74</v>
      </c>
      <c r="V127" t="s">
        <v>74</v>
      </c>
      <c r="W127" t="s">
        <v>2847</v>
      </c>
      <c r="X127" t="s">
        <v>2848</v>
      </c>
      <c r="Y127" t="s">
        <v>2849</v>
      </c>
      <c r="Z127" t="s">
        <v>2850</v>
      </c>
      <c r="AA127" t="s">
        <v>2851</v>
      </c>
      <c r="AB127" t="s">
        <v>74</v>
      </c>
      <c r="AC127" t="s">
        <v>74</v>
      </c>
      <c r="AD127" t="s">
        <v>74</v>
      </c>
      <c r="AE127" t="s">
        <v>74</v>
      </c>
      <c r="AF127" t="s">
        <v>74</v>
      </c>
      <c r="AG127">
        <v>1</v>
      </c>
      <c r="AH127">
        <v>0</v>
      </c>
      <c r="AI127">
        <v>0</v>
      </c>
      <c r="AJ127">
        <v>3</v>
      </c>
      <c r="AK127">
        <v>9</v>
      </c>
      <c r="AL127" t="s">
        <v>284</v>
      </c>
      <c r="AM127" t="s">
        <v>285</v>
      </c>
      <c r="AN127" t="s">
        <v>286</v>
      </c>
      <c r="AO127" t="s">
        <v>667</v>
      </c>
      <c r="AP127" t="s">
        <v>668</v>
      </c>
      <c r="AQ127" t="s">
        <v>74</v>
      </c>
      <c r="AR127" t="s">
        <v>669</v>
      </c>
      <c r="AS127" t="s">
        <v>670</v>
      </c>
      <c r="AT127" t="s">
        <v>2663</v>
      </c>
      <c r="AU127">
        <v>2020</v>
      </c>
      <c r="AV127">
        <v>542</v>
      </c>
      <c r="AW127" t="s">
        <v>74</v>
      </c>
      <c r="AX127" t="s">
        <v>74</v>
      </c>
      <c r="AY127" t="s">
        <v>74</v>
      </c>
      <c r="AZ127" t="s">
        <v>74</v>
      </c>
      <c r="BA127" t="s">
        <v>74</v>
      </c>
      <c r="BB127" t="s">
        <v>74</v>
      </c>
      <c r="BC127" t="s">
        <v>74</v>
      </c>
      <c r="BD127">
        <v>116342</v>
      </c>
      <c r="BE127" t="s">
        <v>2852</v>
      </c>
      <c r="BF127" t="str">
        <f>HYPERLINK("http://dx.doi.org/10.1016/j.epsl.2020.116342","http://dx.doi.org/10.1016/j.epsl.2020.116342")</f>
        <v>http://dx.doi.org/10.1016/j.epsl.2020.116342</v>
      </c>
      <c r="BG127" t="s">
        <v>74</v>
      </c>
      <c r="BH127" t="s">
        <v>74</v>
      </c>
      <c r="BI127">
        <v>1</v>
      </c>
      <c r="BJ127" t="s">
        <v>131</v>
      </c>
      <c r="BK127" t="s">
        <v>102</v>
      </c>
      <c r="BL127" t="s">
        <v>131</v>
      </c>
      <c r="BM127" t="s">
        <v>2853</v>
      </c>
      <c r="BN127" t="s">
        <v>74</v>
      </c>
      <c r="BO127" t="s">
        <v>448</v>
      </c>
      <c r="BP127" t="s">
        <v>74</v>
      </c>
      <c r="BQ127" t="s">
        <v>74</v>
      </c>
      <c r="BR127" t="s">
        <v>106</v>
      </c>
      <c r="BS127" t="s">
        <v>2854</v>
      </c>
      <c r="BT127" t="str">
        <f>HYPERLINK("https%3A%2F%2Fwww.webofscience.com%2Fwos%2Fwoscc%2Ffull-record%2FWOS:000537625600025","View Full Record in Web of Science")</f>
        <v>View Full Record in Web of Science</v>
      </c>
    </row>
    <row r="128" spans="1:72" x14ac:dyDescent="0.15">
      <c r="A128" t="s">
        <v>72</v>
      </c>
      <c r="B128" t="s">
        <v>2855</v>
      </c>
      <c r="C128" t="s">
        <v>74</v>
      </c>
      <c r="D128" t="s">
        <v>74</v>
      </c>
      <c r="E128" t="s">
        <v>74</v>
      </c>
      <c r="F128" t="s">
        <v>2856</v>
      </c>
      <c r="G128" t="s">
        <v>74</v>
      </c>
      <c r="H128" t="s">
        <v>74</v>
      </c>
      <c r="I128" t="s">
        <v>2857</v>
      </c>
      <c r="J128" t="s">
        <v>657</v>
      </c>
      <c r="K128" t="s">
        <v>74</v>
      </c>
      <c r="L128" t="s">
        <v>74</v>
      </c>
      <c r="M128" t="s">
        <v>78</v>
      </c>
      <c r="N128" t="s">
        <v>2846</v>
      </c>
      <c r="O128" t="s">
        <v>74</v>
      </c>
      <c r="P128" t="s">
        <v>74</v>
      </c>
      <c r="Q128" t="s">
        <v>74</v>
      </c>
      <c r="R128" t="s">
        <v>74</v>
      </c>
      <c r="S128" t="s">
        <v>74</v>
      </c>
      <c r="T128" t="s">
        <v>74</v>
      </c>
      <c r="U128" t="s">
        <v>74</v>
      </c>
      <c r="V128" t="s">
        <v>74</v>
      </c>
      <c r="W128" t="s">
        <v>2858</v>
      </c>
      <c r="X128" t="s">
        <v>2859</v>
      </c>
      <c r="Y128" t="s">
        <v>2860</v>
      </c>
      <c r="Z128" t="s">
        <v>2861</v>
      </c>
      <c r="AA128" t="s">
        <v>2862</v>
      </c>
      <c r="AB128" t="s">
        <v>2863</v>
      </c>
      <c r="AC128" t="s">
        <v>74</v>
      </c>
      <c r="AD128" t="s">
        <v>74</v>
      </c>
      <c r="AE128" t="s">
        <v>74</v>
      </c>
      <c r="AF128" t="s">
        <v>74</v>
      </c>
      <c r="AG128">
        <v>1</v>
      </c>
      <c r="AH128">
        <v>0</v>
      </c>
      <c r="AI128">
        <v>0</v>
      </c>
      <c r="AJ128">
        <v>1</v>
      </c>
      <c r="AK128">
        <v>4</v>
      </c>
      <c r="AL128" t="s">
        <v>284</v>
      </c>
      <c r="AM128" t="s">
        <v>285</v>
      </c>
      <c r="AN128" t="s">
        <v>286</v>
      </c>
      <c r="AO128" t="s">
        <v>667</v>
      </c>
      <c r="AP128" t="s">
        <v>668</v>
      </c>
      <c r="AQ128" t="s">
        <v>74</v>
      </c>
      <c r="AR128" t="s">
        <v>669</v>
      </c>
      <c r="AS128" t="s">
        <v>670</v>
      </c>
      <c r="AT128" t="s">
        <v>2663</v>
      </c>
      <c r="AU128">
        <v>2020</v>
      </c>
      <c r="AV128">
        <v>542</v>
      </c>
      <c r="AW128" t="s">
        <v>74</v>
      </c>
      <c r="AX128" t="s">
        <v>74</v>
      </c>
      <c r="AY128" t="s">
        <v>74</v>
      </c>
      <c r="AZ128" t="s">
        <v>74</v>
      </c>
      <c r="BA128" t="s">
        <v>74</v>
      </c>
      <c r="BB128" t="s">
        <v>74</v>
      </c>
      <c r="BC128" t="s">
        <v>74</v>
      </c>
      <c r="BD128">
        <v>116309</v>
      </c>
      <c r="BE128" t="s">
        <v>2864</v>
      </c>
      <c r="BF128" t="str">
        <f>HYPERLINK("http://dx.doi.org/10.1016/j.epsl.2020.116309","http://dx.doi.org/10.1016/j.epsl.2020.116309")</f>
        <v>http://dx.doi.org/10.1016/j.epsl.2020.116309</v>
      </c>
      <c r="BG128" t="s">
        <v>74</v>
      </c>
      <c r="BH128" t="s">
        <v>74</v>
      </c>
      <c r="BI128">
        <v>2</v>
      </c>
      <c r="BJ128" t="s">
        <v>131</v>
      </c>
      <c r="BK128" t="s">
        <v>102</v>
      </c>
      <c r="BL128" t="s">
        <v>131</v>
      </c>
      <c r="BM128" t="s">
        <v>2853</v>
      </c>
      <c r="BN128" t="s">
        <v>74</v>
      </c>
      <c r="BO128" t="s">
        <v>74</v>
      </c>
      <c r="BP128" t="s">
        <v>74</v>
      </c>
      <c r="BQ128" t="s">
        <v>74</v>
      </c>
      <c r="BR128" t="s">
        <v>106</v>
      </c>
      <c r="BS128" t="s">
        <v>2865</v>
      </c>
      <c r="BT128" t="str">
        <f>HYPERLINK("https%3A%2F%2Fwww.webofscience.com%2Fwos%2Fwoscc%2Ffull-record%2FWOS:000537625600010","View Full Record in Web of Science")</f>
        <v>View Full Record in Web of Science</v>
      </c>
    </row>
    <row r="129" spans="1:72" x14ac:dyDescent="0.15">
      <c r="A129" t="s">
        <v>72</v>
      </c>
      <c r="B129" t="s">
        <v>2866</v>
      </c>
      <c r="C129" t="s">
        <v>74</v>
      </c>
      <c r="D129" t="s">
        <v>74</v>
      </c>
      <c r="E129" t="s">
        <v>74</v>
      </c>
      <c r="F129" t="s">
        <v>2867</v>
      </c>
      <c r="G129" t="s">
        <v>74</v>
      </c>
      <c r="H129" t="s">
        <v>74</v>
      </c>
      <c r="I129" t="s">
        <v>2868</v>
      </c>
      <c r="J129" t="s">
        <v>657</v>
      </c>
      <c r="K129" t="s">
        <v>74</v>
      </c>
      <c r="L129" t="s">
        <v>74</v>
      </c>
      <c r="M129" t="s">
        <v>78</v>
      </c>
      <c r="N129" t="s">
        <v>79</v>
      </c>
      <c r="O129" t="s">
        <v>74</v>
      </c>
      <c r="P129" t="s">
        <v>74</v>
      </c>
      <c r="Q129" t="s">
        <v>74</v>
      </c>
      <c r="R129" t="s">
        <v>74</v>
      </c>
      <c r="S129" t="s">
        <v>74</v>
      </c>
      <c r="T129" t="s">
        <v>2869</v>
      </c>
      <c r="U129" t="s">
        <v>2870</v>
      </c>
      <c r="V129" t="s">
        <v>2871</v>
      </c>
      <c r="W129" t="s">
        <v>2872</v>
      </c>
      <c r="X129" t="s">
        <v>2873</v>
      </c>
      <c r="Y129" t="s">
        <v>2874</v>
      </c>
      <c r="Z129" t="s">
        <v>2875</v>
      </c>
      <c r="AA129" t="s">
        <v>2876</v>
      </c>
      <c r="AB129" t="s">
        <v>2877</v>
      </c>
      <c r="AC129" t="s">
        <v>2878</v>
      </c>
      <c r="AD129" t="s">
        <v>1672</v>
      </c>
      <c r="AE129" t="s">
        <v>2879</v>
      </c>
      <c r="AF129" t="s">
        <v>74</v>
      </c>
      <c r="AG129">
        <v>44</v>
      </c>
      <c r="AH129">
        <v>19</v>
      </c>
      <c r="AI129">
        <v>22</v>
      </c>
      <c r="AJ129">
        <v>0</v>
      </c>
      <c r="AK129">
        <v>14</v>
      </c>
      <c r="AL129" t="s">
        <v>284</v>
      </c>
      <c r="AM129" t="s">
        <v>285</v>
      </c>
      <c r="AN129" t="s">
        <v>286</v>
      </c>
      <c r="AO129" t="s">
        <v>667</v>
      </c>
      <c r="AP129" t="s">
        <v>668</v>
      </c>
      <c r="AQ129" t="s">
        <v>74</v>
      </c>
      <c r="AR129" t="s">
        <v>669</v>
      </c>
      <c r="AS129" t="s">
        <v>670</v>
      </c>
      <c r="AT129" t="s">
        <v>2663</v>
      </c>
      <c r="AU129">
        <v>2020</v>
      </c>
      <c r="AV129">
        <v>542</v>
      </c>
      <c r="AW129" t="s">
        <v>74</v>
      </c>
      <c r="AX129" t="s">
        <v>74</v>
      </c>
      <c r="AY129" t="s">
        <v>74</v>
      </c>
      <c r="AZ129" t="s">
        <v>74</v>
      </c>
      <c r="BA129" t="s">
        <v>74</v>
      </c>
      <c r="BB129" t="s">
        <v>74</v>
      </c>
      <c r="BC129" t="s">
        <v>74</v>
      </c>
      <c r="BD129">
        <v>116297</v>
      </c>
      <c r="BE129" t="s">
        <v>2880</v>
      </c>
      <c r="BF129" t="str">
        <f>HYPERLINK("http://dx.doi.org/10.1016/j.epsl.2020.116297","http://dx.doi.org/10.1016/j.epsl.2020.116297")</f>
        <v>http://dx.doi.org/10.1016/j.epsl.2020.116297</v>
      </c>
      <c r="BG129" t="s">
        <v>74</v>
      </c>
      <c r="BH129" t="s">
        <v>74</v>
      </c>
      <c r="BI129">
        <v>10</v>
      </c>
      <c r="BJ129" t="s">
        <v>131</v>
      </c>
      <c r="BK129" t="s">
        <v>102</v>
      </c>
      <c r="BL129" t="s">
        <v>131</v>
      </c>
      <c r="BM129" t="s">
        <v>2853</v>
      </c>
      <c r="BN129" t="s">
        <v>74</v>
      </c>
      <c r="BO129" t="s">
        <v>189</v>
      </c>
      <c r="BP129" t="s">
        <v>74</v>
      </c>
      <c r="BQ129" t="s">
        <v>74</v>
      </c>
      <c r="BR129" t="s">
        <v>106</v>
      </c>
      <c r="BS129" t="s">
        <v>2881</v>
      </c>
      <c r="BT129" t="str">
        <f>HYPERLINK("https%3A%2F%2Fwww.webofscience.com%2Fwos%2Fwoscc%2Ffull-record%2FWOS:000537625600005","View Full Record in Web of Science")</f>
        <v>View Full Record in Web of Science</v>
      </c>
    </row>
    <row r="130" spans="1:72" x14ac:dyDescent="0.15">
      <c r="A130" t="s">
        <v>72</v>
      </c>
      <c r="B130" t="s">
        <v>2882</v>
      </c>
      <c r="C130" t="s">
        <v>74</v>
      </c>
      <c r="D130" t="s">
        <v>74</v>
      </c>
      <c r="E130" t="s">
        <v>74</v>
      </c>
      <c r="F130" t="s">
        <v>2883</v>
      </c>
      <c r="G130" t="s">
        <v>74</v>
      </c>
      <c r="H130" t="s">
        <v>74</v>
      </c>
      <c r="I130" t="s">
        <v>2884</v>
      </c>
      <c r="J130" t="s">
        <v>657</v>
      </c>
      <c r="K130" t="s">
        <v>74</v>
      </c>
      <c r="L130" t="s">
        <v>74</v>
      </c>
      <c r="M130" t="s">
        <v>78</v>
      </c>
      <c r="N130" t="s">
        <v>79</v>
      </c>
      <c r="O130" t="s">
        <v>74</v>
      </c>
      <c r="P130" t="s">
        <v>74</v>
      </c>
      <c r="Q130" t="s">
        <v>74</v>
      </c>
      <c r="R130" t="s">
        <v>74</v>
      </c>
      <c r="S130" t="s">
        <v>74</v>
      </c>
      <c r="T130" t="s">
        <v>2885</v>
      </c>
      <c r="U130" t="s">
        <v>2886</v>
      </c>
      <c r="V130" t="s">
        <v>2887</v>
      </c>
      <c r="W130" t="s">
        <v>2888</v>
      </c>
      <c r="X130" t="s">
        <v>2889</v>
      </c>
      <c r="Y130" t="s">
        <v>2890</v>
      </c>
      <c r="Z130" t="s">
        <v>2891</v>
      </c>
      <c r="AA130" t="s">
        <v>2892</v>
      </c>
      <c r="AB130" t="s">
        <v>2893</v>
      </c>
      <c r="AC130" t="s">
        <v>2894</v>
      </c>
      <c r="AD130" t="s">
        <v>2895</v>
      </c>
      <c r="AE130" t="s">
        <v>2896</v>
      </c>
      <c r="AF130" t="s">
        <v>74</v>
      </c>
      <c r="AG130">
        <v>64</v>
      </c>
      <c r="AH130">
        <v>17</v>
      </c>
      <c r="AI130">
        <v>18</v>
      </c>
      <c r="AJ130">
        <v>0</v>
      </c>
      <c r="AK130">
        <v>9</v>
      </c>
      <c r="AL130" t="s">
        <v>284</v>
      </c>
      <c r="AM130" t="s">
        <v>285</v>
      </c>
      <c r="AN130" t="s">
        <v>286</v>
      </c>
      <c r="AO130" t="s">
        <v>667</v>
      </c>
      <c r="AP130" t="s">
        <v>668</v>
      </c>
      <c r="AQ130" t="s">
        <v>74</v>
      </c>
      <c r="AR130" t="s">
        <v>669</v>
      </c>
      <c r="AS130" t="s">
        <v>670</v>
      </c>
      <c r="AT130" t="s">
        <v>2663</v>
      </c>
      <c r="AU130">
        <v>2020</v>
      </c>
      <c r="AV130">
        <v>542</v>
      </c>
      <c r="AW130" t="s">
        <v>74</v>
      </c>
      <c r="AX130" t="s">
        <v>74</v>
      </c>
      <c r="AY130" t="s">
        <v>74</v>
      </c>
      <c r="AZ130" t="s">
        <v>74</v>
      </c>
      <c r="BA130" t="s">
        <v>74</v>
      </c>
      <c r="BB130" t="s">
        <v>74</v>
      </c>
      <c r="BC130" t="s">
        <v>74</v>
      </c>
      <c r="BD130">
        <v>116318</v>
      </c>
      <c r="BE130" t="s">
        <v>2897</v>
      </c>
      <c r="BF130" t="str">
        <f>HYPERLINK("http://dx.doi.org/10.1016/j.epsl.2020.116318","http://dx.doi.org/10.1016/j.epsl.2020.116318")</f>
        <v>http://dx.doi.org/10.1016/j.epsl.2020.116318</v>
      </c>
      <c r="BG130" t="s">
        <v>74</v>
      </c>
      <c r="BH130" t="s">
        <v>74</v>
      </c>
      <c r="BI130">
        <v>9</v>
      </c>
      <c r="BJ130" t="s">
        <v>131</v>
      </c>
      <c r="BK130" t="s">
        <v>102</v>
      </c>
      <c r="BL130" t="s">
        <v>131</v>
      </c>
      <c r="BM130" t="s">
        <v>2853</v>
      </c>
      <c r="BN130" t="s">
        <v>74</v>
      </c>
      <c r="BO130" t="s">
        <v>319</v>
      </c>
      <c r="BP130" t="s">
        <v>74</v>
      </c>
      <c r="BQ130" t="s">
        <v>74</v>
      </c>
      <c r="BR130" t="s">
        <v>106</v>
      </c>
      <c r="BS130" t="s">
        <v>2898</v>
      </c>
      <c r="BT130" t="str">
        <f>HYPERLINK("https%3A%2F%2Fwww.webofscience.com%2Fwos%2Fwoscc%2Ffull-record%2FWOS:000537625600014","View Full Record in Web of Science")</f>
        <v>View Full Record in Web of Science</v>
      </c>
    </row>
    <row r="131" spans="1:72" x14ac:dyDescent="0.15">
      <c r="A131" t="s">
        <v>72</v>
      </c>
      <c r="B131" t="s">
        <v>2899</v>
      </c>
      <c r="C131" t="s">
        <v>74</v>
      </c>
      <c r="D131" t="s">
        <v>74</v>
      </c>
      <c r="E131" t="s">
        <v>74</v>
      </c>
      <c r="F131" t="s">
        <v>2900</v>
      </c>
      <c r="G131" t="s">
        <v>74</v>
      </c>
      <c r="H131" t="s">
        <v>74</v>
      </c>
      <c r="I131" t="s">
        <v>2901</v>
      </c>
      <c r="J131" t="s">
        <v>2902</v>
      </c>
      <c r="K131" t="s">
        <v>74</v>
      </c>
      <c r="L131" t="s">
        <v>74</v>
      </c>
      <c r="M131" t="s">
        <v>78</v>
      </c>
      <c r="N131" t="s">
        <v>79</v>
      </c>
      <c r="O131" t="s">
        <v>74</v>
      </c>
      <c r="P131" t="s">
        <v>74</v>
      </c>
      <c r="Q131" t="s">
        <v>74</v>
      </c>
      <c r="R131" t="s">
        <v>74</v>
      </c>
      <c r="S131" t="s">
        <v>74</v>
      </c>
      <c r="T131" t="s">
        <v>2903</v>
      </c>
      <c r="U131" t="s">
        <v>2904</v>
      </c>
      <c r="V131" t="s">
        <v>2905</v>
      </c>
      <c r="W131" t="s">
        <v>2906</v>
      </c>
      <c r="X131" t="s">
        <v>390</v>
      </c>
      <c r="Y131" t="s">
        <v>2907</v>
      </c>
      <c r="Z131" t="s">
        <v>2908</v>
      </c>
      <c r="AA131" t="s">
        <v>2909</v>
      </c>
      <c r="AB131" t="s">
        <v>2910</v>
      </c>
      <c r="AC131" t="s">
        <v>2911</v>
      </c>
      <c r="AD131" t="s">
        <v>2912</v>
      </c>
      <c r="AE131" t="s">
        <v>2913</v>
      </c>
      <c r="AF131" t="s">
        <v>74</v>
      </c>
      <c r="AG131">
        <v>53</v>
      </c>
      <c r="AH131">
        <v>10</v>
      </c>
      <c r="AI131">
        <v>10</v>
      </c>
      <c r="AJ131">
        <v>1</v>
      </c>
      <c r="AK131">
        <v>11</v>
      </c>
      <c r="AL131" t="s">
        <v>284</v>
      </c>
      <c r="AM131" t="s">
        <v>285</v>
      </c>
      <c r="AN131" t="s">
        <v>286</v>
      </c>
      <c r="AO131" t="s">
        <v>2914</v>
      </c>
      <c r="AP131" t="s">
        <v>2915</v>
      </c>
      <c r="AQ131" t="s">
        <v>74</v>
      </c>
      <c r="AR131" t="s">
        <v>2902</v>
      </c>
      <c r="AS131" t="s">
        <v>2916</v>
      </c>
      <c r="AT131" t="s">
        <v>2663</v>
      </c>
      <c r="AU131">
        <v>2020</v>
      </c>
      <c r="AV131">
        <v>524</v>
      </c>
      <c r="AW131" t="s">
        <v>74</v>
      </c>
      <c r="AX131" t="s">
        <v>74</v>
      </c>
      <c r="AY131" t="s">
        <v>74</v>
      </c>
      <c r="AZ131" t="s">
        <v>74</v>
      </c>
      <c r="BA131" t="s">
        <v>74</v>
      </c>
      <c r="BB131" t="s">
        <v>74</v>
      </c>
      <c r="BC131" t="s">
        <v>74</v>
      </c>
      <c r="BD131">
        <v>735262</v>
      </c>
      <c r="BE131" t="s">
        <v>2917</v>
      </c>
      <c r="BF131" t="str">
        <f>HYPERLINK("http://dx.doi.org/10.1016/j.aquaculture.2020.735262","http://dx.doi.org/10.1016/j.aquaculture.2020.735262")</f>
        <v>http://dx.doi.org/10.1016/j.aquaculture.2020.735262</v>
      </c>
      <c r="BG131" t="s">
        <v>74</v>
      </c>
      <c r="BH131" t="s">
        <v>74</v>
      </c>
      <c r="BI131">
        <v>11</v>
      </c>
      <c r="BJ131" t="s">
        <v>1986</v>
      </c>
      <c r="BK131" t="s">
        <v>102</v>
      </c>
      <c r="BL131" t="s">
        <v>1986</v>
      </c>
      <c r="BM131" t="s">
        <v>2918</v>
      </c>
      <c r="BN131" t="s">
        <v>74</v>
      </c>
      <c r="BO131" t="s">
        <v>74</v>
      </c>
      <c r="BP131" t="s">
        <v>74</v>
      </c>
      <c r="BQ131" t="s">
        <v>74</v>
      </c>
      <c r="BR131" t="s">
        <v>106</v>
      </c>
      <c r="BS131" t="s">
        <v>2919</v>
      </c>
      <c r="BT131" t="str">
        <f>HYPERLINK("https%3A%2F%2Fwww.webofscience.com%2Fwos%2Fwoscc%2Ffull-record%2FWOS:000535436900010","View Full Record in Web of Science")</f>
        <v>View Full Record in Web of Science</v>
      </c>
    </row>
    <row r="132" spans="1:72" x14ac:dyDescent="0.15">
      <c r="A132" t="s">
        <v>72</v>
      </c>
      <c r="B132" t="s">
        <v>2920</v>
      </c>
      <c r="C132" t="s">
        <v>74</v>
      </c>
      <c r="D132" t="s">
        <v>74</v>
      </c>
      <c r="E132" t="s">
        <v>74</v>
      </c>
      <c r="F132" t="s">
        <v>2921</v>
      </c>
      <c r="G132" t="s">
        <v>74</v>
      </c>
      <c r="H132" t="s">
        <v>74</v>
      </c>
      <c r="I132" t="s">
        <v>2922</v>
      </c>
      <c r="J132" t="s">
        <v>932</v>
      </c>
      <c r="K132" t="s">
        <v>74</v>
      </c>
      <c r="L132" t="s">
        <v>74</v>
      </c>
      <c r="M132" t="s">
        <v>78</v>
      </c>
      <c r="N132" t="s">
        <v>79</v>
      </c>
      <c r="O132" t="s">
        <v>74</v>
      </c>
      <c r="P132" t="s">
        <v>74</v>
      </c>
      <c r="Q132" t="s">
        <v>74</v>
      </c>
      <c r="R132" t="s">
        <v>74</v>
      </c>
      <c r="S132" t="s">
        <v>74</v>
      </c>
      <c r="T132" t="s">
        <v>2923</v>
      </c>
      <c r="U132" t="s">
        <v>2924</v>
      </c>
      <c r="V132" t="s">
        <v>2925</v>
      </c>
      <c r="W132" t="s">
        <v>2926</v>
      </c>
      <c r="X132" t="s">
        <v>2927</v>
      </c>
      <c r="Y132" t="s">
        <v>2928</v>
      </c>
      <c r="Z132" t="s">
        <v>2929</v>
      </c>
      <c r="AA132" t="s">
        <v>2930</v>
      </c>
      <c r="AB132" t="s">
        <v>2931</v>
      </c>
      <c r="AC132" t="s">
        <v>2932</v>
      </c>
      <c r="AD132" t="s">
        <v>2933</v>
      </c>
      <c r="AE132" t="s">
        <v>2934</v>
      </c>
      <c r="AF132" t="s">
        <v>74</v>
      </c>
      <c r="AG132">
        <v>70</v>
      </c>
      <c r="AH132">
        <v>14</v>
      </c>
      <c r="AI132">
        <v>16</v>
      </c>
      <c r="AJ132">
        <v>2</v>
      </c>
      <c r="AK132">
        <v>50</v>
      </c>
      <c r="AL132" t="s">
        <v>944</v>
      </c>
      <c r="AM132" t="s">
        <v>945</v>
      </c>
      <c r="AN132" t="s">
        <v>946</v>
      </c>
      <c r="AO132" t="s">
        <v>947</v>
      </c>
      <c r="AP132" t="s">
        <v>948</v>
      </c>
      <c r="AQ132" t="s">
        <v>74</v>
      </c>
      <c r="AR132" t="s">
        <v>949</v>
      </c>
      <c r="AS132" t="s">
        <v>950</v>
      </c>
      <c r="AT132" t="s">
        <v>2663</v>
      </c>
      <c r="AU132">
        <v>2020</v>
      </c>
      <c r="AV132">
        <v>266</v>
      </c>
      <c r="AW132" t="s">
        <v>74</v>
      </c>
      <c r="AX132" t="s">
        <v>74</v>
      </c>
      <c r="AY132" t="s">
        <v>74</v>
      </c>
      <c r="AZ132" t="s">
        <v>74</v>
      </c>
      <c r="BA132" t="s">
        <v>74</v>
      </c>
      <c r="BB132" t="s">
        <v>74</v>
      </c>
      <c r="BC132" t="s">
        <v>74</v>
      </c>
      <c r="BD132">
        <v>110593</v>
      </c>
      <c r="BE132" t="s">
        <v>2935</v>
      </c>
      <c r="BF132" t="str">
        <f>HYPERLINK("http://dx.doi.org/10.1016/j.jenvman.2020.110593","http://dx.doi.org/10.1016/j.jenvman.2020.110593")</f>
        <v>http://dx.doi.org/10.1016/j.jenvman.2020.110593</v>
      </c>
      <c r="BG132" t="s">
        <v>74</v>
      </c>
      <c r="BH132" t="s">
        <v>74</v>
      </c>
      <c r="BI132">
        <v>13</v>
      </c>
      <c r="BJ132" t="s">
        <v>101</v>
      </c>
      <c r="BK132" t="s">
        <v>102</v>
      </c>
      <c r="BL132" t="s">
        <v>103</v>
      </c>
      <c r="BM132" t="s">
        <v>2936</v>
      </c>
      <c r="BN132">
        <v>32392143</v>
      </c>
      <c r="BO132" t="s">
        <v>74</v>
      </c>
      <c r="BP132" t="s">
        <v>74</v>
      </c>
      <c r="BQ132" t="s">
        <v>74</v>
      </c>
      <c r="BR132" t="s">
        <v>106</v>
      </c>
      <c r="BS132" t="s">
        <v>2937</v>
      </c>
      <c r="BT132" t="str">
        <f>HYPERLINK("https%3A%2F%2Fwww.webofscience.com%2Fwos%2Fwoscc%2Ffull-record%2FWOS:000531083400005","View Full Record in Web of Science")</f>
        <v>View Full Record in Web of Science</v>
      </c>
    </row>
    <row r="133" spans="1:72" x14ac:dyDescent="0.15">
      <c r="A133" t="s">
        <v>72</v>
      </c>
      <c r="B133" t="s">
        <v>2938</v>
      </c>
      <c r="C133" t="s">
        <v>74</v>
      </c>
      <c r="D133" t="s">
        <v>74</v>
      </c>
      <c r="E133" t="s">
        <v>74</v>
      </c>
      <c r="F133" t="s">
        <v>2939</v>
      </c>
      <c r="G133" t="s">
        <v>74</v>
      </c>
      <c r="H133" t="s">
        <v>74</v>
      </c>
      <c r="I133" t="s">
        <v>2940</v>
      </c>
      <c r="J133" t="s">
        <v>2456</v>
      </c>
      <c r="K133" t="s">
        <v>74</v>
      </c>
      <c r="L133" t="s">
        <v>74</v>
      </c>
      <c r="M133" t="s">
        <v>78</v>
      </c>
      <c r="N133" t="s">
        <v>79</v>
      </c>
      <c r="O133" t="s">
        <v>74</v>
      </c>
      <c r="P133" t="s">
        <v>74</v>
      </c>
      <c r="Q133" t="s">
        <v>74</v>
      </c>
      <c r="R133" t="s">
        <v>74</v>
      </c>
      <c r="S133" t="s">
        <v>74</v>
      </c>
      <c r="T133" t="s">
        <v>2941</v>
      </c>
      <c r="U133" t="s">
        <v>2942</v>
      </c>
      <c r="V133" t="s">
        <v>2943</v>
      </c>
      <c r="W133" t="s">
        <v>2944</v>
      </c>
      <c r="X133" t="s">
        <v>2945</v>
      </c>
      <c r="Y133" t="s">
        <v>2946</v>
      </c>
      <c r="Z133" t="s">
        <v>2947</v>
      </c>
      <c r="AA133" t="s">
        <v>2948</v>
      </c>
      <c r="AB133" t="s">
        <v>2949</v>
      </c>
      <c r="AC133" t="s">
        <v>2950</v>
      </c>
      <c r="AD133" t="s">
        <v>2951</v>
      </c>
      <c r="AE133" t="s">
        <v>2952</v>
      </c>
      <c r="AF133" t="s">
        <v>74</v>
      </c>
      <c r="AG133">
        <v>80</v>
      </c>
      <c r="AH133">
        <v>4</v>
      </c>
      <c r="AI133">
        <v>4</v>
      </c>
      <c r="AJ133">
        <v>1</v>
      </c>
      <c r="AK133">
        <v>20</v>
      </c>
      <c r="AL133" t="s">
        <v>1024</v>
      </c>
      <c r="AM133" t="s">
        <v>1025</v>
      </c>
      <c r="AN133" t="s">
        <v>1026</v>
      </c>
      <c r="AO133" t="s">
        <v>74</v>
      </c>
      <c r="AP133" t="s">
        <v>2469</v>
      </c>
      <c r="AQ133" t="s">
        <v>74</v>
      </c>
      <c r="AR133" t="s">
        <v>2470</v>
      </c>
      <c r="AS133" t="s">
        <v>2471</v>
      </c>
      <c r="AT133" t="s">
        <v>2953</v>
      </c>
      <c r="AU133">
        <v>2020</v>
      </c>
      <c r="AV133">
        <v>8</v>
      </c>
      <c r="AW133" t="s">
        <v>74</v>
      </c>
      <c r="AX133" t="s">
        <v>74</v>
      </c>
      <c r="AY133" t="s">
        <v>74</v>
      </c>
      <c r="AZ133" t="s">
        <v>74</v>
      </c>
      <c r="BA133" t="s">
        <v>74</v>
      </c>
      <c r="BB133" t="s">
        <v>74</v>
      </c>
      <c r="BC133" t="s">
        <v>74</v>
      </c>
      <c r="BD133">
        <v>286</v>
      </c>
      <c r="BE133" t="s">
        <v>2954</v>
      </c>
      <c r="BF133" t="str">
        <f>HYPERLINK("http://dx.doi.org/10.3389/feart.2020.00286","http://dx.doi.org/10.3389/feart.2020.00286")</f>
        <v>http://dx.doi.org/10.3389/feart.2020.00286</v>
      </c>
      <c r="BG133" t="s">
        <v>74</v>
      </c>
      <c r="BH133" t="s">
        <v>74</v>
      </c>
      <c r="BI133">
        <v>15</v>
      </c>
      <c r="BJ133" t="s">
        <v>471</v>
      </c>
      <c r="BK133" t="s">
        <v>102</v>
      </c>
      <c r="BL133" t="s">
        <v>472</v>
      </c>
      <c r="BM133" t="s">
        <v>2955</v>
      </c>
      <c r="BN133" t="s">
        <v>74</v>
      </c>
      <c r="BO133" t="s">
        <v>2956</v>
      </c>
      <c r="BP133" t="s">
        <v>74</v>
      </c>
      <c r="BQ133" t="s">
        <v>74</v>
      </c>
      <c r="BR133" t="s">
        <v>106</v>
      </c>
      <c r="BS133" t="s">
        <v>2957</v>
      </c>
      <c r="BT133" t="str">
        <f>HYPERLINK("https%3A%2F%2Fwww.webofscience.com%2Fwos%2Fwoscc%2Ffull-record%2FWOS:000556572100001","View Full Record in Web of Science")</f>
        <v>View Full Record in Web of Science</v>
      </c>
    </row>
    <row r="134" spans="1:72" x14ac:dyDescent="0.15">
      <c r="A134" t="s">
        <v>72</v>
      </c>
      <c r="B134" t="s">
        <v>2958</v>
      </c>
      <c r="C134" t="s">
        <v>74</v>
      </c>
      <c r="D134" t="s">
        <v>74</v>
      </c>
      <c r="E134" t="s">
        <v>74</v>
      </c>
      <c r="F134" t="s">
        <v>2959</v>
      </c>
      <c r="G134" t="s">
        <v>74</v>
      </c>
      <c r="H134" t="s">
        <v>74</v>
      </c>
      <c r="I134" t="s">
        <v>2960</v>
      </c>
      <c r="J134" t="s">
        <v>1065</v>
      </c>
      <c r="K134" t="s">
        <v>74</v>
      </c>
      <c r="L134" t="s">
        <v>74</v>
      </c>
      <c r="M134" t="s">
        <v>78</v>
      </c>
      <c r="N134" t="s">
        <v>1040</v>
      </c>
      <c r="O134" t="s">
        <v>74</v>
      </c>
      <c r="P134" t="s">
        <v>74</v>
      </c>
      <c r="Q134" t="s">
        <v>74</v>
      </c>
      <c r="R134" t="s">
        <v>74</v>
      </c>
      <c r="S134" t="s">
        <v>74</v>
      </c>
      <c r="T134" t="s">
        <v>2961</v>
      </c>
      <c r="U134" t="s">
        <v>2962</v>
      </c>
      <c r="V134" t="s">
        <v>74</v>
      </c>
      <c r="W134" t="s">
        <v>2963</v>
      </c>
      <c r="X134" t="s">
        <v>2964</v>
      </c>
      <c r="Y134" t="s">
        <v>2965</v>
      </c>
      <c r="Z134" t="s">
        <v>2966</v>
      </c>
      <c r="AA134" t="s">
        <v>2967</v>
      </c>
      <c r="AB134" t="s">
        <v>2968</v>
      </c>
      <c r="AC134" t="s">
        <v>2969</v>
      </c>
      <c r="AD134" t="s">
        <v>2970</v>
      </c>
      <c r="AE134" t="s">
        <v>2971</v>
      </c>
      <c r="AF134" t="s">
        <v>74</v>
      </c>
      <c r="AG134">
        <v>89</v>
      </c>
      <c r="AH134">
        <v>12</v>
      </c>
      <c r="AI134">
        <v>12</v>
      </c>
      <c r="AJ134">
        <v>4</v>
      </c>
      <c r="AK134">
        <v>19</v>
      </c>
      <c r="AL134" t="s">
        <v>1024</v>
      </c>
      <c r="AM134" t="s">
        <v>1025</v>
      </c>
      <c r="AN134" t="s">
        <v>1026</v>
      </c>
      <c r="AO134" t="s">
        <v>74</v>
      </c>
      <c r="AP134" t="s">
        <v>1078</v>
      </c>
      <c r="AQ134" t="s">
        <v>74</v>
      </c>
      <c r="AR134" t="s">
        <v>1079</v>
      </c>
      <c r="AS134" t="s">
        <v>1080</v>
      </c>
      <c r="AT134" t="s">
        <v>2953</v>
      </c>
      <c r="AU134">
        <v>2020</v>
      </c>
      <c r="AV134">
        <v>7</v>
      </c>
      <c r="AW134" t="s">
        <v>74</v>
      </c>
      <c r="AX134" t="s">
        <v>74</v>
      </c>
      <c r="AY134" t="s">
        <v>74</v>
      </c>
      <c r="AZ134" t="s">
        <v>74</v>
      </c>
      <c r="BA134" t="s">
        <v>74</v>
      </c>
      <c r="BB134" t="s">
        <v>74</v>
      </c>
      <c r="BC134" t="s">
        <v>74</v>
      </c>
      <c r="BD134">
        <v>468</v>
      </c>
      <c r="BE134" t="s">
        <v>2972</v>
      </c>
      <c r="BF134" t="str">
        <f>HYPERLINK("http://dx.doi.org/10.3389/fmars.2020.00468","http://dx.doi.org/10.3389/fmars.2020.00468")</f>
        <v>http://dx.doi.org/10.3389/fmars.2020.00468</v>
      </c>
      <c r="BG134" t="s">
        <v>74</v>
      </c>
      <c r="BH134" t="s">
        <v>74</v>
      </c>
      <c r="BI134">
        <v>11</v>
      </c>
      <c r="BJ134" t="s">
        <v>237</v>
      </c>
      <c r="BK134" t="s">
        <v>102</v>
      </c>
      <c r="BL134" t="s">
        <v>238</v>
      </c>
      <c r="BM134" t="s">
        <v>2973</v>
      </c>
      <c r="BN134" t="s">
        <v>74</v>
      </c>
      <c r="BO134" t="s">
        <v>2974</v>
      </c>
      <c r="BP134" t="s">
        <v>74</v>
      </c>
      <c r="BQ134" t="s">
        <v>74</v>
      </c>
      <c r="BR134" t="s">
        <v>106</v>
      </c>
      <c r="BS134" t="s">
        <v>2975</v>
      </c>
      <c r="BT134" t="str">
        <f>HYPERLINK("https%3A%2F%2Fwww.webofscience.com%2Fwos%2Fwoscc%2Ffull-record%2FWOS:000548590400001","View Full Record in Web of Science")</f>
        <v>View Full Record in Web of Science</v>
      </c>
    </row>
    <row r="135" spans="1:72" x14ac:dyDescent="0.15">
      <c r="A135" t="s">
        <v>72</v>
      </c>
      <c r="B135" t="s">
        <v>2976</v>
      </c>
      <c r="C135" t="s">
        <v>74</v>
      </c>
      <c r="D135" t="s">
        <v>74</v>
      </c>
      <c r="E135" t="s">
        <v>74</v>
      </c>
      <c r="F135" t="s">
        <v>2977</v>
      </c>
      <c r="G135" t="s">
        <v>74</v>
      </c>
      <c r="H135" t="s">
        <v>74</v>
      </c>
      <c r="I135" t="s">
        <v>2978</v>
      </c>
      <c r="J135" t="s">
        <v>1065</v>
      </c>
      <c r="K135" t="s">
        <v>74</v>
      </c>
      <c r="L135" t="s">
        <v>74</v>
      </c>
      <c r="M135" t="s">
        <v>78</v>
      </c>
      <c r="N135" t="s">
        <v>79</v>
      </c>
      <c r="O135" t="s">
        <v>74</v>
      </c>
      <c r="P135" t="s">
        <v>74</v>
      </c>
      <c r="Q135" t="s">
        <v>74</v>
      </c>
      <c r="R135" t="s">
        <v>74</v>
      </c>
      <c r="S135" t="s">
        <v>74</v>
      </c>
      <c r="T135" t="s">
        <v>2979</v>
      </c>
      <c r="U135" t="s">
        <v>2980</v>
      </c>
      <c r="V135" t="s">
        <v>2981</v>
      </c>
      <c r="W135" t="s">
        <v>2982</v>
      </c>
      <c r="X135" t="s">
        <v>2983</v>
      </c>
      <c r="Y135" t="s">
        <v>2984</v>
      </c>
      <c r="Z135" t="s">
        <v>2985</v>
      </c>
      <c r="AA135" t="s">
        <v>2986</v>
      </c>
      <c r="AB135" t="s">
        <v>2987</v>
      </c>
      <c r="AC135" t="s">
        <v>2988</v>
      </c>
      <c r="AD135" t="s">
        <v>2989</v>
      </c>
      <c r="AE135" t="s">
        <v>2990</v>
      </c>
      <c r="AF135" t="s">
        <v>74</v>
      </c>
      <c r="AG135">
        <v>83</v>
      </c>
      <c r="AH135">
        <v>18</v>
      </c>
      <c r="AI135">
        <v>24</v>
      </c>
      <c r="AJ135">
        <v>9</v>
      </c>
      <c r="AK135">
        <v>56</v>
      </c>
      <c r="AL135" t="s">
        <v>1024</v>
      </c>
      <c r="AM135" t="s">
        <v>1025</v>
      </c>
      <c r="AN135" t="s">
        <v>1026</v>
      </c>
      <c r="AO135" t="s">
        <v>74</v>
      </c>
      <c r="AP135" t="s">
        <v>1078</v>
      </c>
      <c r="AQ135" t="s">
        <v>74</v>
      </c>
      <c r="AR135" t="s">
        <v>1079</v>
      </c>
      <c r="AS135" t="s">
        <v>1080</v>
      </c>
      <c r="AT135" t="s">
        <v>2953</v>
      </c>
      <c r="AU135">
        <v>2020</v>
      </c>
      <c r="AV135">
        <v>7</v>
      </c>
      <c r="AW135" t="s">
        <v>74</v>
      </c>
      <c r="AX135" t="s">
        <v>74</v>
      </c>
      <c r="AY135" t="s">
        <v>74</v>
      </c>
      <c r="AZ135" t="s">
        <v>74</v>
      </c>
      <c r="BA135" t="s">
        <v>74</v>
      </c>
      <c r="BB135" t="s">
        <v>74</v>
      </c>
      <c r="BC135" t="s">
        <v>74</v>
      </c>
      <c r="BD135">
        <v>570</v>
      </c>
      <c r="BE135" t="s">
        <v>2991</v>
      </c>
      <c r="BF135" t="str">
        <f>HYPERLINK("http://dx.doi.org/10.3389/fmars.2020.00570","http://dx.doi.org/10.3389/fmars.2020.00570")</f>
        <v>http://dx.doi.org/10.3389/fmars.2020.00570</v>
      </c>
      <c r="BG135" t="s">
        <v>74</v>
      </c>
      <c r="BH135" t="s">
        <v>74</v>
      </c>
      <c r="BI135">
        <v>11</v>
      </c>
      <c r="BJ135" t="s">
        <v>237</v>
      </c>
      <c r="BK135" t="s">
        <v>102</v>
      </c>
      <c r="BL135" t="s">
        <v>238</v>
      </c>
      <c r="BM135" t="s">
        <v>2992</v>
      </c>
      <c r="BN135" t="s">
        <v>74</v>
      </c>
      <c r="BO135" t="s">
        <v>2993</v>
      </c>
      <c r="BP135" t="s">
        <v>74</v>
      </c>
      <c r="BQ135" t="s">
        <v>74</v>
      </c>
      <c r="BR135" t="s">
        <v>106</v>
      </c>
      <c r="BS135" t="s">
        <v>2994</v>
      </c>
      <c r="BT135" t="str">
        <f>HYPERLINK("https%3A%2F%2Fwww.webofscience.com%2Fwos%2Fwoscc%2Ffull-record%2FWOS:000548592800001","View Full Record in Web of Science")</f>
        <v>View Full Record in Web of Science</v>
      </c>
    </row>
    <row r="136" spans="1:72" x14ac:dyDescent="0.15">
      <c r="A136" t="s">
        <v>72</v>
      </c>
      <c r="B136" t="s">
        <v>2995</v>
      </c>
      <c r="C136" t="s">
        <v>74</v>
      </c>
      <c r="D136" t="s">
        <v>74</v>
      </c>
      <c r="E136" t="s">
        <v>74</v>
      </c>
      <c r="F136" t="s">
        <v>2996</v>
      </c>
      <c r="G136" t="s">
        <v>74</v>
      </c>
      <c r="H136" t="s">
        <v>74</v>
      </c>
      <c r="I136" t="s">
        <v>2997</v>
      </c>
      <c r="J136" t="s">
        <v>2998</v>
      </c>
      <c r="K136" t="s">
        <v>74</v>
      </c>
      <c r="L136" t="s">
        <v>74</v>
      </c>
      <c r="M136" t="s">
        <v>78</v>
      </c>
      <c r="N136" t="s">
        <v>245</v>
      </c>
      <c r="O136" t="s">
        <v>74</v>
      </c>
      <c r="P136" t="s">
        <v>74</v>
      </c>
      <c r="Q136" t="s">
        <v>74</v>
      </c>
      <c r="R136" t="s">
        <v>74</v>
      </c>
      <c r="S136" t="s">
        <v>74</v>
      </c>
      <c r="T136" t="s">
        <v>2999</v>
      </c>
      <c r="U136" t="s">
        <v>3000</v>
      </c>
      <c r="V136" t="s">
        <v>3001</v>
      </c>
      <c r="W136" t="s">
        <v>3002</v>
      </c>
      <c r="X136" t="s">
        <v>3003</v>
      </c>
      <c r="Y136" t="s">
        <v>3004</v>
      </c>
      <c r="Z136" t="s">
        <v>3005</v>
      </c>
      <c r="AA136" t="s">
        <v>74</v>
      </c>
      <c r="AB136" t="s">
        <v>3006</v>
      </c>
      <c r="AC136" t="s">
        <v>3007</v>
      </c>
      <c r="AD136" t="s">
        <v>3008</v>
      </c>
      <c r="AE136" t="s">
        <v>3009</v>
      </c>
      <c r="AF136" t="s">
        <v>74</v>
      </c>
      <c r="AG136">
        <v>113</v>
      </c>
      <c r="AH136">
        <v>20</v>
      </c>
      <c r="AI136">
        <v>23</v>
      </c>
      <c r="AJ136">
        <v>8</v>
      </c>
      <c r="AK136">
        <v>77</v>
      </c>
      <c r="AL136" t="s">
        <v>1440</v>
      </c>
      <c r="AM136" t="s">
        <v>399</v>
      </c>
      <c r="AN136" t="s">
        <v>1441</v>
      </c>
      <c r="AO136" t="s">
        <v>3010</v>
      </c>
      <c r="AP136" t="s">
        <v>3011</v>
      </c>
      <c r="AQ136" t="s">
        <v>74</v>
      </c>
      <c r="AR136" t="s">
        <v>3012</v>
      </c>
      <c r="AS136" t="s">
        <v>3013</v>
      </c>
      <c r="AT136" t="s">
        <v>1930</v>
      </c>
      <c r="AU136">
        <v>2020</v>
      </c>
      <c r="AV136">
        <v>104</v>
      </c>
      <c r="AW136">
        <v>17</v>
      </c>
      <c r="AX136" t="s">
        <v>74</v>
      </c>
      <c r="AY136" t="s">
        <v>74</v>
      </c>
      <c r="AZ136" t="s">
        <v>74</v>
      </c>
      <c r="BA136" t="s">
        <v>74</v>
      </c>
      <c r="BB136">
        <v>7247</v>
      </c>
      <c r="BC136">
        <v>7260</v>
      </c>
      <c r="BD136" t="s">
        <v>74</v>
      </c>
      <c r="BE136" t="s">
        <v>3014</v>
      </c>
      <c r="BF136" t="str">
        <f>HYPERLINK("http://dx.doi.org/10.1007/s00253-020-10769-8","http://dx.doi.org/10.1007/s00253-020-10769-8")</f>
        <v>http://dx.doi.org/10.1007/s00253-020-10769-8</v>
      </c>
      <c r="BG136" t="s">
        <v>74</v>
      </c>
      <c r="BH136" t="s">
        <v>1003</v>
      </c>
      <c r="BI136">
        <v>14</v>
      </c>
      <c r="BJ136" t="s">
        <v>2194</v>
      </c>
      <c r="BK136" t="s">
        <v>102</v>
      </c>
      <c r="BL136" t="s">
        <v>2194</v>
      </c>
      <c r="BM136" t="s">
        <v>3015</v>
      </c>
      <c r="BN136">
        <v>32666183</v>
      </c>
      <c r="BO136" t="s">
        <v>74</v>
      </c>
      <c r="BP136" t="s">
        <v>74</v>
      </c>
      <c r="BQ136" t="s">
        <v>74</v>
      </c>
      <c r="BR136" t="s">
        <v>106</v>
      </c>
      <c r="BS136" t="s">
        <v>3016</v>
      </c>
      <c r="BT136" t="str">
        <f>HYPERLINK("https%3A%2F%2Fwww.webofscience.com%2Fwos%2Fwoscc%2Ffull-record%2FWOS:000548506600002","View Full Record in Web of Science")</f>
        <v>View Full Record in Web of Science</v>
      </c>
    </row>
    <row r="137" spans="1:72" x14ac:dyDescent="0.15">
      <c r="A137" t="s">
        <v>72</v>
      </c>
      <c r="B137" t="s">
        <v>3017</v>
      </c>
      <c r="C137" t="s">
        <v>74</v>
      </c>
      <c r="D137" t="s">
        <v>74</v>
      </c>
      <c r="E137" t="s">
        <v>74</v>
      </c>
      <c r="F137" t="s">
        <v>3018</v>
      </c>
      <c r="G137" t="s">
        <v>74</v>
      </c>
      <c r="H137" t="s">
        <v>74</v>
      </c>
      <c r="I137" t="s">
        <v>3019</v>
      </c>
      <c r="J137" t="s">
        <v>3020</v>
      </c>
      <c r="K137" t="s">
        <v>74</v>
      </c>
      <c r="L137" t="s">
        <v>74</v>
      </c>
      <c r="M137" t="s">
        <v>78</v>
      </c>
      <c r="N137" t="s">
        <v>79</v>
      </c>
      <c r="O137" t="s">
        <v>74</v>
      </c>
      <c r="P137" t="s">
        <v>74</v>
      </c>
      <c r="Q137" t="s">
        <v>74</v>
      </c>
      <c r="R137" t="s">
        <v>74</v>
      </c>
      <c r="S137" t="s">
        <v>74</v>
      </c>
      <c r="T137" t="s">
        <v>3021</v>
      </c>
      <c r="U137" t="s">
        <v>3022</v>
      </c>
      <c r="V137" t="s">
        <v>3023</v>
      </c>
      <c r="W137" t="s">
        <v>3024</v>
      </c>
      <c r="X137" t="s">
        <v>3025</v>
      </c>
      <c r="Y137" t="s">
        <v>3026</v>
      </c>
      <c r="Z137" t="s">
        <v>3027</v>
      </c>
      <c r="AA137" t="s">
        <v>3028</v>
      </c>
      <c r="AB137" t="s">
        <v>3029</v>
      </c>
      <c r="AC137" t="s">
        <v>3030</v>
      </c>
      <c r="AD137" t="s">
        <v>3031</v>
      </c>
      <c r="AE137" t="s">
        <v>3032</v>
      </c>
      <c r="AF137" t="s">
        <v>74</v>
      </c>
      <c r="AG137">
        <v>38</v>
      </c>
      <c r="AH137">
        <v>2</v>
      </c>
      <c r="AI137">
        <v>2</v>
      </c>
      <c r="AJ137">
        <v>1</v>
      </c>
      <c r="AK137">
        <v>6</v>
      </c>
      <c r="AL137" t="s">
        <v>994</v>
      </c>
      <c r="AM137" t="s">
        <v>995</v>
      </c>
      <c r="AN137" t="s">
        <v>996</v>
      </c>
      <c r="AO137" t="s">
        <v>3033</v>
      </c>
      <c r="AP137" t="s">
        <v>3034</v>
      </c>
      <c r="AQ137" t="s">
        <v>74</v>
      </c>
      <c r="AR137" t="s">
        <v>3035</v>
      </c>
      <c r="AS137" t="s">
        <v>3036</v>
      </c>
      <c r="AT137" t="s">
        <v>1653</v>
      </c>
      <c r="AU137">
        <v>2021</v>
      </c>
      <c r="AV137">
        <v>41</v>
      </c>
      <c r="AW137" t="s">
        <v>74</v>
      </c>
      <c r="AX137" t="s">
        <v>74</v>
      </c>
      <c r="AY137">
        <v>1</v>
      </c>
      <c r="AZ137" t="s">
        <v>74</v>
      </c>
      <c r="BA137" t="s">
        <v>74</v>
      </c>
      <c r="BB137" t="s">
        <v>3037</v>
      </c>
      <c r="BC137" t="s">
        <v>3038</v>
      </c>
      <c r="BD137" t="s">
        <v>74</v>
      </c>
      <c r="BE137" t="s">
        <v>3039</v>
      </c>
      <c r="BF137" t="str">
        <f>HYPERLINK("http://dx.doi.org/10.1002/joc.6718","http://dx.doi.org/10.1002/joc.6718")</f>
        <v>http://dx.doi.org/10.1002/joc.6718</v>
      </c>
      <c r="BG137" t="s">
        <v>74</v>
      </c>
      <c r="BH137" t="s">
        <v>1003</v>
      </c>
      <c r="BI137">
        <v>18</v>
      </c>
      <c r="BJ137" t="s">
        <v>159</v>
      </c>
      <c r="BK137" t="s">
        <v>102</v>
      </c>
      <c r="BL137" t="s">
        <v>159</v>
      </c>
      <c r="BM137" t="s">
        <v>3040</v>
      </c>
      <c r="BN137" t="s">
        <v>74</v>
      </c>
      <c r="BO137" t="s">
        <v>3041</v>
      </c>
      <c r="BP137" t="s">
        <v>74</v>
      </c>
      <c r="BQ137" t="s">
        <v>74</v>
      </c>
      <c r="BR137" t="s">
        <v>106</v>
      </c>
      <c r="BS137" t="s">
        <v>3042</v>
      </c>
      <c r="BT137" t="str">
        <f>HYPERLINK("https%3A%2F%2Fwww.webofscience.com%2Fwos%2Fwoscc%2Ffull-record%2FWOS:000548421200001","View Full Record in Web of Science")</f>
        <v>View Full Record in Web of Science</v>
      </c>
    </row>
    <row r="138" spans="1:72" x14ac:dyDescent="0.15">
      <c r="A138" t="s">
        <v>72</v>
      </c>
      <c r="B138" t="s">
        <v>3043</v>
      </c>
      <c r="C138" t="s">
        <v>74</v>
      </c>
      <c r="D138" t="s">
        <v>74</v>
      </c>
      <c r="E138" t="s">
        <v>74</v>
      </c>
      <c r="F138" t="s">
        <v>3044</v>
      </c>
      <c r="G138" t="s">
        <v>74</v>
      </c>
      <c r="H138" t="s">
        <v>74</v>
      </c>
      <c r="I138" t="s">
        <v>3045</v>
      </c>
      <c r="J138" t="s">
        <v>3046</v>
      </c>
      <c r="K138" t="s">
        <v>74</v>
      </c>
      <c r="L138" t="s">
        <v>74</v>
      </c>
      <c r="M138" t="s">
        <v>78</v>
      </c>
      <c r="N138" t="s">
        <v>79</v>
      </c>
      <c r="O138" t="s">
        <v>74</v>
      </c>
      <c r="P138" t="s">
        <v>74</v>
      </c>
      <c r="Q138" t="s">
        <v>74</v>
      </c>
      <c r="R138" t="s">
        <v>74</v>
      </c>
      <c r="S138" t="s">
        <v>74</v>
      </c>
      <c r="T138" t="s">
        <v>3047</v>
      </c>
      <c r="U138" t="s">
        <v>3048</v>
      </c>
      <c r="V138" t="s">
        <v>3049</v>
      </c>
      <c r="W138" t="s">
        <v>3050</v>
      </c>
      <c r="X138" t="s">
        <v>3051</v>
      </c>
      <c r="Y138" t="s">
        <v>3052</v>
      </c>
      <c r="Z138" t="s">
        <v>3053</v>
      </c>
      <c r="AA138" t="s">
        <v>74</v>
      </c>
      <c r="AB138" t="s">
        <v>3054</v>
      </c>
      <c r="AC138" t="s">
        <v>3055</v>
      </c>
      <c r="AD138" t="s">
        <v>3055</v>
      </c>
      <c r="AE138" t="s">
        <v>3056</v>
      </c>
      <c r="AF138" t="s">
        <v>74</v>
      </c>
      <c r="AG138">
        <v>67</v>
      </c>
      <c r="AH138">
        <v>1</v>
      </c>
      <c r="AI138">
        <v>1</v>
      </c>
      <c r="AJ138">
        <v>0</v>
      </c>
      <c r="AK138">
        <v>1</v>
      </c>
      <c r="AL138" t="s">
        <v>994</v>
      </c>
      <c r="AM138" t="s">
        <v>995</v>
      </c>
      <c r="AN138" t="s">
        <v>996</v>
      </c>
      <c r="AO138" t="s">
        <v>3057</v>
      </c>
      <c r="AP138" t="s">
        <v>3058</v>
      </c>
      <c r="AQ138" t="s">
        <v>74</v>
      </c>
      <c r="AR138" t="s">
        <v>3059</v>
      </c>
      <c r="AS138" t="s">
        <v>3060</v>
      </c>
      <c r="AT138" t="s">
        <v>1930</v>
      </c>
      <c r="AU138">
        <v>2020</v>
      </c>
      <c r="AV138">
        <v>43</v>
      </c>
      <c r="AW138">
        <v>9</v>
      </c>
      <c r="AX138" t="s">
        <v>74</v>
      </c>
      <c r="AY138" t="s">
        <v>74</v>
      </c>
      <c r="AZ138" t="s">
        <v>74</v>
      </c>
      <c r="BA138" t="s">
        <v>74</v>
      </c>
      <c r="BB138">
        <v>1065</v>
      </c>
      <c r="BC138">
        <v>1076</v>
      </c>
      <c r="BD138" t="s">
        <v>74</v>
      </c>
      <c r="BE138" t="s">
        <v>3061</v>
      </c>
      <c r="BF138" t="str">
        <f>HYPERLINK("http://dx.doi.org/10.1111/jfd.13216","http://dx.doi.org/10.1111/jfd.13216")</f>
        <v>http://dx.doi.org/10.1111/jfd.13216</v>
      </c>
      <c r="BG138" t="s">
        <v>74</v>
      </c>
      <c r="BH138" t="s">
        <v>1003</v>
      </c>
      <c r="BI138">
        <v>12</v>
      </c>
      <c r="BJ138" t="s">
        <v>3062</v>
      </c>
      <c r="BK138" t="s">
        <v>102</v>
      </c>
      <c r="BL138" t="s">
        <v>3062</v>
      </c>
      <c r="BM138" t="s">
        <v>3063</v>
      </c>
      <c r="BN138">
        <v>32666528</v>
      </c>
      <c r="BO138" t="s">
        <v>74</v>
      </c>
      <c r="BP138" t="s">
        <v>74</v>
      </c>
      <c r="BQ138" t="s">
        <v>74</v>
      </c>
      <c r="BR138" t="s">
        <v>106</v>
      </c>
      <c r="BS138" t="s">
        <v>3064</v>
      </c>
      <c r="BT138" t="str">
        <f>HYPERLINK("https%3A%2F%2Fwww.webofscience.com%2Fwos%2Fwoscc%2Ffull-record%2FWOS:000548106200001","View Full Record in Web of Science")</f>
        <v>View Full Record in Web of Science</v>
      </c>
    </row>
    <row r="139" spans="1:72" x14ac:dyDescent="0.15">
      <c r="A139" t="s">
        <v>72</v>
      </c>
      <c r="B139" t="s">
        <v>3065</v>
      </c>
      <c r="C139" t="s">
        <v>74</v>
      </c>
      <c r="D139" t="s">
        <v>74</v>
      </c>
      <c r="E139" t="s">
        <v>74</v>
      </c>
      <c r="F139" t="s">
        <v>3066</v>
      </c>
      <c r="G139" t="s">
        <v>74</v>
      </c>
      <c r="H139" t="s">
        <v>74</v>
      </c>
      <c r="I139" t="s">
        <v>3067</v>
      </c>
      <c r="J139" t="s">
        <v>3068</v>
      </c>
      <c r="K139" t="s">
        <v>74</v>
      </c>
      <c r="L139" t="s">
        <v>74</v>
      </c>
      <c r="M139" t="s">
        <v>78</v>
      </c>
      <c r="N139" t="s">
        <v>79</v>
      </c>
      <c r="O139" t="s">
        <v>74</v>
      </c>
      <c r="P139" t="s">
        <v>74</v>
      </c>
      <c r="Q139" t="s">
        <v>74</v>
      </c>
      <c r="R139" t="s">
        <v>74</v>
      </c>
      <c r="S139" t="s">
        <v>74</v>
      </c>
      <c r="T139" t="s">
        <v>3069</v>
      </c>
      <c r="U139" t="s">
        <v>3070</v>
      </c>
      <c r="V139" t="s">
        <v>3071</v>
      </c>
      <c r="W139" t="s">
        <v>3072</v>
      </c>
      <c r="X139" t="s">
        <v>3073</v>
      </c>
      <c r="Y139" t="s">
        <v>3074</v>
      </c>
      <c r="Z139" t="s">
        <v>3075</v>
      </c>
      <c r="AA139" t="s">
        <v>74</v>
      </c>
      <c r="AB139" t="s">
        <v>74</v>
      </c>
      <c r="AC139" t="s">
        <v>3076</v>
      </c>
      <c r="AD139" t="s">
        <v>3077</v>
      </c>
      <c r="AE139" t="s">
        <v>3078</v>
      </c>
      <c r="AF139" t="s">
        <v>74</v>
      </c>
      <c r="AG139">
        <v>73</v>
      </c>
      <c r="AH139">
        <v>5</v>
      </c>
      <c r="AI139">
        <v>6</v>
      </c>
      <c r="AJ139">
        <v>2</v>
      </c>
      <c r="AK139">
        <v>36</v>
      </c>
      <c r="AL139" t="s">
        <v>3079</v>
      </c>
      <c r="AM139" t="s">
        <v>3080</v>
      </c>
      <c r="AN139" t="s">
        <v>3081</v>
      </c>
      <c r="AO139" t="s">
        <v>3082</v>
      </c>
      <c r="AP139" t="s">
        <v>3083</v>
      </c>
      <c r="AQ139" t="s">
        <v>74</v>
      </c>
      <c r="AR139" t="s">
        <v>3084</v>
      </c>
      <c r="AS139" t="s">
        <v>3085</v>
      </c>
      <c r="AT139" t="s">
        <v>2953</v>
      </c>
      <c r="AU139">
        <v>2020</v>
      </c>
      <c r="AV139">
        <v>39</v>
      </c>
      <c r="AW139" t="s">
        <v>74</v>
      </c>
      <c r="AX139" t="s">
        <v>74</v>
      </c>
      <c r="AY139" t="s">
        <v>74</v>
      </c>
      <c r="AZ139" t="s">
        <v>74</v>
      </c>
      <c r="BA139" t="s">
        <v>74</v>
      </c>
      <c r="BB139" t="s">
        <v>74</v>
      </c>
      <c r="BC139" t="s">
        <v>74</v>
      </c>
      <c r="BD139" t="s">
        <v>74</v>
      </c>
      <c r="BE139" t="s">
        <v>3086</v>
      </c>
      <c r="BF139" t="str">
        <f>HYPERLINK("http://dx.doi.org/10.33265/polar.v39.3557","http://dx.doi.org/10.33265/polar.v39.3557")</f>
        <v>http://dx.doi.org/10.33265/polar.v39.3557</v>
      </c>
      <c r="BG139" t="s">
        <v>74</v>
      </c>
      <c r="BH139" t="s">
        <v>74</v>
      </c>
      <c r="BI139">
        <v>15</v>
      </c>
      <c r="BJ139" t="s">
        <v>3087</v>
      </c>
      <c r="BK139" t="s">
        <v>102</v>
      </c>
      <c r="BL139" t="s">
        <v>3088</v>
      </c>
      <c r="BM139" t="s">
        <v>3089</v>
      </c>
      <c r="BN139" t="s">
        <v>74</v>
      </c>
      <c r="BO139" t="s">
        <v>105</v>
      </c>
      <c r="BP139" t="s">
        <v>74</v>
      </c>
      <c r="BQ139" t="s">
        <v>74</v>
      </c>
      <c r="BR139" t="s">
        <v>106</v>
      </c>
      <c r="BS139" t="s">
        <v>3090</v>
      </c>
      <c r="BT139" t="str">
        <f>HYPERLINK("https%3A%2F%2Fwww.webofscience.com%2Fwos%2Fwoscc%2Ffull-record%2FWOS:000548110800001","View Full Record in Web of Science")</f>
        <v>View Full Record in Web of Science</v>
      </c>
    </row>
    <row r="140" spans="1:72" x14ac:dyDescent="0.15">
      <c r="A140" t="s">
        <v>72</v>
      </c>
      <c r="B140" t="s">
        <v>3091</v>
      </c>
      <c r="C140" t="s">
        <v>74</v>
      </c>
      <c r="D140" t="s">
        <v>74</v>
      </c>
      <c r="E140" t="s">
        <v>74</v>
      </c>
      <c r="F140" t="s">
        <v>3092</v>
      </c>
      <c r="G140" t="s">
        <v>74</v>
      </c>
      <c r="H140" t="s">
        <v>74</v>
      </c>
      <c r="I140" t="s">
        <v>3093</v>
      </c>
      <c r="J140" t="s">
        <v>3094</v>
      </c>
      <c r="K140" t="s">
        <v>74</v>
      </c>
      <c r="L140" t="s">
        <v>74</v>
      </c>
      <c r="M140" t="s">
        <v>78</v>
      </c>
      <c r="N140" t="s">
        <v>79</v>
      </c>
      <c r="O140" t="s">
        <v>74</v>
      </c>
      <c r="P140" t="s">
        <v>74</v>
      </c>
      <c r="Q140" t="s">
        <v>74</v>
      </c>
      <c r="R140" t="s">
        <v>74</v>
      </c>
      <c r="S140" t="s">
        <v>74</v>
      </c>
      <c r="T140" t="s">
        <v>74</v>
      </c>
      <c r="U140" t="s">
        <v>3095</v>
      </c>
      <c r="V140" t="s">
        <v>3096</v>
      </c>
      <c r="W140" t="s">
        <v>3097</v>
      </c>
      <c r="X140" t="s">
        <v>3098</v>
      </c>
      <c r="Y140" t="s">
        <v>3099</v>
      </c>
      <c r="Z140" t="s">
        <v>3100</v>
      </c>
      <c r="AA140" t="s">
        <v>3101</v>
      </c>
      <c r="AB140" t="s">
        <v>3102</v>
      </c>
      <c r="AC140" t="s">
        <v>3103</v>
      </c>
      <c r="AD140" t="s">
        <v>3104</v>
      </c>
      <c r="AE140" t="s">
        <v>3105</v>
      </c>
      <c r="AF140" t="s">
        <v>74</v>
      </c>
      <c r="AG140">
        <v>72</v>
      </c>
      <c r="AH140">
        <v>39</v>
      </c>
      <c r="AI140">
        <v>41</v>
      </c>
      <c r="AJ140">
        <v>4</v>
      </c>
      <c r="AK140">
        <v>30</v>
      </c>
      <c r="AL140" t="s">
        <v>1049</v>
      </c>
      <c r="AM140" t="s">
        <v>1050</v>
      </c>
      <c r="AN140" t="s">
        <v>1051</v>
      </c>
      <c r="AO140" t="s">
        <v>3106</v>
      </c>
      <c r="AP140" t="s">
        <v>3107</v>
      </c>
      <c r="AQ140" t="s">
        <v>74</v>
      </c>
      <c r="AR140" t="s">
        <v>3108</v>
      </c>
      <c r="AS140" t="s">
        <v>3109</v>
      </c>
      <c r="AT140" t="s">
        <v>2953</v>
      </c>
      <c r="AU140">
        <v>2020</v>
      </c>
      <c r="AV140">
        <v>11</v>
      </c>
      <c r="AW140">
        <v>3</v>
      </c>
      <c r="AX140" t="s">
        <v>74</v>
      </c>
      <c r="AY140" t="s">
        <v>74</v>
      </c>
      <c r="AZ140" t="s">
        <v>74</v>
      </c>
      <c r="BA140" t="s">
        <v>74</v>
      </c>
      <c r="BB140">
        <v>579</v>
      </c>
      <c r="BC140">
        <v>601</v>
      </c>
      <c r="BD140" t="s">
        <v>74</v>
      </c>
      <c r="BE140" t="s">
        <v>3110</v>
      </c>
      <c r="BF140" t="str">
        <f>HYPERLINK("http://dx.doi.org/10.5194/esd-11-579-2020","http://dx.doi.org/10.5194/esd-11-579-2020")</f>
        <v>http://dx.doi.org/10.5194/esd-11-579-2020</v>
      </c>
      <c r="BG140" t="s">
        <v>74</v>
      </c>
      <c r="BH140" t="s">
        <v>74</v>
      </c>
      <c r="BI140">
        <v>23</v>
      </c>
      <c r="BJ140" t="s">
        <v>471</v>
      </c>
      <c r="BK140" t="s">
        <v>102</v>
      </c>
      <c r="BL140" t="s">
        <v>472</v>
      </c>
      <c r="BM140" t="s">
        <v>3111</v>
      </c>
      <c r="BN140" t="s">
        <v>74</v>
      </c>
      <c r="BO140" t="s">
        <v>1060</v>
      </c>
      <c r="BP140" t="s">
        <v>74</v>
      </c>
      <c r="BQ140" t="s">
        <v>74</v>
      </c>
      <c r="BR140" t="s">
        <v>106</v>
      </c>
      <c r="BS140" t="s">
        <v>3112</v>
      </c>
      <c r="BT140" t="str">
        <f>HYPERLINK("https%3A%2F%2Fwww.webofscience.com%2Fwos%2Fwoscc%2Ffull-record%2FWOS:000550829300001","View Full Record in Web of Science")</f>
        <v>View Full Record in Web of Science</v>
      </c>
    </row>
    <row r="141" spans="1:72" x14ac:dyDescent="0.15">
      <c r="A141" t="s">
        <v>72</v>
      </c>
      <c r="B141" t="s">
        <v>3113</v>
      </c>
      <c r="C141" t="s">
        <v>74</v>
      </c>
      <c r="D141" t="s">
        <v>74</v>
      </c>
      <c r="E141" t="s">
        <v>74</v>
      </c>
      <c r="F141" t="s">
        <v>3114</v>
      </c>
      <c r="G141" t="s">
        <v>74</v>
      </c>
      <c r="H141" t="s">
        <v>74</v>
      </c>
      <c r="I141" t="s">
        <v>3115</v>
      </c>
      <c r="J141" t="s">
        <v>1106</v>
      </c>
      <c r="K141" t="s">
        <v>74</v>
      </c>
      <c r="L141" t="s">
        <v>74</v>
      </c>
      <c r="M141" t="s">
        <v>78</v>
      </c>
      <c r="N141" t="s">
        <v>79</v>
      </c>
      <c r="O141" t="s">
        <v>74</v>
      </c>
      <c r="P141" t="s">
        <v>74</v>
      </c>
      <c r="Q141" t="s">
        <v>74</v>
      </c>
      <c r="R141" t="s">
        <v>74</v>
      </c>
      <c r="S141" t="s">
        <v>74</v>
      </c>
      <c r="T141" t="s">
        <v>74</v>
      </c>
      <c r="U141" t="s">
        <v>3116</v>
      </c>
      <c r="V141" t="s">
        <v>3117</v>
      </c>
      <c r="W141" t="s">
        <v>3118</v>
      </c>
      <c r="X141" t="s">
        <v>3119</v>
      </c>
      <c r="Y141" t="s">
        <v>3120</v>
      </c>
      <c r="Z141" t="s">
        <v>3121</v>
      </c>
      <c r="AA141" t="s">
        <v>3122</v>
      </c>
      <c r="AB141" t="s">
        <v>3123</v>
      </c>
      <c r="AC141" t="s">
        <v>3124</v>
      </c>
      <c r="AD141" t="s">
        <v>3125</v>
      </c>
      <c r="AE141" t="s">
        <v>3126</v>
      </c>
      <c r="AF141" t="s">
        <v>74</v>
      </c>
      <c r="AG141">
        <v>105</v>
      </c>
      <c r="AH141">
        <v>16</v>
      </c>
      <c r="AI141">
        <v>18</v>
      </c>
      <c r="AJ141">
        <v>0</v>
      </c>
      <c r="AK141">
        <v>10</v>
      </c>
      <c r="AL141" t="s">
        <v>1118</v>
      </c>
      <c r="AM141" t="s">
        <v>1119</v>
      </c>
      <c r="AN141" t="s">
        <v>1120</v>
      </c>
      <c r="AO141" t="s">
        <v>1121</v>
      </c>
      <c r="AP141" t="s">
        <v>74</v>
      </c>
      <c r="AQ141" t="s">
        <v>74</v>
      </c>
      <c r="AR141" t="s">
        <v>1122</v>
      </c>
      <c r="AS141" t="s">
        <v>1123</v>
      </c>
      <c r="AT141" t="s">
        <v>3127</v>
      </c>
      <c r="AU141">
        <v>2020</v>
      </c>
      <c r="AV141">
        <v>10</v>
      </c>
      <c r="AW141">
        <v>1</v>
      </c>
      <c r="AX141" t="s">
        <v>74</v>
      </c>
      <c r="AY141" t="s">
        <v>74</v>
      </c>
      <c r="AZ141" t="s">
        <v>74</v>
      </c>
      <c r="BA141" t="s">
        <v>74</v>
      </c>
      <c r="BB141" t="s">
        <v>74</v>
      </c>
      <c r="BC141" t="s">
        <v>74</v>
      </c>
      <c r="BD141">
        <v>11522</v>
      </c>
      <c r="BE141" t="s">
        <v>3128</v>
      </c>
      <c r="BF141" t="str">
        <f>HYPERLINK("http://dx.doi.org/10.1038/s41598-020-68563-5","http://dx.doi.org/10.1038/s41598-020-68563-5")</f>
        <v>http://dx.doi.org/10.1038/s41598-020-68563-5</v>
      </c>
      <c r="BG141" t="s">
        <v>74</v>
      </c>
      <c r="BH141" t="s">
        <v>74</v>
      </c>
      <c r="BI141">
        <v>14</v>
      </c>
      <c r="BJ141" t="s">
        <v>1125</v>
      </c>
      <c r="BK141" t="s">
        <v>102</v>
      </c>
      <c r="BL141" t="s">
        <v>1126</v>
      </c>
      <c r="BM141" t="s">
        <v>3129</v>
      </c>
      <c r="BN141">
        <v>32661280</v>
      </c>
      <c r="BO141" t="s">
        <v>161</v>
      </c>
      <c r="BP141" t="s">
        <v>74</v>
      </c>
      <c r="BQ141" t="s">
        <v>74</v>
      </c>
      <c r="BR141" t="s">
        <v>106</v>
      </c>
      <c r="BS141" t="s">
        <v>3130</v>
      </c>
      <c r="BT141" t="str">
        <f>HYPERLINK("https%3A%2F%2Fwww.webofscience.com%2Fwos%2Fwoscc%2Ffull-record%2FWOS:000550581500003","View Full Record in Web of Science")</f>
        <v>View Full Record in Web of Science</v>
      </c>
    </row>
    <row r="142" spans="1:72" x14ac:dyDescent="0.15">
      <c r="A142" t="s">
        <v>72</v>
      </c>
      <c r="B142" t="s">
        <v>3131</v>
      </c>
      <c r="C142" t="s">
        <v>74</v>
      </c>
      <c r="D142" t="s">
        <v>74</v>
      </c>
      <c r="E142" t="s">
        <v>74</v>
      </c>
      <c r="F142" t="s">
        <v>3132</v>
      </c>
      <c r="G142" t="s">
        <v>74</v>
      </c>
      <c r="H142" t="s">
        <v>74</v>
      </c>
      <c r="I142" t="s">
        <v>3133</v>
      </c>
      <c r="J142" t="s">
        <v>2051</v>
      </c>
      <c r="K142" t="s">
        <v>74</v>
      </c>
      <c r="L142" t="s">
        <v>74</v>
      </c>
      <c r="M142" t="s">
        <v>78</v>
      </c>
      <c r="N142" t="s">
        <v>79</v>
      </c>
      <c r="O142" t="s">
        <v>74</v>
      </c>
      <c r="P142" t="s">
        <v>74</v>
      </c>
      <c r="Q142" t="s">
        <v>74</v>
      </c>
      <c r="R142" t="s">
        <v>74</v>
      </c>
      <c r="S142" t="s">
        <v>74</v>
      </c>
      <c r="T142" t="s">
        <v>74</v>
      </c>
      <c r="U142" t="s">
        <v>3134</v>
      </c>
      <c r="V142" t="s">
        <v>3135</v>
      </c>
      <c r="W142" t="s">
        <v>3136</v>
      </c>
      <c r="X142" t="s">
        <v>3137</v>
      </c>
      <c r="Y142" t="s">
        <v>3138</v>
      </c>
      <c r="Z142" t="s">
        <v>3139</v>
      </c>
      <c r="AA142" t="s">
        <v>3140</v>
      </c>
      <c r="AB142" t="s">
        <v>3141</v>
      </c>
      <c r="AC142" t="s">
        <v>3142</v>
      </c>
      <c r="AD142" t="s">
        <v>3143</v>
      </c>
      <c r="AE142" t="s">
        <v>3144</v>
      </c>
      <c r="AF142" t="s">
        <v>74</v>
      </c>
      <c r="AG142">
        <v>82</v>
      </c>
      <c r="AH142">
        <v>9</v>
      </c>
      <c r="AI142">
        <v>9</v>
      </c>
      <c r="AJ142">
        <v>0</v>
      </c>
      <c r="AK142">
        <v>7</v>
      </c>
      <c r="AL142" t="s">
        <v>1049</v>
      </c>
      <c r="AM142" t="s">
        <v>1050</v>
      </c>
      <c r="AN142" t="s">
        <v>1051</v>
      </c>
      <c r="AO142" t="s">
        <v>2063</v>
      </c>
      <c r="AP142" t="s">
        <v>2064</v>
      </c>
      <c r="AQ142" t="s">
        <v>74</v>
      </c>
      <c r="AR142" t="s">
        <v>2065</v>
      </c>
      <c r="AS142" t="s">
        <v>2066</v>
      </c>
      <c r="AT142" t="s">
        <v>3127</v>
      </c>
      <c r="AU142">
        <v>2020</v>
      </c>
      <c r="AV142">
        <v>20</v>
      </c>
      <c r="AW142">
        <v>13</v>
      </c>
      <c r="AX142" t="s">
        <v>74</v>
      </c>
      <c r="AY142" t="s">
        <v>74</v>
      </c>
      <c r="AZ142" t="s">
        <v>74</v>
      </c>
      <c r="BA142" t="s">
        <v>74</v>
      </c>
      <c r="BB142">
        <v>8083</v>
      </c>
      <c r="BC142">
        <v>8102</v>
      </c>
      <c r="BD142" t="s">
        <v>74</v>
      </c>
      <c r="BE142" t="s">
        <v>3145</v>
      </c>
      <c r="BF142" t="str">
        <f>HYPERLINK("http://dx.doi.org/10.5194/acp-20-8083-2020","http://dx.doi.org/10.5194/acp-20-8083-2020")</f>
        <v>http://dx.doi.org/10.5194/acp-20-8083-2020</v>
      </c>
      <c r="BG142" t="s">
        <v>74</v>
      </c>
      <c r="BH142" t="s">
        <v>74</v>
      </c>
      <c r="BI142">
        <v>20</v>
      </c>
      <c r="BJ142" t="s">
        <v>2068</v>
      </c>
      <c r="BK142" t="s">
        <v>102</v>
      </c>
      <c r="BL142" t="s">
        <v>2069</v>
      </c>
      <c r="BM142" t="s">
        <v>3146</v>
      </c>
      <c r="BN142" t="s">
        <v>74</v>
      </c>
      <c r="BO142" t="s">
        <v>3147</v>
      </c>
      <c r="BP142" t="s">
        <v>74</v>
      </c>
      <c r="BQ142" t="s">
        <v>74</v>
      </c>
      <c r="BR142" t="s">
        <v>106</v>
      </c>
      <c r="BS142" t="s">
        <v>3148</v>
      </c>
      <c r="BT142" t="str">
        <f>HYPERLINK("https%3A%2F%2Fwww.webofscience.com%2Fwos%2Fwoscc%2Ffull-record%2FWOS:000550800600001","View Full Record in Web of Science")</f>
        <v>View Full Record in Web of Science</v>
      </c>
    </row>
    <row r="143" spans="1:72" x14ac:dyDescent="0.15">
      <c r="A143" t="s">
        <v>72</v>
      </c>
      <c r="B143" t="s">
        <v>3149</v>
      </c>
      <c r="C143" t="s">
        <v>74</v>
      </c>
      <c r="D143" t="s">
        <v>74</v>
      </c>
      <c r="E143" t="s">
        <v>74</v>
      </c>
      <c r="F143" t="s">
        <v>3150</v>
      </c>
      <c r="G143" t="s">
        <v>74</v>
      </c>
      <c r="H143" t="s">
        <v>74</v>
      </c>
      <c r="I143" t="s">
        <v>3151</v>
      </c>
      <c r="J143" t="s">
        <v>2007</v>
      </c>
      <c r="K143" t="s">
        <v>74</v>
      </c>
      <c r="L143" t="s">
        <v>74</v>
      </c>
      <c r="M143" t="s">
        <v>78</v>
      </c>
      <c r="N143" t="s">
        <v>79</v>
      </c>
      <c r="O143" t="s">
        <v>74</v>
      </c>
      <c r="P143" t="s">
        <v>74</v>
      </c>
      <c r="Q143" t="s">
        <v>74</v>
      </c>
      <c r="R143" t="s">
        <v>74</v>
      </c>
      <c r="S143" t="s">
        <v>74</v>
      </c>
      <c r="T143" t="s">
        <v>74</v>
      </c>
      <c r="U143" t="s">
        <v>3152</v>
      </c>
      <c r="V143" t="s">
        <v>3153</v>
      </c>
      <c r="W143" t="s">
        <v>3154</v>
      </c>
      <c r="X143" t="s">
        <v>3155</v>
      </c>
      <c r="Y143" t="s">
        <v>3156</v>
      </c>
      <c r="Z143" t="s">
        <v>3157</v>
      </c>
      <c r="AA143" t="s">
        <v>3158</v>
      </c>
      <c r="AB143" t="s">
        <v>3159</v>
      </c>
      <c r="AC143" t="s">
        <v>3160</v>
      </c>
      <c r="AD143" t="s">
        <v>3161</v>
      </c>
      <c r="AE143" t="s">
        <v>3162</v>
      </c>
      <c r="AF143" t="s">
        <v>74</v>
      </c>
      <c r="AG143">
        <v>57</v>
      </c>
      <c r="AH143">
        <v>21</v>
      </c>
      <c r="AI143">
        <v>22</v>
      </c>
      <c r="AJ143">
        <v>1</v>
      </c>
      <c r="AK143">
        <v>15</v>
      </c>
      <c r="AL143" t="s">
        <v>1049</v>
      </c>
      <c r="AM143" t="s">
        <v>1050</v>
      </c>
      <c r="AN143" t="s">
        <v>1051</v>
      </c>
      <c r="AO143" t="s">
        <v>2019</v>
      </c>
      <c r="AP143" t="s">
        <v>2020</v>
      </c>
      <c r="AQ143" t="s">
        <v>74</v>
      </c>
      <c r="AR143" t="s">
        <v>2007</v>
      </c>
      <c r="AS143" t="s">
        <v>2021</v>
      </c>
      <c r="AT143" t="s">
        <v>3127</v>
      </c>
      <c r="AU143">
        <v>2020</v>
      </c>
      <c r="AV143">
        <v>14</v>
      </c>
      <c r="AW143">
        <v>7</v>
      </c>
      <c r="AX143" t="s">
        <v>74</v>
      </c>
      <c r="AY143" t="s">
        <v>74</v>
      </c>
      <c r="AZ143" t="s">
        <v>74</v>
      </c>
      <c r="BA143" t="s">
        <v>74</v>
      </c>
      <c r="BB143">
        <v>2205</v>
      </c>
      <c r="BC143">
        <v>2216</v>
      </c>
      <c r="BD143" t="s">
        <v>74</v>
      </c>
      <c r="BE143" t="s">
        <v>3163</v>
      </c>
      <c r="BF143" t="str">
        <f>HYPERLINK("http://dx.doi.org/10.5194/tc-14-2205-2020","http://dx.doi.org/10.5194/tc-14-2205-2020")</f>
        <v>http://dx.doi.org/10.5194/tc-14-2205-2020</v>
      </c>
      <c r="BG143" t="s">
        <v>74</v>
      </c>
      <c r="BH143" t="s">
        <v>74</v>
      </c>
      <c r="BI143">
        <v>12</v>
      </c>
      <c r="BJ143" t="s">
        <v>694</v>
      </c>
      <c r="BK143" t="s">
        <v>102</v>
      </c>
      <c r="BL143" t="s">
        <v>695</v>
      </c>
      <c r="BM143" t="s">
        <v>3164</v>
      </c>
      <c r="BN143" t="s">
        <v>74</v>
      </c>
      <c r="BO143" t="s">
        <v>161</v>
      </c>
      <c r="BP143" t="s">
        <v>74</v>
      </c>
      <c r="BQ143" t="s">
        <v>74</v>
      </c>
      <c r="BR143" t="s">
        <v>106</v>
      </c>
      <c r="BS143" t="s">
        <v>3165</v>
      </c>
      <c r="BT143" t="str">
        <f>HYPERLINK("https%3A%2F%2Fwww.webofscience.com%2Fwos%2Fwoscc%2Ffull-record%2FWOS:000550786300001","View Full Record in Web of Science")</f>
        <v>View Full Record in Web of Science</v>
      </c>
    </row>
    <row r="144" spans="1:72" x14ac:dyDescent="0.15">
      <c r="A144" t="s">
        <v>72</v>
      </c>
      <c r="B144" t="s">
        <v>3166</v>
      </c>
      <c r="C144" t="s">
        <v>74</v>
      </c>
      <c r="D144" t="s">
        <v>74</v>
      </c>
      <c r="E144" t="s">
        <v>74</v>
      </c>
      <c r="F144" t="s">
        <v>3167</v>
      </c>
      <c r="G144" t="s">
        <v>74</v>
      </c>
      <c r="H144" t="s">
        <v>74</v>
      </c>
      <c r="I144" t="s">
        <v>3168</v>
      </c>
      <c r="J144" t="s">
        <v>1686</v>
      </c>
      <c r="K144" t="s">
        <v>74</v>
      </c>
      <c r="L144" t="s">
        <v>74</v>
      </c>
      <c r="M144" t="s">
        <v>78</v>
      </c>
      <c r="N144" t="s">
        <v>79</v>
      </c>
      <c r="O144" t="s">
        <v>74</v>
      </c>
      <c r="P144" t="s">
        <v>74</v>
      </c>
      <c r="Q144" t="s">
        <v>74</v>
      </c>
      <c r="R144" t="s">
        <v>74</v>
      </c>
      <c r="S144" t="s">
        <v>74</v>
      </c>
      <c r="T144" t="s">
        <v>3169</v>
      </c>
      <c r="U144" t="s">
        <v>3170</v>
      </c>
      <c r="V144" t="s">
        <v>3171</v>
      </c>
      <c r="W144" t="s">
        <v>3172</v>
      </c>
      <c r="X144" t="s">
        <v>3173</v>
      </c>
      <c r="Y144" t="s">
        <v>3174</v>
      </c>
      <c r="Z144" t="s">
        <v>3175</v>
      </c>
      <c r="AA144" t="s">
        <v>3176</v>
      </c>
      <c r="AB144" t="s">
        <v>3177</v>
      </c>
      <c r="AC144" t="s">
        <v>74</v>
      </c>
      <c r="AD144" t="s">
        <v>74</v>
      </c>
      <c r="AE144" t="s">
        <v>74</v>
      </c>
      <c r="AF144" t="s">
        <v>74</v>
      </c>
      <c r="AG144">
        <v>64</v>
      </c>
      <c r="AH144">
        <v>28</v>
      </c>
      <c r="AI144">
        <v>28</v>
      </c>
      <c r="AJ144">
        <v>3</v>
      </c>
      <c r="AK144">
        <v>15</v>
      </c>
      <c r="AL144" t="s">
        <v>1440</v>
      </c>
      <c r="AM144" t="s">
        <v>1628</v>
      </c>
      <c r="AN144" t="s">
        <v>1629</v>
      </c>
      <c r="AO144" t="s">
        <v>1699</v>
      </c>
      <c r="AP144" t="s">
        <v>1700</v>
      </c>
      <c r="AQ144" t="s">
        <v>74</v>
      </c>
      <c r="AR144" t="s">
        <v>1701</v>
      </c>
      <c r="AS144" t="s">
        <v>1702</v>
      </c>
      <c r="AT144" t="s">
        <v>1930</v>
      </c>
      <c r="AU144">
        <v>2020</v>
      </c>
      <c r="AV144">
        <v>176</v>
      </c>
      <c r="AW144">
        <v>3</v>
      </c>
      <c r="AX144" t="s">
        <v>74</v>
      </c>
      <c r="AY144" t="s">
        <v>74</v>
      </c>
      <c r="AZ144" t="s">
        <v>74</v>
      </c>
      <c r="BA144" t="s">
        <v>74</v>
      </c>
      <c r="BB144">
        <v>369</v>
      </c>
      <c r="BC144">
        <v>400</v>
      </c>
      <c r="BD144" t="s">
        <v>74</v>
      </c>
      <c r="BE144" t="s">
        <v>3178</v>
      </c>
      <c r="BF144" t="str">
        <f>HYPERLINK("http://dx.doi.org/10.1007/s10546-020-00539-4","http://dx.doi.org/10.1007/s10546-020-00539-4")</f>
        <v>http://dx.doi.org/10.1007/s10546-020-00539-4</v>
      </c>
      <c r="BG144" t="s">
        <v>74</v>
      </c>
      <c r="BH144" t="s">
        <v>1003</v>
      </c>
      <c r="BI144">
        <v>32</v>
      </c>
      <c r="BJ144" t="s">
        <v>159</v>
      </c>
      <c r="BK144" t="s">
        <v>102</v>
      </c>
      <c r="BL144" t="s">
        <v>159</v>
      </c>
      <c r="BM144" t="s">
        <v>3179</v>
      </c>
      <c r="BN144" t="s">
        <v>74</v>
      </c>
      <c r="BO144" t="s">
        <v>3180</v>
      </c>
      <c r="BP144" t="s">
        <v>74</v>
      </c>
      <c r="BQ144" t="s">
        <v>74</v>
      </c>
      <c r="BR144" t="s">
        <v>106</v>
      </c>
      <c r="BS144" t="s">
        <v>3181</v>
      </c>
      <c r="BT144" t="str">
        <f>HYPERLINK("https%3A%2F%2Fwww.webofscience.com%2Fwos%2Fwoscc%2Ffull-record%2FWOS:000548124200001","View Full Record in Web of Science")</f>
        <v>View Full Record in Web of Science</v>
      </c>
    </row>
    <row r="145" spans="1:72" x14ac:dyDescent="0.15">
      <c r="A145" t="s">
        <v>72</v>
      </c>
      <c r="B145" t="s">
        <v>3182</v>
      </c>
      <c r="C145" t="s">
        <v>74</v>
      </c>
      <c r="D145" t="s">
        <v>74</v>
      </c>
      <c r="E145" t="s">
        <v>74</v>
      </c>
      <c r="F145" t="s">
        <v>3183</v>
      </c>
      <c r="G145" t="s">
        <v>74</v>
      </c>
      <c r="H145" t="s">
        <v>74</v>
      </c>
      <c r="I145" t="s">
        <v>3184</v>
      </c>
      <c r="J145" t="s">
        <v>3185</v>
      </c>
      <c r="K145" t="s">
        <v>74</v>
      </c>
      <c r="L145" t="s">
        <v>74</v>
      </c>
      <c r="M145" t="s">
        <v>78</v>
      </c>
      <c r="N145" t="s">
        <v>79</v>
      </c>
      <c r="O145" t="s">
        <v>74</v>
      </c>
      <c r="P145" t="s">
        <v>74</v>
      </c>
      <c r="Q145" t="s">
        <v>74</v>
      </c>
      <c r="R145" t="s">
        <v>74</v>
      </c>
      <c r="S145" t="s">
        <v>74</v>
      </c>
      <c r="T145" t="s">
        <v>3186</v>
      </c>
      <c r="U145" t="s">
        <v>3187</v>
      </c>
      <c r="V145" t="s">
        <v>3188</v>
      </c>
      <c r="W145" t="s">
        <v>3189</v>
      </c>
      <c r="X145" t="s">
        <v>3190</v>
      </c>
      <c r="Y145" t="s">
        <v>3191</v>
      </c>
      <c r="Z145" t="s">
        <v>3192</v>
      </c>
      <c r="AA145" t="s">
        <v>74</v>
      </c>
      <c r="AB145" t="s">
        <v>3193</v>
      </c>
      <c r="AC145" t="s">
        <v>3194</v>
      </c>
      <c r="AD145" t="s">
        <v>3195</v>
      </c>
      <c r="AE145" t="s">
        <v>3196</v>
      </c>
      <c r="AF145" t="s">
        <v>74</v>
      </c>
      <c r="AG145">
        <v>37</v>
      </c>
      <c r="AH145">
        <v>2</v>
      </c>
      <c r="AI145">
        <v>2</v>
      </c>
      <c r="AJ145">
        <v>0</v>
      </c>
      <c r="AK145">
        <v>9</v>
      </c>
      <c r="AL145" t="s">
        <v>2377</v>
      </c>
      <c r="AM145" t="s">
        <v>945</v>
      </c>
      <c r="AN145" t="s">
        <v>2378</v>
      </c>
      <c r="AO145" t="s">
        <v>3197</v>
      </c>
      <c r="AP145" t="s">
        <v>74</v>
      </c>
      <c r="AQ145" t="s">
        <v>74</v>
      </c>
      <c r="AR145" t="s">
        <v>3198</v>
      </c>
      <c r="AS145" t="s">
        <v>3199</v>
      </c>
      <c r="AT145" t="s">
        <v>3200</v>
      </c>
      <c r="AU145">
        <v>2020</v>
      </c>
      <c r="AV145">
        <v>13</v>
      </c>
      <c r="AW145">
        <v>1</v>
      </c>
      <c r="AX145" t="s">
        <v>74</v>
      </c>
      <c r="AY145" t="s">
        <v>74</v>
      </c>
      <c r="AZ145" t="s">
        <v>74</v>
      </c>
      <c r="BA145" t="s">
        <v>74</v>
      </c>
      <c r="BB145" t="s">
        <v>74</v>
      </c>
      <c r="BC145" t="s">
        <v>74</v>
      </c>
      <c r="BD145">
        <v>344</v>
      </c>
      <c r="BE145" t="s">
        <v>3201</v>
      </c>
      <c r="BF145" t="str">
        <f>HYPERLINK("http://dx.doi.org/10.1186/s13071-020-04211-1","http://dx.doi.org/10.1186/s13071-020-04211-1")</f>
        <v>http://dx.doi.org/10.1186/s13071-020-04211-1</v>
      </c>
      <c r="BG145" t="s">
        <v>74</v>
      </c>
      <c r="BH145" t="s">
        <v>74</v>
      </c>
      <c r="BI145">
        <v>16</v>
      </c>
      <c r="BJ145" t="s">
        <v>3202</v>
      </c>
      <c r="BK145" t="s">
        <v>102</v>
      </c>
      <c r="BL145" t="s">
        <v>3202</v>
      </c>
      <c r="BM145" t="s">
        <v>3203</v>
      </c>
      <c r="BN145">
        <v>32650825</v>
      </c>
      <c r="BO145" t="s">
        <v>3204</v>
      </c>
      <c r="BP145" t="s">
        <v>74</v>
      </c>
      <c r="BQ145" t="s">
        <v>74</v>
      </c>
      <c r="BR145" t="s">
        <v>106</v>
      </c>
      <c r="BS145" t="s">
        <v>3205</v>
      </c>
      <c r="BT145" t="str">
        <f>HYPERLINK("https%3A%2F%2Fwww.webofscience.com%2Fwos%2Fwoscc%2Ffull-record%2FWOS:000552031100002","View Full Record in Web of Science")</f>
        <v>View Full Record in Web of Science</v>
      </c>
    </row>
    <row r="146" spans="1:72" x14ac:dyDescent="0.15">
      <c r="A146" t="s">
        <v>72</v>
      </c>
      <c r="B146" t="s">
        <v>3206</v>
      </c>
      <c r="C146" t="s">
        <v>74</v>
      </c>
      <c r="D146" t="s">
        <v>74</v>
      </c>
      <c r="E146" t="s">
        <v>74</v>
      </c>
      <c r="F146" t="s">
        <v>3207</v>
      </c>
      <c r="G146" t="s">
        <v>74</v>
      </c>
      <c r="H146" t="s">
        <v>74</v>
      </c>
      <c r="I146" t="s">
        <v>3208</v>
      </c>
      <c r="J146" t="s">
        <v>2051</v>
      </c>
      <c r="K146" t="s">
        <v>74</v>
      </c>
      <c r="L146" t="s">
        <v>74</v>
      </c>
      <c r="M146" t="s">
        <v>78</v>
      </c>
      <c r="N146" t="s">
        <v>79</v>
      </c>
      <c r="O146" t="s">
        <v>74</v>
      </c>
      <c r="P146" t="s">
        <v>74</v>
      </c>
      <c r="Q146" t="s">
        <v>74</v>
      </c>
      <c r="R146" t="s">
        <v>74</v>
      </c>
      <c r="S146" t="s">
        <v>74</v>
      </c>
      <c r="T146" t="s">
        <v>74</v>
      </c>
      <c r="U146" t="s">
        <v>3209</v>
      </c>
      <c r="V146" t="s">
        <v>3210</v>
      </c>
      <c r="W146" t="s">
        <v>3211</v>
      </c>
      <c r="X146" t="s">
        <v>3212</v>
      </c>
      <c r="Y146" t="s">
        <v>3213</v>
      </c>
      <c r="Z146" t="s">
        <v>3214</v>
      </c>
      <c r="AA146" t="s">
        <v>3215</v>
      </c>
      <c r="AB146" t="s">
        <v>3216</v>
      </c>
      <c r="AC146" t="s">
        <v>3217</v>
      </c>
      <c r="AD146" t="s">
        <v>3218</v>
      </c>
      <c r="AE146" t="s">
        <v>3219</v>
      </c>
      <c r="AF146" t="s">
        <v>74</v>
      </c>
      <c r="AG146">
        <v>48</v>
      </c>
      <c r="AH146">
        <v>11</v>
      </c>
      <c r="AI146">
        <v>13</v>
      </c>
      <c r="AJ146">
        <v>2</v>
      </c>
      <c r="AK146">
        <v>26</v>
      </c>
      <c r="AL146" t="s">
        <v>1049</v>
      </c>
      <c r="AM146" t="s">
        <v>1050</v>
      </c>
      <c r="AN146" t="s">
        <v>1051</v>
      </c>
      <c r="AO146" t="s">
        <v>2063</v>
      </c>
      <c r="AP146" t="s">
        <v>2064</v>
      </c>
      <c r="AQ146" t="s">
        <v>74</v>
      </c>
      <c r="AR146" t="s">
        <v>2065</v>
      </c>
      <c r="AS146" t="s">
        <v>2066</v>
      </c>
      <c r="AT146" t="s">
        <v>3200</v>
      </c>
      <c r="AU146">
        <v>2020</v>
      </c>
      <c r="AV146">
        <v>20</v>
      </c>
      <c r="AW146">
        <v>13</v>
      </c>
      <c r="AX146" t="s">
        <v>74</v>
      </c>
      <c r="AY146" t="s">
        <v>74</v>
      </c>
      <c r="AZ146" t="s">
        <v>74</v>
      </c>
      <c r="BA146" t="s">
        <v>74</v>
      </c>
      <c r="BB146">
        <v>8047</v>
      </c>
      <c r="BC146">
        <v>8062</v>
      </c>
      <c r="BD146" t="s">
        <v>74</v>
      </c>
      <c r="BE146" t="s">
        <v>3220</v>
      </c>
      <c r="BF146" t="str">
        <f>HYPERLINK("http://dx.doi.org/10.5194/acp-20-8047-2020","http://dx.doi.org/10.5194/acp-20-8047-2020")</f>
        <v>http://dx.doi.org/10.5194/acp-20-8047-2020</v>
      </c>
      <c r="BG146" t="s">
        <v>74</v>
      </c>
      <c r="BH146" t="s">
        <v>74</v>
      </c>
      <c r="BI146">
        <v>16</v>
      </c>
      <c r="BJ146" t="s">
        <v>2068</v>
      </c>
      <c r="BK146" t="s">
        <v>102</v>
      </c>
      <c r="BL146" t="s">
        <v>2069</v>
      </c>
      <c r="BM146" t="s">
        <v>3221</v>
      </c>
      <c r="BN146" t="s">
        <v>74</v>
      </c>
      <c r="BO146" t="s">
        <v>1352</v>
      </c>
      <c r="BP146" t="s">
        <v>74</v>
      </c>
      <c r="BQ146" t="s">
        <v>74</v>
      </c>
      <c r="BR146" t="s">
        <v>106</v>
      </c>
      <c r="BS146" t="s">
        <v>3222</v>
      </c>
      <c r="BT146" t="str">
        <f>HYPERLINK("https%3A%2F%2Fwww.webofscience.com%2Fwos%2Fwoscc%2Ffull-record%2FWOS:000550690200004","View Full Record in Web of Science")</f>
        <v>View Full Record in Web of Science</v>
      </c>
    </row>
    <row r="147" spans="1:72" x14ac:dyDescent="0.15">
      <c r="A147" t="s">
        <v>72</v>
      </c>
      <c r="B147" t="s">
        <v>3223</v>
      </c>
      <c r="C147" t="s">
        <v>74</v>
      </c>
      <c r="D147" t="s">
        <v>74</v>
      </c>
      <c r="E147" t="s">
        <v>74</v>
      </c>
      <c r="F147" t="s">
        <v>3224</v>
      </c>
      <c r="G147" t="s">
        <v>74</v>
      </c>
      <c r="H147" t="s">
        <v>74</v>
      </c>
      <c r="I147" t="s">
        <v>3225</v>
      </c>
      <c r="J147" t="s">
        <v>1065</v>
      </c>
      <c r="K147" t="s">
        <v>74</v>
      </c>
      <c r="L147" t="s">
        <v>74</v>
      </c>
      <c r="M147" t="s">
        <v>78</v>
      </c>
      <c r="N147" t="s">
        <v>79</v>
      </c>
      <c r="O147" t="s">
        <v>74</v>
      </c>
      <c r="P147" t="s">
        <v>74</v>
      </c>
      <c r="Q147" t="s">
        <v>74</v>
      </c>
      <c r="R147" t="s">
        <v>74</v>
      </c>
      <c r="S147" t="s">
        <v>74</v>
      </c>
      <c r="T147" t="s">
        <v>3226</v>
      </c>
      <c r="U147" t="s">
        <v>3227</v>
      </c>
      <c r="V147" t="s">
        <v>3228</v>
      </c>
      <c r="W147" t="s">
        <v>3229</v>
      </c>
      <c r="X147" t="s">
        <v>3230</v>
      </c>
      <c r="Y147" t="s">
        <v>3231</v>
      </c>
      <c r="Z147" t="s">
        <v>3232</v>
      </c>
      <c r="AA147" t="s">
        <v>3233</v>
      </c>
      <c r="AB147" t="s">
        <v>3234</v>
      </c>
      <c r="AC147" t="s">
        <v>3235</v>
      </c>
      <c r="AD147" t="s">
        <v>3236</v>
      </c>
      <c r="AE147" t="s">
        <v>3237</v>
      </c>
      <c r="AF147" t="s">
        <v>74</v>
      </c>
      <c r="AG147">
        <v>73</v>
      </c>
      <c r="AH147">
        <v>14</v>
      </c>
      <c r="AI147">
        <v>15</v>
      </c>
      <c r="AJ147">
        <v>0</v>
      </c>
      <c r="AK147">
        <v>7</v>
      </c>
      <c r="AL147" t="s">
        <v>1024</v>
      </c>
      <c r="AM147" t="s">
        <v>1025</v>
      </c>
      <c r="AN147" t="s">
        <v>1026</v>
      </c>
      <c r="AO147" t="s">
        <v>74</v>
      </c>
      <c r="AP147" t="s">
        <v>1078</v>
      </c>
      <c r="AQ147" t="s">
        <v>74</v>
      </c>
      <c r="AR147" t="s">
        <v>1079</v>
      </c>
      <c r="AS147" t="s">
        <v>1080</v>
      </c>
      <c r="AT147" t="s">
        <v>3200</v>
      </c>
      <c r="AU147">
        <v>2020</v>
      </c>
      <c r="AV147">
        <v>7</v>
      </c>
      <c r="AW147" t="s">
        <v>74</v>
      </c>
      <c r="AX147" t="s">
        <v>74</v>
      </c>
      <c r="AY147" t="s">
        <v>74</v>
      </c>
      <c r="AZ147" t="s">
        <v>74</v>
      </c>
      <c r="BA147" t="s">
        <v>74</v>
      </c>
      <c r="BB147" t="s">
        <v>74</v>
      </c>
      <c r="BC147" t="s">
        <v>74</v>
      </c>
      <c r="BD147">
        <v>509</v>
      </c>
      <c r="BE147" t="s">
        <v>3238</v>
      </c>
      <c r="BF147" t="str">
        <f>HYPERLINK("http://dx.doi.org/10.3389/fmars.2020.00509","http://dx.doi.org/10.3389/fmars.2020.00509")</f>
        <v>http://dx.doi.org/10.3389/fmars.2020.00509</v>
      </c>
      <c r="BG147" t="s">
        <v>74</v>
      </c>
      <c r="BH147" t="s">
        <v>74</v>
      </c>
      <c r="BI147">
        <v>21</v>
      </c>
      <c r="BJ147" t="s">
        <v>237</v>
      </c>
      <c r="BK147" t="s">
        <v>102</v>
      </c>
      <c r="BL147" t="s">
        <v>238</v>
      </c>
      <c r="BM147" t="s">
        <v>3239</v>
      </c>
      <c r="BN147" t="s">
        <v>74</v>
      </c>
      <c r="BO147" t="s">
        <v>2993</v>
      </c>
      <c r="BP147" t="s">
        <v>74</v>
      </c>
      <c r="BQ147" t="s">
        <v>74</v>
      </c>
      <c r="BR147" t="s">
        <v>106</v>
      </c>
      <c r="BS147" t="s">
        <v>3240</v>
      </c>
      <c r="BT147" t="str">
        <f>HYPERLINK("https%3A%2F%2Fwww.webofscience.com%2Fwos%2Fwoscc%2Ffull-record%2FWOS:000548584600001","View Full Record in Web of Science")</f>
        <v>View Full Record in Web of Science</v>
      </c>
    </row>
    <row r="148" spans="1:72" x14ac:dyDescent="0.15">
      <c r="A148" t="s">
        <v>72</v>
      </c>
      <c r="B148" t="s">
        <v>3241</v>
      </c>
      <c r="C148" t="s">
        <v>74</v>
      </c>
      <c r="D148" t="s">
        <v>74</v>
      </c>
      <c r="E148" t="s">
        <v>74</v>
      </c>
      <c r="F148" t="s">
        <v>3242</v>
      </c>
      <c r="G148" t="s">
        <v>74</v>
      </c>
      <c r="H148" t="s">
        <v>74</v>
      </c>
      <c r="I148" t="s">
        <v>3243</v>
      </c>
      <c r="J148" t="s">
        <v>1065</v>
      </c>
      <c r="K148" t="s">
        <v>74</v>
      </c>
      <c r="L148" t="s">
        <v>74</v>
      </c>
      <c r="M148" t="s">
        <v>78</v>
      </c>
      <c r="N148" t="s">
        <v>245</v>
      </c>
      <c r="O148" t="s">
        <v>74</v>
      </c>
      <c r="P148" t="s">
        <v>74</v>
      </c>
      <c r="Q148" t="s">
        <v>74</v>
      </c>
      <c r="R148" t="s">
        <v>74</v>
      </c>
      <c r="S148" t="s">
        <v>74</v>
      </c>
      <c r="T148" t="s">
        <v>3244</v>
      </c>
      <c r="U148" t="s">
        <v>3245</v>
      </c>
      <c r="V148" t="s">
        <v>3246</v>
      </c>
      <c r="W148" t="s">
        <v>3247</v>
      </c>
      <c r="X148" t="s">
        <v>3248</v>
      </c>
      <c r="Y148" t="s">
        <v>3249</v>
      </c>
      <c r="Z148" t="s">
        <v>3250</v>
      </c>
      <c r="AA148" t="s">
        <v>3251</v>
      </c>
      <c r="AB148" t="s">
        <v>3252</v>
      </c>
      <c r="AC148" t="s">
        <v>3253</v>
      </c>
      <c r="AD148" t="s">
        <v>3254</v>
      </c>
      <c r="AE148" t="s">
        <v>3255</v>
      </c>
      <c r="AF148" t="s">
        <v>74</v>
      </c>
      <c r="AG148">
        <v>199</v>
      </c>
      <c r="AH148">
        <v>35</v>
      </c>
      <c r="AI148">
        <v>38</v>
      </c>
      <c r="AJ148">
        <v>3</v>
      </c>
      <c r="AK148">
        <v>48</v>
      </c>
      <c r="AL148" t="s">
        <v>1024</v>
      </c>
      <c r="AM148" t="s">
        <v>1025</v>
      </c>
      <c r="AN148" t="s">
        <v>1026</v>
      </c>
      <c r="AO148" t="s">
        <v>74</v>
      </c>
      <c r="AP148" t="s">
        <v>1078</v>
      </c>
      <c r="AQ148" t="s">
        <v>74</v>
      </c>
      <c r="AR148" t="s">
        <v>1079</v>
      </c>
      <c r="AS148" t="s">
        <v>1080</v>
      </c>
      <c r="AT148" t="s">
        <v>3200</v>
      </c>
      <c r="AU148">
        <v>2020</v>
      </c>
      <c r="AV148">
        <v>7</v>
      </c>
      <c r="AW148" t="s">
        <v>74</v>
      </c>
      <c r="AX148" t="s">
        <v>74</v>
      </c>
      <c r="AY148" t="s">
        <v>74</v>
      </c>
      <c r="AZ148" t="s">
        <v>74</v>
      </c>
      <c r="BA148" t="s">
        <v>74</v>
      </c>
      <c r="BB148" t="s">
        <v>74</v>
      </c>
      <c r="BC148" t="s">
        <v>74</v>
      </c>
      <c r="BD148">
        <v>544</v>
      </c>
      <c r="BE148" t="s">
        <v>3256</v>
      </c>
      <c r="BF148" t="str">
        <f>HYPERLINK("http://dx.doi.org/10.3389/fmars.2020.00544","http://dx.doi.org/10.3389/fmars.2020.00544")</f>
        <v>http://dx.doi.org/10.3389/fmars.2020.00544</v>
      </c>
      <c r="BG148" t="s">
        <v>74</v>
      </c>
      <c r="BH148" t="s">
        <v>74</v>
      </c>
      <c r="BI148">
        <v>15</v>
      </c>
      <c r="BJ148" t="s">
        <v>237</v>
      </c>
      <c r="BK148" t="s">
        <v>102</v>
      </c>
      <c r="BL148" t="s">
        <v>238</v>
      </c>
      <c r="BM148" t="s">
        <v>3257</v>
      </c>
      <c r="BN148" t="s">
        <v>74</v>
      </c>
      <c r="BO148" t="s">
        <v>1778</v>
      </c>
      <c r="BP148" t="s">
        <v>74</v>
      </c>
      <c r="BQ148" t="s">
        <v>74</v>
      </c>
      <c r="BR148" t="s">
        <v>106</v>
      </c>
      <c r="BS148" t="s">
        <v>3258</v>
      </c>
      <c r="BT148" t="str">
        <f>HYPERLINK("https%3A%2F%2Fwww.webofscience.com%2Fwos%2Fwoscc%2Ffull-record%2FWOS:000548586100001","View Full Record in Web of Science")</f>
        <v>View Full Record in Web of Science</v>
      </c>
    </row>
    <row r="149" spans="1:72" x14ac:dyDescent="0.15">
      <c r="A149" t="s">
        <v>72</v>
      </c>
      <c r="B149" t="s">
        <v>3259</v>
      </c>
      <c r="C149" t="s">
        <v>74</v>
      </c>
      <c r="D149" t="s">
        <v>74</v>
      </c>
      <c r="E149" t="s">
        <v>74</v>
      </c>
      <c r="F149" t="s">
        <v>3260</v>
      </c>
      <c r="G149" t="s">
        <v>74</v>
      </c>
      <c r="H149" t="s">
        <v>74</v>
      </c>
      <c r="I149" t="s">
        <v>3261</v>
      </c>
      <c r="J149" t="s">
        <v>1186</v>
      </c>
      <c r="K149" t="s">
        <v>74</v>
      </c>
      <c r="L149" t="s">
        <v>74</v>
      </c>
      <c r="M149" t="s">
        <v>78</v>
      </c>
      <c r="N149" t="s">
        <v>79</v>
      </c>
      <c r="O149" t="s">
        <v>74</v>
      </c>
      <c r="P149" t="s">
        <v>74</v>
      </c>
      <c r="Q149" t="s">
        <v>74</v>
      </c>
      <c r="R149" t="s">
        <v>74</v>
      </c>
      <c r="S149" t="s">
        <v>74</v>
      </c>
      <c r="T149" t="s">
        <v>3262</v>
      </c>
      <c r="U149" t="s">
        <v>3263</v>
      </c>
      <c r="V149" t="s">
        <v>3264</v>
      </c>
      <c r="W149" t="s">
        <v>3265</v>
      </c>
      <c r="X149" t="s">
        <v>3266</v>
      </c>
      <c r="Y149" t="s">
        <v>3267</v>
      </c>
      <c r="Z149" t="s">
        <v>3268</v>
      </c>
      <c r="AA149" t="s">
        <v>3269</v>
      </c>
      <c r="AB149" t="s">
        <v>3270</v>
      </c>
      <c r="AC149" t="s">
        <v>3271</v>
      </c>
      <c r="AD149" t="s">
        <v>3272</v>
      </c>
      <c r="AE149" t="s">
        <v>3273</v>
      </c>
      <c r="AF149" t="s">
        <v>74</v>
      </c>
      <c r="AG149">
        <v>85</v>
      </c>
      <c r="AH149">
        <v>6</v>
      </c>
      <c r="AI149">
        <v>7</v>
      </c>
      <c r="AJ149">
        <v>1</v>
      </c>
      <c r="AK149">
        <v>8</v>
      </c>
      <c r="AL149" t="s">
        <v>1199</v>
      </c>
      <c r="AM149" t="s">
        <v>1200</v>
      </c>
      <c r="AN149" t="s">
        <v>1201</v>
      </c>
      <c r="AO149" t="s">
        <v>1202</v>
      </c>
      <c r="AP149" t="s">
        <v>1203</v>
      </c>
      <c r="AQ149" t="s">
        <v>74</v>
      </c>
      <c r="AR149" t="s">
        <v>1204</v>
      </c>
      <c r="AS149" t="s">
        <v>1205</v>
      </c>
      <c r="AT149" t="s">
        <v>3274</v>
      </c>
      <c r="AU149">
        <v>2020</v>
      </c>
      <c r="AV149">
        <v>645</v>
      </c>
      <c r="AW149" t="s">
        <v>74</v>
      </c>
      <c r="AX149" t="s">
        <v>74</v>
      </c>
      <c r="AY149" t="s">
        <v>74</v>
      </c>
      <c r="AZ149" t="s">
        <v>74</v>
      </c>
      <c r="BA149" t="s">
        <v>74</v>
      </c>
      <c r="BB149">
        <v>205</v>
      </c>
      <c r="BC149">
        <v>218</v>
      </c>
      <c r="BD149" t="s">
        <v>74</v>
      </c>
      <c r="BE149" t="s">
        <v>3275</v>
      </c>
      <c r="BF149" t="str">
        <f>HYPERLINK("http://dx.doi.org/10.3354/meps13370","http://dx.doi.org/10.3354/meps13370")</f>
        <v>http://dx.doi.org/10.3354/meps13370</v>
      </c>
      <c r="BG149" t="s">
        <v>74</v>
      </c>
      <c r="BH149" t="s">
        <v>74</v>
      </c>
      <c r="BI149">
        <v>14</v>
      </c>
      <c r="BJ149" t="s">
        <v>1208</v>
      </c>
      <c r="BK149" t="s">
        <v>102</v>
      </c>
      <c r="BL149" t="s">
        <v>1209</v>
      </c>
      <c r="BM149" t="s">
        <v>3276</v>
      </c>
      <c r="BN149" t="s">
        <v>74</v>
      </c>
      <c r="BO149" t="s">
        <v>976</v>
      </c>
      <c r="BP149" t="s">
        <v>74</v>
      </c>
      <c r="BQ149" t="s">
        <v>74</v>
      </c>
      <c r="BR149" t="s">
        <v>106</v>
      </c>
      <c r="BS149" t="s">
        <v>3277</v>
      </c>
      <c r="BT149" t="str">
        <f>HYPERLINK("https%3A%2F%2Fwww.webofscience.com%2Fwos%2Fwoscc%2Ffull-record%2FWOS:000621208100014","View Full Record in Web of Science")</f>
        <v>View Full Record in Web of Science</v>
      </c>
    </row>
    <row r="150" spans="1:72" x14ac:dyDescent="0.15">
      <c r="A150" t="s">
        <v>72</v>
      </c>
      <c r="B150" t="s">
        <v>3278</v>
      </c>
      <c r="C150" t="s">
        <v>74</v>
      </c>
      <c r="D150" t="s">
        <v>74</v>
      </c>
      <c r="E150" t="s">
        <v>74</v>
      </c>
      <c r="F150" t="s">
        <v>3279</v>
      </c>
      <c r="G150" t="s">
        <v>74</v>
      </c>
      <c r="H150" t="s">
        <v>74</v>
      </c>
      <c r="I150" t="s">
        <v>3280</v>
      </c>
      <c r="J150" t="s">
        <v>3281</v>
      </c>
      <c r="K150" t="s">
        <v>74</v>
      </c>
      <c r="L150" t="s">
        <v>74</v>
      </c>
      <c r="M150" t="s">
        <v>78</v>
      </c>
      <c r="N150" t="s">
        <v>79</v>
      </c>
      <c r="O150" t="s">
        <v>74</v>
      </c>
      <c r="P150" t="s">
        <v>74</v>
      </c>
      <c r="Q150" t="s">
        <v>74</v>
      </c>
      <c r="R150" t="s">
        <v>74</v>
      </c>
      <c r="S150" t="s">
        <v>74</v>
      </c>
      <c r="T150" t="s">
        <v>3282</v>
      </c>
      <c r="U150" t="s">
        <v>74</v>
      </c>
      <c r="V150" t="s">
        <v>3283</v>
      </c>
      <c r="W150" t="s">
        <v>3284</v>
      </c>
      <c r="X150" t="s">
        <v>3285</v>
      </c>
      <c r="Y150" t="s">
        <v>3286</v>
      </c>
      <c r="Z150" t="s">
        <v>3287</v>
      </c>
      <c r="AA150" t="s">
        <v>3288</v>
      </c>
      <c r="AB150" t="s">
        <v>3289</v>
      </c>
      <c r="AC150" t="s">
        <v>3290</v>
      </c>
      <c r="AD150" t="s">
        <v>3291</v>
      </c>
      <c r="AE150" t="s">
        <v>3292</v>
      </c>
      <c r="AF150" t="s">
        <v>74</v>
      </c>
      <c r="AG150">
        <v>21</v>
      </c>
      <c r="AH150">
        <v>0</v>
      </c>
      <c r="AI150">
        <v>0</v>
      </c>
      <c r="AJ150">
        <v>0</v>
      </c>
      <c r="AK150">
        <v>1</v>
      </c>
      <c r="AL150" t="s">
        <v>3293</v>
      </c>
      <c r="AM150" t="s">
        <v>3294</v>
      </c>
      <c r="AN150" t="s">
        <v>3295</v>
      </c>
      <c r="AO150" t="s">
        <v>3296</v>
      </c>
      <c r="AP150" t="s">
        <v>3297</v>
      </c>
      <c r="AQ150" t="s">
        <v>74</v>
      </c>
      <c r="AR150" t="s">
        <v>3281</v>
      </c>
      <c r="AS150" t="s">
        <v>3298</v>
      </c>
      <c r="AT150" t="s">
        <v>3274</v>
      </c>
      <c r="AU150">
        <v>2020</v>
      </c>
      <c r="AV150">
        <v>4810</v>
      </c>
      <c r="AW150">
        <v>1</v>
      </c>
      <c r="AX150" t="s">
        <v>74</v>
      </c>
      <c r="AY150" t="s">
        <v>74</v>
      </c>
      <c r="AZ150" t="s">
        <v>74</v>
      </c>
      <c r="BA150" t="s">
        <v>74</v>
      </c>
      <c r="BB150">
        <v>153</v>
      </c>
      <c r="BC150">
        <v>160</v>
      </c>
      <c r="BD150" t="s">
        <v>74</v>
      </c>
      <c r="BE150" t="s">
        <v>3299</v>
      </c>
      <c r="BF150" t="str">
        <f>HYPERLINK("http://dx.doi.org/10.11646/zootaxa.4810.1.9","http://dx.doi.org/10.11646/zootaxa.4810.1.9")</f>
        <v>http://dx.doi.org/10.11646/zootaxa.4810.1.9</v>
      </c>
      <c r="BG150" t="s">
        <v>74</v>
      </c>
      <c r="BH150" t="s">
        <v>74</v>
      </c>
      <c r="BI150">
        <v>8</v>
      </c>
      <c r="BJ150" t="s">
        <v>1499</v>
      </c>
      <c r="BK150" t="s">
        <v>102</v>
      </c>
      <c r="BL150" t="s">
        <v>1499</v>
      </c>
      <c r="BM150" t="s">
        <v>3300</v>
      </c>
      <c r="BN150">
        <v>33055916</v>
      </c>
      <c r="BO150" t="s">
        <v>74</v>
      </c>
      <c r="BP150" t="s">
        <v>74</v>
      </c>
      <c r="BQ150" t="s">
        <v>74</v>
      </c>
      <c r="BR150" t="s">
        <v>106</v>
      </c>
      <c r="BS150" t="s">
        <v>3301</v>
      </c>
      <c r="BT150" t="str">
        <f>HYPERLINK("https%3A%2F%2Fwww.webofscience.com%2Fwos%2Fwoscc%2Ffull-record%2FWOS:000575197500003","View Full Record in Web of Science")</f>
        <v>View Full Record in Web of Science</v>
      </c>
    </row>
    <row r="151" spans="1:72" x14ac:dyDescent="0.15">
      <c r="A151" t="s">
        <v>72</v>
      </c>
      <c r="B151" t="s">
        <v>3302</v>
      </c>
      <c r="C151" t="s">
        <v>74</v>
      </c>
      <c r="D151" t="s">
        <v>74</v>
      </c>
      <c r="E151" t="s">
        <v>74</v>
      </c>
      <c r="F151" t="s">
        <v>3303</v>
      </c>
      <c r="G151" t="s">
        <v>74</v>
      </c>
      <c r="H151" t="s">
        <v>74</v>
      </c>
      <c r="I151" t="s">
        <v>3304</v>
      </c>
      <c r="J151" t="s">
        <v>3305</v>
      </c>
      <c r="K151" t="s">
        <v>74</v>
      </c>
      <c r="L151" t="s">
        <v>74</v>
      </c>
      <c r="M151" t="s">
        <v>78</v>
      </c>
      <c r="N151" t="s">
        <v>1040</v>
      </c>
      <c r="O151" t="s">
        <v>74</v>
      </c>
      <c r="P151" t="s">
        <v>74</v>
      </c>
      <c r="Q151" t="s">
        <v>74</v>
      </c>
      <c r="R151" t="s">
        <v>74</v>
      </c>
      <c r="S151" t="s">
        <v>74</v>
      </c>
      <c r="T151" t="s">
        <v>74</v>
      </c>
      <c r="U151" t="s">
        <v>3306</v>
      </c>
      <c r="V151" t="s">
        <v>3307</v>
      </c>
      <c r="W151" t="s">
        <v>3308</v>
      </c>
      <c r="X151" t="s">
        <v>3309</v>
      </c>
      <c r="Y151" t="s">
        <v>3310</v>
      </c>
      <c r="Z151" t="s">
        <v>3311</v>
      </c>
      <c r="AA151" t="s">
        <v>3312</v>
      </c>
      <c r="AB151" t="s">
        <v>3313</v>
      </c>
      <c r="AC151" t="s">
        <v>3314</v>
      </c>
      <c r="AD151" t="s">
        <v>3315</v>
      </c>
      <c r="AE151" t="s">
        <v>3316</v>
      </c>
      <c r="AF151" t="s">
        <v>74</v>
      </c>
      <c r="AG151">
        <v>114</v>
      </c>
      <c r="AH151">
        <v>122</v>
      </c>
      <c r="AI151">
        <v>130</v>
      </c>
      <c r="AJ151">
        <v>9</v>
      </c>
      <c r="AK151">
        <v>31</v>
      </c>
      <c r="AL151" t="s">
        <v>1389</v>
      </c>
      <c r="AM151" t="s">
        <v>945</v>
      </c>
      <c r="AN151" t="s">
        <v>1390</v>
      </c>
      <c r="AO151" t="s">
        <v>74</v>
      </c>
      <c r="AP151" t="s">
        <v>3317</v>
      </c>
      <c r="AQ151" t="s">
        <v>74</v>
      </c>
      <c r="AR151" t="s">
        <v>3318</v>
      </c>
      <c r="AS151" t="s">
        <v>3319</v>
      </c>
      <c r="AT151" t="s">
        <v>3274</v>
      </c>
      <c r="AU151">
        <v>2020</v>
      </c>
      <c r="AV151">
        <v>7</v>
      </c>
      <c r="AW151">
        <v>1</v>
      </c>
      <c r="AX151" t="s">
        <v>74</v>
      </c>
      <c r="AY151" t="s">
        <v>74</v>
      </c>
      <c r="AZ151" t="s">
        <v>74</v>
      </c>
      <c r="BA151" t="s">
        <v>74</v>
      </c>
      <c r="BB151" t="s">
        <v>74</v>
      </c>
      <c r="BC151" t="s">
        <v>74</v>
      </c>
      <c r="BD151">
        <v>176</v>
      </c>
      <c r="BE151" t="s">
        <v>3320</v>
      </c>
      <c r="BF151" t="str">
        <f>HYPERLINK("http://dx.doi.org/10.1038/s41597-020-0520-9","http://dx.doi.org/10.1038/s41597-020-0520-9")</f>
        <v>http://dx.doi.org/10.1038/s41597-020-0520-9</v>
      </c>
      <c r="BG151" t="s">
        <v>74</v>
      </c>
      <c r="BH151" t="s">
        <v>74</v>
      </c>
      <c r="BI151">
        <v>14</v>
      </c>
      <c r="BJ151" t="s">
        <v>1125</v>
      </c>
      <c r="BK151" t="s">
        <v>102</v>
      </c>
      <c r="BL151" t="s">
        <v>1126</v>
      </c>
      <c r="BM151" t="s">
        <v>3321</v>
      </c>
      <c r="BN151">
        <v>32647176</v>
      </c>
      <c r="BO151" t="s">
        <v>2956</v>
      </c>
      <c r="BP151" t="s">
        <v>162</v>
      </c>
      <c r="BQ151" t="s">
        <v>163</v>
      </c>
      <c r="BR151" t="s">
        <v>106</v>
      </c>
      <c r="BS151" t="s">
        <v>3322</v>
      </c>
      <c r="BT151" t="str">
        <f>HYPERLINK("https%3A%2F%2Fwww.webofscience.com%2Fwos%2Fwoscc%2Ffull-record%2FWOS:000552037100001","View Full Record in Web of Science")</f>
        <v>View Full Record in Web of Science</v>
      </c>
    </row>
    <row r="152" spans="1:72" x14ac:dyDescent="0.15">
      <c r="A152" t="s">
        <v>72</v>
      </c>
      <c r="B152" t="s">
        <v>3323</v>
      </c>
      <c r="C152" t="s">
        <v>74</v>
      </c>
      <c r="D152" t="s">
        <v>74</v>
      </c>
      <c r="E152" t="s">
        <v>74</v>
      </c>
      <c r="F152" t="s">
        <v>3324</v>
      </c>
      <c r="G152" t="s">
        <v>74</v>
      </c>
      <c r="H152" t="s">
        <v>74</v>
      </c>
      <c r="I152" t="s">
        <v>3325</v>
      </c>
      <c r="J152" t="s">
        <v>2051</v>
      </c>
      <c r="K152" t="s">
        <v>74</v>
      </c>
      <c r="L152" t="s">
        <v>74</v>
      </c>
      <c r="M152" t="s">
        <v>78</v>
      </c>
      <c r="N152" t="s">
        <v>79</v>
      </c>
      <c r="O152" t="s">
        <v>74</v>
      </c>
      <c r="P152" t="s">
        <v>74</v>
      </c>
      <c r="Q152" t="s">
        <v>74</v>
      </c>
      <c r="R152" t="s">
        <v>74</v>
      </c>
      <c r="S152" t="s">
        <v>74</v>
      </c>
      <c r="T152" t="s">
        <v>74</v>
      </c>
      <c r="U152" t="s">
        <v>3326</v>
      </c>
      <c r="V152" t="s">
        <v>3327</v>
      </c>
      <c r="W152" t="s">
        <v>3328</v>
      </c>
      <c r="X152" t="s">
        <v>3329</v>
      </c>
      <c r="Y152" t="s">
        <v>3330</v>
      </c>
      <c r="Z152" t="s">
        <v>3214</v>
      </c>
      <c r="AA152" t="s">
        <v>3331</v>
      </c>
      <c r="AB152" t="s">
        <v>3332</v>
      </c>
      <c r="AC152" t="s">
        <v>3333</v>
      </c>
      <c r="AD152" t="s">
        <v>3334</v>
      </c>
      <c r="AE152" t="s">
        <v>3335</v>
      </c>
      <c r="AF152" t="s">
        <v>74</v>
      </c>
      <c r="AG152">
        <v>91</v>
      </c>
      <c r="AH152">
        <v>34</v>
      </c>
      <c r="AI152">
        <v>39</v>
      </c>
      <c r="AJ152">
        <v>12</v>
      </c>
      <c r="AK152">
        <v>94</v>
      </c>
      <c r="AL152" t="s">
        <v>1049</v>
      </c>
      <c r="AM152" t="s">
        <v>1050</v>
      </c>
      <c r="AN152" t="s">
        <v>1051</v>
      </c>
      <c r="AO152" t="s">
        <v>2063</v>
      </c>
      <c r="AP152" t="s">
        <v>2064</v>
      </c>
      <c r="AQ152" t="s">
        <v>74</v>
      </c>
      <c r="AR152" t="s">
        <v>2065</v>
      </c>
      <c r="AS152" t="s">
        <v>2066</v>
      </c>
      <c r="AT152" t="s">
        <v>3274</v>
      </c>
      <c r="AU152">
        <v>2020</v>
      </c>
      <c r="AV152">
        <v>20</v>
      </c>
      <c r="AW152">
        <v>13</v>
      </c>
      <c r="AX152" t="s">
        <v>74</v>
      </c>
      <c r="AY152" t="s">
        <v>74</v>
      </c>
      <c r="AZ152" t="s">
        <v>74</v>
      </c>
      <c r="BA152" t="s">
        <v>74</v>
      </c>
      <c r="BB152">
        <v>7955</v>
      </c>
      <c r="BC152">
        <v>7977</v>
      </c>
      <c r="BD152" t="s">
        <v>74</v>
      </c>
      <c r="BE152" t="s">
        <v>3336</v>
      </c>
      <c r="BF152" t="str">
        <f>HYPERLINK("http://dx.doi.org/10.5194/acp-20-7955-2020","http://dx.doi.org/10.5194/acp-20-7955-2020")</f>
        <v>http://dx.doi.org/10.5194/acp-20-7955-2020</v>
      </c>
      <c r="BG152" t="s">
        <v>74</v>
      </c>
      <c r="BH152" t="s">
        <v>74</v>
      </c>
      <c r="BI152">
        <v>23</v>
      </c>
      <c r="BJ152" t="s">
        <v>2068</v>
      </c>
      <c r="BK152" t="s">
        <v>102</v>
      </c>
      <c r="BL152" t="s">
        <v>2069</v>
      </c>
      <c r="BM152" t="s">
        <v>3337</v>
      </c>
      <c r="BN152" t="s">
        <v>74</v>
      </c>
      <c r="BO152" t="s">
        <v>3338</v>
      </c>
      <c r="BP152" t="s">
        <v>74</v>
      </c>
      <c r="BQ152" t="s">
        <v>74</v>
      </c>
      <c r="BR152" t="s">
        <v>106</v>
      </c>
      <c r="BS152" t="s">
        <v>3339</v>
      </c>
      <c r="BT152" t="str">
        <f>HYPERLINK("https%3A%2F%2Fwww.webofscience.com%2Fwos%2Fwoscc%2Ffull-record%2FWOS:000550594300001","View Full Record in Web of Science")</f>
        <v>View Full Record in Web of Science</v>
      </c>
    </row>
    <row r="153" spans="1:72" x14ac:dyDescent="0.15">
      <c r="A153" t="s">
        <v>72</v>
      </c>
      <c r="B153" t="s">
        <v>3340</v>
      </c>
      <c r="C153" t="s">
        <v>74</v>
      </c>
      <c r="D153" t="s">
        <v>74</v>
      </c>
      <c r="E153" t="s">
        <v>74</v>
      </c>
      <c r="F153" t="s">
        <v>3341</v>
      </c>
      <c r="G153" t="s">
        <v>74</v>
      </c>
      <c r="H153" t="s">
        <v>74</v>
      </c>
      <c r="I153" t="s">
        <v>3342</v>
      </c>
      <c r="J153" t="s">
        <v>2456</v>
      </c>
      <c r="K153" t="s">
        <v>74</v>
      </c>
      <c r="L153" t="s">
        <v>74</v>
      </c>
      <c r="M153" t="s">
        <v>78</v>
      </c>
      <c r="N153" t="s">
        <v>79</v>
      </c>
      <c r="O153" t="s">
        <v>74</v>
      </c>
      <c r="P153" t="s">
        <v>74</v>
      </c>
      <c r="Q153" t="s">
        <v>74</v>
      </c>
      <c r="R153" t="s">
        <v>74</v>
      </c>
      <c r="S153" t="s">
        <v>74</v>
      </c>
      <c r="T153" t="s">
        <v>3343</v>
      </c>
      <c r="U153" t="s">
        <v>3344</v>
      </c>
      <c r="V153" t="s">
        <v>3345</v>
      </c>
      <c r="W153" t="s">
        <v>3346</v>
      </c>
      <c r="X153" t="s">
        <v>3347</v>
      </c>
      <c r="Y153" t="s">
        <v>3348</v>
      </c>
      <c r="Z153" t="s">
        <v>3349</v>
      </c>
      <c r="AA153" t="s">
        <v>3350</v>
      </c>
      <c r="AB153" t="s">
        <v>3351</v>
      </c>
      <c r="AC153" t="s">
        <v>3352</v>
      </c>
      <c r="AD153" t="s">
        <v>3353</v>
      </c>
      <c r="AE153" t="s">
        <v>3354</v>
      </c>
      <c r="AF153" t="s">
        <v>74</v>
      </c>
      <c r="AG153">
        <v>39</v>
      </c>
      <c r="AH153">
        <v>4</v>
      </c>
      <c r="AI153">
        <v>5</v>
      </c>
      <c r="AJ153">
        <v>1</v>
      </c>
      <c r="AK153">
        <v>6</v>
      </c>
      <c r="AL153" t="s">
        <v>1024</v>
      </c>
      <c r="AM153" t="s">
        <v>1025</v>
      </c>
      <c r="AN153" t="s">
        <v>1026</v>
      </c>
      <c r="AO153" t="s">
        <v>74</v>
      </c>
      <c r="AP153" t="s">
        <v>2469</v>
      </c>
      <c r="AQ153" t="s">
        <v>74</v>
      </c>
      <c r="AR153" t="s">
        <v>2470</v>
      </c>
      <c r="AS153" t="s">
        <v>2471</v>
      </c>
      <c r="AT153" t="s">
        <v>3355</v>
      </c>
      <c r="AU153">
        <v>2020</v>
      </c>
      <c r="AV153">
        <v>8</v>
      </c>
      <c r="AW153" t="s">
        <v>74</v>
      </c>
      <c r="AX153" t="s">
        <v>74</v>
      </c>
      <c r="AY153" t="s">
        <v>74</v>
      </c>
      <c r="AZ153" t="s">
        <v>74</v>
      </c>
      <c r="BA153" t="s">
        <v>74</v>
      </c>
      <c r="BB153" t="s">
        <v>74</v>
      </c>
      <c r="BC153" t="s">
        <v>74</v>
      </c>
      <c r="BD153">
        <v>240</v>
      </c>
      <c r="BE153" t="s">
        <v>3356</v>
      </c>
      <c r="BF153" t="str">
        <f>HYPERLINK("http://dx.doi.org/10.3389/feart.2020.00240","http://dx.doi.org/10.3389/feart.2020.00240")</f>
        <v>http://dx.doi.org/10.3389/feart.2020.00240</v>
      </c>
      <c r="BG153" t="s">
        <v>74</v>
      </c>
      <c r="BH153" t="s">
        <v>74</v>
      </c>
      <c r="BI153">
        <v>13</v>
      </c>
      <c r="BJ153" t="s">
        <v>471</v>
      </c>
      <c r="BK153" t="s">
        <v>102</v>
      </c>
      <c r="BL153" t="s">
        <v>472</v>
      </c>
      <c r="BM153" t="s">
        <v>3357</v>
      </c>
      <c r="BN153" t="s">
        <v>74</v>
      </c>
      <c r="BO153" t="s">
        <v>1778</v>
      </c>
      <c r="BP153" t="s">
        <v>74</v>
      </c>
      <c r="BQ153" t="s">
        <v>74</v>
      </c>
      <c r="BR153" t="s">
        <v>106</v>
      </c>
      <c r="BS153" t="s">
        <v>3358</v>
      </c>
      <c r="BT153" t="str">
        <f>HYPERLINK("https%3A%2F%2Fwww.webofscience.com%2Fwos%2Fwoscc%2Ffull-record%2FWOS:000554494800001","View Full Record in Web of Science")</f>
        <v>View Full Record in Web of Science</v>
      </c>
    </row>
    <row r="154" spans="1:72" x14ac:dyDescent="0.15">
      <c r="A154" t="s">
        <v>72</v>
      </c>
      <c r="B154" t="s">
        <v>3359</v>
      </c>
      <c r="C154" t="s">
        <v>74</v>
      </c>
      <c r="D154" t="s">
        <v>74</v>
      </c>
      <c r="E154" t="s">
        <v>74</v>
      </c>
      <c r="F154" t="s">
        <v>3360</v>
      </c>
      <c r="G154" t="s">
        <v>74</v>
      </c>
      <c r="H154" t="s">
        <v>74</v>
      </c>
      <c r="I154" t="s">
        <v>3361</v>
      </c>
      <c r="J154" t="s">
        <v>3362</v>
      </c>
      <c r="K154" t="s">
        <v>74</v>
      </c>
      <c r="L154" t="s">
        <v>74</v>
      </c>
      <c r="M154" t="s">
        <v>78</v>
      </c>
      <c r="N154" t="s">
        <v>79</v>
      </c>
      <c r="O154" t="s">
        <v>74</v>
      </c>
      <c r="P154" t="s">
        <v>74</v>
      </c>
      <c r="Q154" t="s">
        <v>74</v>
      </c>
      <c r="R154" t="s">
        <v>74</v>
      </c>
      <c r="S154" t="s">
        <v>74</v>
      </c>
      <c r="T154" t="s">
        <v>3363</v>
      </c>
      <c r="U154" t="s">
        <v>3364</v>
      </c>
      <c r="V154" t="s">
        <v>3365</v>
      </c>
      <c r="W154" t="s">
        <v>3366</v>
      </c>
      <c r="X154" t="s">
        <v>3367</v>
      </c>
      <c r="Y154" t="s">
        <v>3368</v>
      </c>
      <c r="Z154" t="s">
        <v>3369</v>
      </c>
      <c r="AA154" t="s">
        <v>3370</v>
      </c>
      <c r="AB154" t="s">
        <v>3371</v>
      </c>
      <c r="AC154" t="s">
        <v>3372</v>
      </c>
      <c r="AD154" t="s">
        <v>3373</v>
      </c>
      <c r="AE154" t="s">
        <v>3374</v>
      </c>
      <c r="AF154" t="s">
        <v>74</v>
      </c>
      <c r="AG154">
        <v>55</v>
      </c>
      <c r="AH154">
        <v>0</v>
      </c>
      <c r="AI154">
        <v>0</v>
      </c>
      <c r="AJ154">
        <v>3</v>
      </c>
      <c r="AK154">
        <v>14</v>
      </c>
      <c r="AL154" t="s">
        <v>1464</v>
      </c>
      <c r="AM154" t="s">
        <v>945</v>
      </c>
      <c r="AN154" t="s">
        <v>1465</v>
      </c>
      <c r="AO154" t="s">
        <v>3375</v>
      </c>
      <c r="AP154" t="s">
        <v>74</v>
      </c>
      <c r="AQ154" t="s">
        <v>74</v>
      </c>
      <c r="AR154" t="s">
        <v>3376</v>
      </c>
      <c r="AS154" t="s">
        <v>3377</v>
      </c>
      <c r="AT154" t="s">
        <v>3355</v>
      </c>
      <c r="AU154">
        <v>2020</v>
      </c>
      <c r="AV154">
        <v>7</v>
      </c>
      <c r="AW154">
        <v>7</v>
      </c>
      <c r="AX154" t="s">
        <v>74</v>
      </c>
      <c r="AY154" t="s">
        <v>74</v>
      </c>
      <c r="AZ154" t="s">
        <v>74</v>
      </c>
      <c r="BA154" t="s">
        <v>74</v>
      </c>
      <c r="BB154" t="s">
        <v>74</v>
      </c>
      <c r="BC154" t="s">
        <v>74</v>
      </c>
      <c r="BD154">
        <v>200419</v>
      </c>
      <c r="BE154" t="s">
        <v>3378</v>
      </c>
      <c r="BF154" t="str">
        <f>HYPERLINK("http://dx.doi.org/10.1098/rsos.200419","http://dx.doi.org/10.1098/rsos.200419")</f>
        <v>http://dx.doi.org/10.1098/rsos.200419</v>
      </c>
      <c r="BG154" t="s">
        <v>74</v>
      </c>
      <c r="BH154" t="s">
        <v>74</v>
      </c>
      <c r="BI154">
        <v>13</v>
      </c>
      <c r="BJ154" t="s">
        <v>1125</v>
      </c>
      <c r="BK154" t="s">
        <v>102</v>
      </c>
      <c r="BL154" t="s">
        <v>1126</v>
      </c>
      <c r="BM154" t="s">
        <v>3379</v>
      </c>
      <c r="BN154">
        <v>32874636</v>
      </c>
      <c r="BO154" t="s">
        <v>1128</v>
      </c>
      <c r="BP154" t="s">
        <v>74</v>
      </c>
      <c r="BQ154" t="s">
        <v>74</v>
      </c>
      <c r="BR154" t="s">
        <v>106</v>
      </c>
      <c r="BS154" t="s">
        <v>3380</v>
      </c>
      <c r="BT154" t="str">
        <f>HYPERLINK("https%3A%2F%2Fwww.webofscience.com%2Fwos%2Fwoscc%2Ffull-record%2FWOS:000549824200001","View Full Record in Web of Science")</f>
        <v>View Full Record in Web of Science</v>
      </c>
    </row>
    <row r="155" spans="1:72" x14ac:dyDescent="0.15">
      <c r="A155" t="s">
        <v>72</v>
      </c>
      <c r="B155" t="s">
        <v>3381</v>
      </c>
      <c r="C155" t="s">
        <v>74</v>
      </c>
      <c r="D155" t="s">
        <v>74</v>
      </c>
      <c r="E155" t="s">
        <v>74</v>
      </c>
      <c r="F155" t="s">
        <v>3382</v>
      </c>
      <c r="G155" t="s">
        <v>74</v>
      </c>
      <c r="H155" t="s">
        <v>74</v>
      </c>
      <c r="I155" t="s">
        <v>3383</v>
      </c>
      <c r="J155" t="s">
        <v>3384</v>
      </c>
      <c r="K155" t="s">
        <v>74</v>
      </c>
      <c r="L155" t="s">
        <v>74</v>
      </c>
      <c r="M155" t="s">
        <v>78</v>
      </c>
      <c r="N155" t="s">
        <v>79</v>
      </c>
      <c r="O155" t="s">
        <v>74</v>
      </c>
      <c r="P155" t="s">
        <v>74</v>
      </c>
      <c r="Q155" t="s">
        <v>74</v>
      </c>
      <c r="R155" t="s">
        <v>74</v>
      </c>
      <c r="S155" t="s">
        <v>74</v>
      </c>
      <c r="T155" t="s">
        <v>74</v>
      </c>
      <c r="U155" t="s">
        <v>3385</v>
      </c>
      <c r="V155" t="s">
        <v>3386</v>
      </c>
      <c r="W155" t="s">
        <v>3387</v>
      </c>
      <c r="X155" t="s">
        <v>3388</v>
      </c>
      <c r="Y155" t="s">
        <v>3389</v>
      </c>
      <c r="Z155" t="s">
        <v>3390</v>
      </c>
      <c r="AA155" t="s">
        <v>74</v>
      </c>
      <c r="AB155" t="s">
        <v>3391</v>
      </c>
      <c r="AC155" t="s">
        <v>3392</v>
      </c>
      <c r="AD155" t="s">
        <v>3393</v>
      </c>
      <c r="AE155" t="s">
        <v>3394</v>
      </c>
      <c r="AF155" t="s">
        <v>74</v>
      </c>
      <c r="AG155">
        <v>65</v>
      </c>
      <c r="AH155">
        <v>2</v>
      </c>
      <c r="AI155">
        <v>2</v>
      </c>
      <c r="AJ155">
        <v>2</v>
      </c>
      <c r="AK155">
        <v>14</v>
      </c>
      <c r="AL155" t="s">
        <v>1049</v>
      </c>
      <c r="AM155" t="s">
        <v>1050</v>
      </c>
      <c r="AN155" t="s">
        <v>1051</v>
      </c>
      <c r="AO155" t="s">
        <v>3395</v>
      </c>
      <c r="AP155" t="s">
        <v>3396</v>
      </c>
      <c r="AQ155" t="s">
        <v>74</v>
      </c>
      <c r="AR155" t="s">
        <v>3397</v>
      </c>
      <c r="AS155" t="s">
        <v>3398</v>
      </c>
      <c r="AT155" t="s">
        <v>3355</v>
      </c>
      <c r="AU155">
        <v>2020</v>
      </c>
      <c r="AV155">
        <v>27</v>
      </c>
      <c r="AW155">
        <v>3</v>
      </c>
      <c r="AX155" t="s">
        <v>74</v>
      </c>
      <c r="AY155" t="s">
        <v>74</v>
      </c>
      <c r="AZ155" t="s">
        <v>74</v>
      </c>
      <c r="BA155" t="s">
        <v>74</v>
      </c>
      <c r="BB155">
        <v>391</v>
      </c>
      <c r="BC155">
        <v>409</v>
      </c>
      <c r="BD155" t="s">
        <v>74</v>
      </c>
      <c r="BE155" t="s">
        <v>3399</v>
      </c>
      <c r="BF155" t="str">
        <f>HYPERLINK("http://dx.doi.org/10.5194/npg-27-391-2020","http://dx.doi.org/10.5194/npg-27-391-2020")</f>
        <v>http://dx.doi.org/10.5194/npg-27-391-2020</v>
      </c>
      <c r="BG155" t="s">
        <v>74</v>
      </c>
      <c r="BH155" t="s">
        <v>74</v>
      </c>
      <c r="BI155">
        <v>19</v>
      </c>
      <c r="BJ155" t="s">
        <v>3400</v>
      </c>
      <c r="BK155" t="s">
        <v>102</v>
      </c>
      <c r="BL155" t="s">
        <v>3401</v>
      </c>
      <c r="BM155" t="s">
        <v>3402</v>
      </c>
      <c r="BN155" t="s">
        <v>74</v>
      </c>
      <c r="BO155" t="s">
        <v>1352</v>
      </c>
      <c r="BP155" t="s">
        <v>74</v>
      </c>
      <c r="BQ155" t="s">
        <v>74</v>
      </c>
      <c r="BR155" t="s">
        <v>106</v>
      </c>
      <c r="BS155" t="s">
        <v>3403</v>
      </c>
      <c r="BT155" t="str">
        <f>HYPERLINK("https%3A%2F%2Fwww.webofscience.com%2Fwos%2Fwoscc%2Ffull-record%2FWOS:000548524400001","View Full Record in Web of Science")</f>
        <v>View Full Record in Web of Science</v>
      </c>
    </row>
    <row r="156" spans="1:72" x14ac:dyDescent="0.15">
      <c r="A156" t="s">
        <v>72</v>
      </c>
      <c r="B156" t="s">
        <v>3404</v>
      </c>
      <c r="C156" t="s">
        <v>74</v>
      </c>
      <c r="D156" t="s">
        <v>74</v>
      </c>
      <c r="E156" t="s">
        <v>74</v>
      </c>
      <c r="F156" t="s">
        <v>3405</v>
      </c>
      <c r="G156" t="s">
        <v>74</v>
      </c>
      <c r="H156" t="s">
        <v>74</v>
      </c>
      <c r="I156" t="s">
        <v>3406</v>
      </c>
      <c r="J156" t="s">
        <v>3407</v>
      </c>
      <c r="K156" t="s">
        <v>74</v>
      </c>
      <c r="L156" t="s">
        <v>74</v>
      </c>
      <c r="M156" t="s">
        <v>78</v>
      </c>
      <c r="N156" t="s">
        <v>79</v>
      </c>
      <c r="O156" t="s">
        <v>74</v>
      </c>
      <c r="P156" t="s">
        <v>74</v>
      </c>
      <c r="Q156" t="s">
        <v>74</v>
      </c>
      <c r="R156" t="s">
        <v>74</v>
      </c>
      <c r="S156" t="s">
        <v>74</v>
      </c>
      <c r="T156" t="s">
        <v>3408</v>
      </c>
      <c r="U156" t="s">
        <v>3409</v>
      </c>
      <c r="V156" t="s">
        <v>3410</v>
      </c>
      <c r="W156" t="s">
        <v>3411</v>
      </c>
      <c r="X156" t="s">
        <v>3412</v>
      </c>
      <c r="Y156" t="s">
        <v>3413</v>
      </c>
      <c r="Z156" t="s">
        <v>3414</v>
      </c>
      <c r="AA156" t="s">
        <v>3415</v>
      </c>
      <c r="AB156" t="s">
        <v>3416</v>
      </c>
      <c r="AC156" t="s">
        <v>3417</v>
      </c>
      <c r="AD156" t="s">
        <v>992</v>
      </c>
      <c r="AE156" t="s">
        <v>3418</v>
      </c>
      <c r="AF156" t="s">
        <v>74</v>
      </c>
      <c r="AG156">
        <v>57</v>
      </c>
      <c r="AH156">
        <v>2</v>
      </c>
      <c r="AI156">
        <v>2</v>
      </c>
      <c r="AJ156">
        <v>0</v>
      </c>
      <c r="AK156">
        <v>2</v>
      </c>
      <c r="AL156" t="s">
        <v>994</v>
      </c>
      <c r="AM156" t="s">
        <v>995</v>
      </c>
      <c r="AN156" t="s">
        <v>996</v>
      </c>
      <c r="AO156" t="s">
        <v>3419</v>
      </c>
      <c r="AP156" t="s">
        <v>74</v>
      </c>
      <c r="AQ156" t="s">
        <v>74</v>
      </c>
      <c r="AR156" t="s">
        <v>3420</v>
      </c>
      <c r="AS156" t="s">
        <v>3421</v>
      </c>
      <c r="AT156" t="s">
        <v>1176</v>
      </c>
      <c r="AU156">
        <v>2020</v>
      </c>
      <c r="AV156">
        <v>21</v>
      </c>
      <c r="AW156">
        <v>12</v>
      </c>
      <c r="AX156" t="s">
        <v>74</v>
      </c>
      <c r="AY156" t="s">
        <v>74</v>
      </c>
      <c r="AZ156" t="s">
        <v>74</v>
      </c>
      <c r="BA156" t="s">
        <v>74</v>
      </c>
      <c r="BB156" t="s">
        <v>74</v>
      </c>
      <c r="BC156" t="s">
        <v>74</v>
      </c>
      <c r="BD156" t="s">
        <v>3422</v>
      </c>
      <c r="BE156" t="s">
        <v>3423</v>
      </c>
      <c r="BF156" t="str">
        <f>HYPERLINK("http://dx.doi.org/10.1002/asl.1004","http://dx.doi.org/10.1002/asl.1004")</f>
        <v>http://dx.doi.org/10.1002/asl.1004</v>
      </c>
      <c r="BG156" t="s">
        <v>74</v>
      </c>
      <c r="BH156" t="s">
        <v>1003</v>
      </c>
      <c r="BI156">
        <v>10</v>
      </c>
      <c r="BJ156" t="s">
        <v>3424</v>
      </c>
      <c r="BK156" t="s">
        <v>102</v>
      </c>
      <c r="BL156" t="s">
        <v>3424</v>
      </c>
      <c r="BM156" t="s">
        <v>3425</v>
      </c>
      <c r="BN156" t="s">
        <v>74</v>
      </c>
      <c r="BO156" t="s">
        <v>2993</v>
      </c>
      <c r="BP156" t="s">
        <v>74</v>
      </c>
      <c r="BQ156" t="s">
        <v>74</v>
      </c>
      <c r="BR156" t="s">
        <v>106</v>
      </c>
      <c r="BS156" t="s">
        <v>3426</v>
      </c>
      <c r="BT156" t="str">
        <f>HYPERLINK("https%3A%2F%2Fwww.webofscience.com%2Fwos%2Fwoscc%2Ffull-record%2FWOS:000546246900001","View Full Record in Web of Science")</f>
        <v>View Full Record in Web of Science</v>
      </c>
    </row>
    <row r="157" spans="1:72" x14ac:dyDescent="0.15">
      <c r="A157" t="s">
        <v>72</v>
      </c>
      <c r="B157" t="s">
        <v>3427</v>
      </c>
      <c r="C157" t="s">
        <v>74</v>
      </c>
      <c r="D157" t="s">
        <v>74</v>
      </c>
      <c r="E157" t="s">
        <v>74</v>
      </c>
      <c r="F157" t="s">
        <v>3428</v>
      </c>
      <c r="G157" t="s">
        <v>74</v>
      </c>
      <c r="H157" t="s">
        <v>74</v>
      </c>
      <c r="I157" t="s">
        <v>3429</v>
      </c>
      <c r="J157" t="s">
        <v>2318</v>
      </c>
      <c r="K157" t="s">
        <v>74</v>
      </c>
      <c r="L157" t="s">
        <v>74</v>
      </c>
      <c r="M157" t="s">
        <v>78</v>
      </c>
      <c r="N157" t="s">
        <v>79</v>
      </c>
      <c r="O157" t="s">
        <v>74</v>
      </c>
      <c r="P157" t="s">
        <v>74</v>
      </c>
      <c r="Q157" t="s">
        <v>74</v>
      </c>
      <c r="R157" t="s">
        <v>74</v>
      </c>
      <c r="S157" t="s">
        <v>74</v>
      </c>
      <c r="T157" t="s">
        <v>3430</v>
      </c>
      <c r="U157" t="s">
        <v>3431</v>
      </c>
      <c r="V157" t="s">
        <v>3432</v>
      </c>
      <c r="W157" t="s">
        <v>3433</v>
      </c>
      <c r="X157" t="s">
        <v>3434</v>
      </c>
      <c r="Y157" t="s">
        <v>3435</v>
      </c>
      <c r="Z157" t="s">
        <v>3436</v>
      </c>
      <c r="AA157" t="s">
        <v>3437</v>
      </c>
      <c r="AB157" t="s">
        <v>3438</v>
      </c>
      <c r="AC157" t="s">
        <v>3439</v>
      </c>
      <c r="AD157" t="s">
        <v>3440</v>
      </c>
      <c r="AE157" t="s">
        <v>3441</v>
      </c>
      <c r="AF157" t="s">
        <v>74</v>
      </c>
      <c r="AG157">
        <v>56</v>
      </c>
      <c r="AH157">
        <v>3</v>
      </c>
      <c r="AI157">
        <v>4</v>
      </c>
      <c r="AJ157">
        <v>0</v>
      </c>
      <c r="AK157">
        <v>7</v>
      </c>
      <c r="AL157" t="s">
        <v>1440</v>
      </c>
      <c r="AM157" t="s">
        <v>399</v>
      </c>
      <c r="AN157" t="s">
        <v>1441</v>
      </c>
      <c r="AO157" t="s">
        <v>2331</v>
      </c>
      <c r="AP157" t="s">
        <v>2332</v>
      </c>
      <c r="AQ157" t="s">
        <v>74</v>
      </c>
      <c r="AR157" t="s">
        <v>2333</v>
      </c>
      <c r="AS157" t="s">
        <v>2334</v>
      </c>
      <c r="AT157" t="s">
        <v>1930</v>
      </c>
      <c r="AU157">
        <v>2020</v>
      </c>
      <c r="AV157">
        <v>55</v>
      </c>
      <c r="AW157" t="s">
        <v>3442</v>
      </c>
      <c r="AX157" t="s">
        <v>74</v>
      </c>
      <c r="AY157" t="s">
        <v>74</v>
      </c>
      <c r="AZ157" t="s">
        <v>74</v>
      </c>
      <c r="BA157" t="s">
        <v>74</v>
      </c>
      <c r="BB157">
        <v>1665</v>
      </c>
      <c r="BC157">
        <v>1684</v>
      </c>
      <c r="BD157" t="s">
        <v>74</v>
      </c>
      <c r="BE157" t="s">
        <v>3443</v>
      </c>
      <c r="BF157" t="str">
        <f>HYPERLINK("http://dx.doi.org/10.1007/s00382-020-05346-8","http://dx.doi.org/10.1007/s00382-020-05346-8")</f>
        <v>http://dx.doi.org/10.1007/s00382-020-05346-8</v>
      </c>
      <c r="BG157" t="s">
        <v>74</v>
      </c>
      <c r="BH157" t="s">
        <v>1003</v>
      </c>
      <c r="BI157">
        <v>20</v>
      </c>
      <c r="BJ157" t="s">
        <v>159</v>
      </c>
      <c r="BK157" t="s">
        <v>102</v>
      </c>
      <c r="BL157" t="s">
        <v>159</v>
      </c>
      <c r="BM157" t="s">
        <v>3444</v>
      </c>
      <c r="BN157" t="s">
        <v>74</v>
      </c>
      <c r="BO157" t="s">
        <v>74</v>
      </c>
      <c r="BP157" t="s">
        <v>74</v>
      </c>
      <c r="BQ157" t="s">
        <v>74</v>
      </c>
      <c r="BR157" t="s">
        <v>106</v>
      </c>
      <c r="BS157" t="s">
        <v>3445</v>
      </c>
      <c r="BT157" t="str">
        <f>HYPERLINK("https%3A%2F%2Fwww.webofscience.com%2Fwos%2Fwoscc%2Ffull-record%2FWOS:000546501200001","View Full Record in Web of Science")</f>
        <v>View Full Record in Web of Science</v>
      </c>
    </row>
    <row r="158" spans="1:72" x14ac:dyDescent="0.15">
      <c r="A158" t="s">
        <v>72</v>
      </c>
      <c r="B158" t="s">
        <v>3446</v>
      </c>
      <c r="C158" t="s">
        <v>74</v>
      </c>
      <c r="D158" t="s">
        <v>74</v>
      </c>
      <c r="E158" t="s">
        <v>74</v>
      </c>
      <c r="F158" t="s">
        <v>3447</v>
      </c>
      <c r="G158" t="s">
        <v>74</v>
      </c>
      <c r="H158" t="s">
        <v>74</v>
      </c>
      <c r="I158" t="s">
        <v>3448</v>
      </c>
      <c r="J158" t="s">
        <v>2111</v>
      </c>
      <c r="K158" t="s">
        <v>74</v>
      </c>
      <c r="L158" t="s">
        <v>74</v>
      </c>
      <c r="M158" t="s">
        <v>78</v>
      </c>
      <c r="N158" t="s">
        <v>79</v>
      </c>
      <c r="O158" t="s">
        <v>74</v>
      </c>
      <c r="P158" t="s">
        <v>74</v>
      </c>
      <c r="Q158" t="s">
        <v>74</v>
      </c>
      <c r="R158" t="s">
        <v>74</v>
      </c>
      <c r="S158" t="s">
        <v>74</v>
      </c>
      <c r="T158" t="s">
        <v>74</v>
      </c>
      <c r="U158" t="s">
        <v>3449</v>
      </c>
      <c r="V158" t="s">
        <v>3450</v>
      </c>
      <c r="W158" t="s">
        <v>3451</v>
      </c>
      <c r="X158" t="s">
        <v>74</v>
      </c>
      <c r="Y158" t="s">
        <v>3452</v>
      </c>
      <c r="Z158" t="s">
        <v>3453</v>
      </c>
      <c r="AA158" t="s">
        <v>74</v>
      </c>
      <c r="AB158" t="s">
        <v>3454</v>
      </c>
      <c r="AC158" t="s">
        <v>3455</v>
      </c>
      <c r="AD158" t="s">
        <v>3456</v>
      </c>
      <c r="AE158" t="s">
        <v>3457</v>
      </c>
      <c r="AF158" t="s">
        <v>74</v>
      </c>
      <c r="AG158">
        <v>105</v>
      </c>
      <c r="AH158">
        <v>21</v>
      </c>
      <c r="AI158">
        <v>21</v>
      </c>
      <c r="AJ158">
        <v>2</v>
      </c>
      <c r="AK158">
        <v>12</v>
      </c>
      <c r="AL158" t="s">
        <v>2121</v>
      </c>
      <c r="AM158" t="s">
        <v>2122</v>
      </c>
      <c r="AN158" t="s">
        <v>2123</v>
      </c>
      <c r="AO158" t="s">
        <v>2124</v>
      </c>
      <c r="AP158" t="s">
        <v>74</v>
      </c>
      <c r="AQ158" t="s">
        <v>74</v>
      </c>
      <c r="AR158" t="s">
        <v>2111</v>
      </c>
      <c r="AS158" t="s">
        <v>2125</v>
      </c>
      <c r="AT158" t="s">
        <v>3458</v>
      </c>
      <c r="AU158">
        <v>2020</v>
      </c>
      <c r="AV158">
        <v>15</v>
      </c>
      <c r="AW158">
        <v>7</v>
      </c>
      <c r="AX158" t="s">
        <v>74</v>
      </c>
      <c r="AY158" t="s">
        <v>74</v>
      </c>
      <c r="AZ158" t="s">
        <v>74</v>
      </c>
      <c r="BA158" t="s">
        <v>74</v>
      </c>
      <c r="BB158" t="s">
        <v>74</v>
      </c>
      <c r="BC158" t="s">
        <v>74</v>
      </c>
      <c r="BD158" t="s">
        <v>3459</v>
      </c>
      <c r="BE158" t="s">
        <v>3460</v>
      </c>
      <c r="BF158" t="str">
        <f>HYPERLINK("http://dx.doi.org/10.1371/journal.pone.0235603","http://dx.doi.org/10.1371/journal.pone.0235603")</f>
        <v>http://dx.doi.org/10.1371/journal.pone.0235603</v>
      </c>
      <c r="BG158" t="s">
        <v>74</v>
      </c>
      <c r="BH158" t="s">
        <v>74</v>
      </c>
      <c r="BI158">
        <v>30</v>
      </c>
      <c r="BJ158" t="s">
        <v>1125</v>
      </c>
      <c r="BK158" t="s">
        <v>102</v>
      </c>
      <c r="BL158" t="s">
        <v>1126</v>
      </c>
      <c r="BM158" t="s">
        <v>3461</v>
      </c>
      <c r="BN158">
        <v>32634142</v>
      </c>
      <c r="BO158" t="s">
        <v>1778</v>
      </c>
      <c r="BP158" t="s">
        <v>74</v>
      </c>
      <c r="BQ158" t="s">
        <v>74</v>
      </c>
      <c r="BR158" t="s">
        <v>106</v>
      </c>
      <c r="BS158" t="s">
        <v>3462</v>
      </c>
      <c r="BT158" t="str">
        <f>HYPERLINK("https%3A%2F%2Fwww.webofscience.com%2Fwos%2Fwoscc%2Ffull-record%2FWOS:000550645600009","View Full Record in Web of Science")</f>
        <v>View Full Record in Web of Science</v>
      </c>
    </row>
    <row r="159" spans="1:72" x14ac:dyDescent="0.15">
      <c r="A159" t="s">
        <v>72</v>
      </c>
      <c r="B159" t="s">
        <v>3463</v>
      </c>
      <c r="C159" t="s">
        <v>74</v>
      </c>
      <c r="D159" t="s">
        <v>74</v>
      </c>
      <c r="E159" t="s">
        <v>74</v>
      </c>
      <c r="F159" t="s">
        <v>3464</v>
      </c>
      <c r="G159" t="s">
        <v>74</v>
      </c>
      <c r="H159" t="s">
        <v>74</v>
      </c>
      <c r="I159" t="s">
        <v>3465</v>
      </c>
      <c r="J159" t="s">
        <v>3466</v>
      </c>
      <c r="K159" t="s">
        <v>74</v>
      </c>
      <c r="L159" t="s">
        <v>74</v>
      </c>
      <c r="M159" t="s">
        <v>78</v>
      </c>
      <c r="N159" t="s">
        <v>79</v>
      </c>
      <c r="O159" t="s">
        <v>74</v>
      </c>
      <c r="P159" t="s">
        <v>74</v>
      </c>
      <c r="Q159" t="s">
        <v>74</v>
      </c>
      <c r="R159" t="s">
        <v>74</v>
      </c>
      <c r="S159" t="s">
        <v>74</v>
      </c>
      <c r="T159" t="s">
        <v>74</v>
      </c>
      <c r="U159" t="s">
        <v>3467</v>
      </c>
      <c r="V159" t="s">
        <v>3468</v>
      </c>
      <c r="W159" t="s">
        <v>3469</v>
      </c>
      <c r="X159" t="s">
        <v>3470</v>
      </c>
      <c r="Y159" t="s">
        <v>3471</v>
      </c>
      <c r="Z159" t="s">
        <v>3472</v>
      </c>
      <c r="AA159" t="s">
        <v>3473</v>
      </c>
      <c r="AB159" t="s">
        <v>3474</v>
      </c>
      <c r="AC159" t="s">
        <v>3475</v>
      </c>
      <c r="AD159" t="s">
        <v>3476</v>
      </c>
      <c r="AE159" t="s">
        <v>3477</v>
      </c>
      <c r="AF159" t="s">
        <v>74</v>
      </c>
      <c r="AG159">
        <v>79</v>
      </c>
      <c r="AH159">
        <v>12</v>
      </c>
      <c r="AI159">
        <v>14</v>
      </c>
      <c r="AJ159">
        <v>8</v>
      </c>
      <c r="AK159">
        <v>62</v>
      </c>
      <c r="AL159" t="s">
        <v>2425</v>
      </c>
      <c r="AM159" t="s">
        <v>152</v>
      </c>
      <c r="AN159" t="s">
        <v>2426</v>
      </c>
      <c r="AO159" t="s">
        <v>3478</v>
      </c>
      <c r="AP159" t="s">
        <v>3479</v>
      </c>
      <c r="AQ159" t="s">
        <v>74</v>
      </c>
      <c r="AR159" t="s">
        <v>3480</v>
      </c>
      <c r="AS159" t="s">
        <v>3481</v>
      </c>
      <c r="AT159" t="s">
        <v>3458</v>
      </c>
      <c r="AU159">
        <v>2020</v>
      </c>
      <c r="AV159">
        <v>54</v>
      </c>
      <c r="AW159">
        <v>13</v>
      </c>
      <c r="AX159" t="s">
        <v>74</v>
      </c>
      <c r="AY159" t="s">
        <v>74</v>
      </c>
      <c r="AZ159" t="s">
        <v>74</v>
      </c>
      <c r="BA159" t="s">
        <v>74</v>
      </c>
      <c r="BB159">
        <v>7807</v>
      </c>
      <c r="BC159">
        <v>7817</v>
      </c>
      <c r="BD159" t="s">
        <v>74</v>
      </c>
      <c r="BE159" t="s">
        <v>3482</v>
      </c>
      <c r="BF159" t="str">
        <f>HYPERLINK("http://dx.doi.org/10.1021/acs.est.0c00695","http://dx.doi.org/10.1021/acs.est.0c00695")</f>
        <v>http://dx.doi.org/10.1021/acs.est.0c00695</v>
      </c>
      <c r="BG159" t="s">
        <v>74</v>
      </c>
      <c r="BH159" t="s">
        <v>74</v>
      </c>
      <c r="BI159">
        <v>11</v>
      </c>
      <c r="BJ159" t="s">
        <v>3483</v>
      </c>
      <c r="BK159" t="s">
        <v>102</v>
      </c>
      <c r="BL159" t="s">
        <v>3484</v>
      </c>
      <c r="BM159" t="s">
        <v>3485</v>
      </c>
      <c r="BN159">
        <v>32501707</v>
      </c>
      <c r="BO159" t="s">
        <v>976</v>
      </c>
      <c r="BP159" t="s">
        <v>74</v>
      </c>
      <c r="BQ159" t="s">
        <v>74</v>
      </c>
      <c r="BR159" t="s">
        <v>106</v>
      </c>
      <c r="BS159" t="s">
        <v>3486</v>
      </c>
      <c r="BT159" t="str">
        <f>HYPERLINK("https%3A%2F%2Fwww.webofscience.com%2Fwos%2Fwoscc%2Ffull-record%2FWOS:000548584900013","View Full Record in Web of Science")</f>
        <v>View Full Record in Web of Science</v>
      </c>
    </row>
    <row r="160" spans="1:72" x14ac:dyDescent="0.15">
      <c r="A160" t="s">
        <v>72</v>
      </c>
      <c r="B160" t="s">
        <v>3487</v>
      </c>
      <c r="C160" t="s">
        <v>74</v>
      </c>
      <c r="D160" t="s">
        <v>74</v>
      </c>
      <c r="E160" t="s">
        <v>74</v>
      </c>
      <c r="F160" t="s">
        <v>3488</v>
      </c>
      <c r="G160" t="s">
        <v>74</v>
      </c>
      <c r="H160" t="s">
        <v>74</v>
      </c>
      <c r="I160" t="s">
        <v>3489</v>
      </c>
      <c r="J160" t="s">
        <v>3490</v>
      </c>
      <c r="K160" t="s">
        <v>74</v>
      </c>
      <c r="L160" t="s">
        <v>74</v>
      </c>
      <c r="M160" t="s">
        <v>78</v>
      </c>
      <c r="N160" t="s">
        <v>2846</v>
      </c>
      <c r="O160" t="s">
        <v>74</v>
      </c>
      <c r="P160" t="s">
        <v>74</v>
      </c>
      <c r="Q160" t="s">
        <v>74</v>
      </c>
      <c r="R160" t="s">
        <v>74</v>
      </c>
      <c r="S160" t="s">
        <v>74</v>
      </c>
      <c r="T160" t="s">
        <v>74</v>
      </c>
      <c r="U160" t="s">
        <v>74</v>
      </c>
      <c r="V160" t="s">
        <v>74</v>
      </c>
      <c r="W160" t="s">
        <v>74</v>
      </c>
      <c r="X160" t="s">
        <v>74</v>
      </c>
      <c r="Y160" t="s">
        <v>74</v>
      </c>
      <c r="Z160" t="s">
        <v>74</v>
      </c>
      <c r="AA160" t="s">
        <v>3491</v>
      </c>
      <c r="AB160" t="s">
        <v>3492</v>
      </c>
      <c r="AC160" t="s">
        <v>74</v>
      </c>
      <c r="AD160" t="s">
        <v>74</v>
      </c>
      <c r="AE160" t="s">
        <v>74</v>
      </c>
      <c r="AF160" t="s">
        <v>74</v>
      </c>
      <c r="AG160">
        <v>1</v>
      </c>
      <c r="AH160">
        <v>0</v>
      </c>
      <c r="AI160">
        <v>0</v>
      </c>
      <c r="AJ160">
        <v>0</v>
      </c>
      <c r="AK160">
        <v>8</v>
      </c>
      <c r="AL160" t="s">
        <v>1389</v>
      </c>
      <c r="AM160" t="s">
        <v>945</v>
      </c>
      <c r="AN160" t="s">
        <v>1390</v>
      </c>
      <c r="AO160" t="s">
        <v>3493</v>
      </c>
      <c r="AP160" t="s">
        <v>74</v>
      </c>
      <c r="AQ160" t="s">
        <v>74</v>
      </c>
      <c r="AR160" t="s">
        <v>3494</v>
      </c>
      <c r="AS160" t="s">
        <v>3495</v>
      </c>
      <c r="AT160" t="s">
        <v>3458</v>
      </c>
      <c r="AU160">
        <v>2020</v>
      </c>
      <c r="AV160">
        <v>11</v>
      </c>
      <c r="AW160">
        <v>1</v>
      </c>
      <c r="AX160" t="s">
        <v>74</v>
      </c>
      <c r="AY160" t="s">
        <v>74</v>
      </c>
      <c r="AZ160" t="s">
        <v>74</v>
      </c>
      <c r="BA160" t="s">
        <v>74</v>
      </c>
      <c r="BB160" t="s">
        <v>74</v>
      </c>
      <c r="BC160" t="s">
        <v>74</v>
      </c>
      <c r="BD160">
        <v>3448</v>
      </c>
      <c r="BE160" t="s">
        <v>3496</v>
      </c>
      <c r="BF160" t="str">
        <f>HYPERLINK("http://dx.doi.org/10.1038/s41467-020-17152-1","http://dx.doi.org/10.1038/s41467-020-17152-1")</f>
        <v>http://dx.doi.org/10.1038/s41467-020-17152-1</v>
      </c>
      <c r="BG160" t="s">
        <v>74</v>
      </c>
      <c r="BH160" t="s">
        <v>74</v>
      </c>
      <c r="BI160">
        <v>1</v>
      </c>
      <c r="BJ160" t="s">
        <v>1125</v>
      </c>
      <c r="BK160" t="s">
        <v>102</v>
      </c>
      <c r="BL160" t="s">
        <v>1126</v>
      </c>
      <c r="BM160" t="s">
        <v>3497</v>
      </c>
      <c r="BN160">
        <v>32636371</v>
      </c>
      <c r="BO160" t="s">
        <v>1778</v>
      </c>
      <c r="BP160" t="s">
        <v>74</v>
      </c>
      <c r="BQ160" t="s">
        <v>74</v>
      </c>
      <c r="BR160" t="s">
        <v>106</v>
      </c>
      <c r="BS160" t="s">
        <v>3498</v>
      </c>
      <c r="BT160" t="str">
        <f>HYPERLINK("https%3A%2F%2Fwww.webofscience.com%2Fwos%2Fwoscc%2Ffull-record%2FWOS:000548310200002","View Full Record in Web of Science")</f>
        <v>View Full Record in Web of Science</v>
      </c>
    </row>
    <row r="161" spans="1:72" x14ac:dyDescent="0.15">
      <c r="A161" t="s">
        <v>72</v>
      </c>
      <c r="B161" t="s">
        <v>3499</v>
      </c>
      <c r="C161" t="s">
        <v>74</v>
      </c>
      <c r="D161" t="s">
        <v>74</v>
      </c>
      <c r="E161" t="s">
        <v>74</v>
      </c>
      <c r="F161" t="s">
        <v>3500</v>
      </c>
      <c r="G161" t="s">
        <v>74</v>
      </c>
      <c r="H161" t="s">
        <v>74</v>
      </c>
      <c r="I161" t="s">
        <v>3501</v>
      </c>
      <c r="J161" t="s">
        <v>3502</v>
      </c>
      <c r="K161" t="s">
        <v>74</v>
      </c>
      <c r="L161" t="s">
        <v>74</v>
      </c>
      <c r="M161" t="s">
        <v>78</v>
      </c>
      <c r="N161" t="s">
        <v>79</v>
      </c>
      <c r="O161" t="s">
        <v>74</v>
      </c>
      <c r="P161" t="s">
        <v>74</v>
      </c>
      <c r="Q161" t="s">
        <v>74</v>
      </c>
      <c r="R161" t="s">
        <v>74</v>
      </c>
      <c r="S161" t="s">
        <v>74</v>
      </c>
      <c r="T161" t="s">
        <v>3503</v>
      </c>
      <c r="U161" t="s">
        <v>3504</v>
      </c>
      <c r="V161" t="s">
        <v>3505</v>
      </c>
      <c r="W161" t="s">
        <v>3506</v>
      </c>
      <c r="X161" t="s">
        <v>3507</v>
      </c>
      <c r="Y161" t="s">
        <v>3508</v>
      </c>
      <c r="Z161" t="s">
        <v>3509</v>
      </c>
      <c r="AA161" t="s">
        <v>3510</v>
      </c>
      <c r="AB161" t="s">
        <v>3511</v>
      </c>
      <c r="AC161" t="s">
        <v>3512</v>
      </c>
      <c r="AD161" t="s">
        <v>3513</v>
      </c>
      <c r="AE161" t="s">
        <v>3514</v>
      </c>
      <c r="AF161" t="s">
        <v>74</v>
      </c>
      <c r="AG161">
        <v>106</v>
      </c>
      <c r="AH161">
        <v>11</v>
      </c>
      <c r="AI161">
        <v>11</v>
      </c>
      <c r="AJ161">
        <v>3</v>
      </c>
      <c r="AK161">
        <v>22</v>
      </c>
      <c r="AL161" t="s">
        <v>994</v>
      </c>
      <c r="AM161" t="s">
        <v>995</v>
      </c>
      <c r="AN161" t="s">
        <v>996</v>
      </c>
      <c r="AO161" t="s">
        <v>3515</v>
      </c>
      <c r="AP161" t="s">
        <v>3516</v>
      </c>
      <c r="AQ161" t="s">
        <v>74</v>
      </c>
      <c r="AR161" t="s">
        <v>3517</v>
      </c>
      <c r="AS161" t="s">
        <v>3518</v>
      </c>
      <c r="AT161" t="s">
        <v>1001</v>
      </c>
      <c r="AU161">
        <v>2020</v>
      </c>
      <c r="AV161">
        <v>56</v>
      </c>
      <c r="AW161">
        <v>5</v>
      </c>
      <c r="AX161" t="s">
        <v>74</v>
      </c>
      <c r="AY161" t="s">
        <v>74</v>
      </c>
      <c r="AZ161" t="s">
        <v>74</v>
      </c>
      <c r="BA161" t="s">
        <v>74</v>
      </c>
      <c r="BB161">
        <v>1323</v>
      </c>
      <c r="BC161">
        <v>1338</v>
      </c>
      <c r="BD161" t="s">
        <v>74</v>
      </c>
      <c r="BE161" t="s">
        <v>3519</v>
      </c>
      <c r="BF161" t="str">
        <f>HYPERLINK("http://dx.doi.org/10.1111/jpy.13036","http://dx.doi.org/10.1111/jpy.13036")</f>
        <v>http://dx.doi.org/10.1111/jpy.13036</v>
      </c>
      <c r="BG161" t="s">
        <v>74</v>
      </c>
      <c r="BH161" t="s">
        <v>1003</v>
      </c>
      <c r="BI161">
        <v>16</v>
      </c>
      <c r="BJ161" t="s">
        <v>3520</v>
      </c>
      <c r="BK161" t="s">
        <v>102</v>
      </c>
      <c r="BL161" t="s">
        <v>3520</v>
      </c>
      <c r="BM161" t="s">
        <v>3521</v>
      </c>
      <c r="BN161">
        <v>32464687</v>
      </c>
      <c r="BO161" t="s">
        <v>491</v>
      </c>
      <c r="BP161" t="s">
        <v>74</v>
      </c>
      <c r="BQ161" t="s">
        <v>74</v>
      </c>
      <c r="BR161" t="s">
        <v>106</v>
      </c>
      <c r="BS161" t="s">
        <v>3522</v>
      </c>
      <c r="BT161" t="str">
        <f>HYPERLINK("https%3A%2F%2Fwww.webofscience.com%2Fwos%2Fwoscc%2Ffull-record%2FWOS:000545637300001","View Full Record in Web of Science")</f>
        <v>View Full Record in Web of Science</v>
      </c>
    </row>
    <row r="162" spans="1:72" x14ac:dyDescent="0.15">
      <c r="A162" t="s">
        <v>72</v>
      </c>
      <c r="B162" t="s">
        <v>3523</v>
      </c>
      <c r="C162" t="s">
        <v>74</v>
      </c>
      <c r="D162" t="s">
        <v>74</v>
      </c>
      <c r="E162" t="s">
        <v>74</v>
      </c>
      <c r="F162" t="s">
        <v>3524</v>
      </c>
      <c r="G162" t="s">
        <v>74</v>
      </c>
      <c r="H162" t="s">
        <v>74</v>
      </c>
      <c r="I162" t="s">
        <v>3525</v>
      </c>
      <c r="J162" t="s">
        <v>3526</v>
      </c>
      <c r="K162" t="s">
        <v>74</v>
      </c>
      <c r="L162" t="s">
        <v>74</v>
      </c>
      <c r="M162" t="s">
        <v>78</v>
      </c>
      <c r="N162" t="s">
        <v>79</v>
      </c>
      <c r="O162" t="s">
        <v>74</v>
      </c>
      <c r="P162" t="s">
        <v>74</v>
      </c>
      <c r="Q162" t="s">
        <v>74</v>
      </c>
      <c r="R162" t="s">
        <v>74</v>
      </c>
      <c r="S162" t="s">
        <v>74</v>
      </c>
      <c r="T162" t="s">
        <v>3527</v>
      </c>
      <c r="U162" t="s">
        <v>3528</v>
      </c>
      <c r="V162" t="s">
        <v>3529</v>
      </c>
      <c r="W162" t="s">
        <v>3530</v>
      </c>
      <c r="X162" t="s">
        <v>3531</v>
      </c>
      <c r="Y162" t="s">
        <v>3532</v>
      </c>
      <c r="Z162" t="s">
        <v>3533</v>
      </c>
      <c r="AA162" t="s">
        <v>3534</v>
      </c>
      <c r="AB162" t="s">
        <v>3535</v>
      </c>
      <c r="AC162" t="s">
        <v>3536</v>
      </c>
      <c r="AD162" t="s">
        <v>3537</v>
      </c>
      <c r="AE162" t="s">
        <v>3538</v>
      </c>
      <c r="AF162" t="s">
        <v>74</v>
      </c>
      <c r="AG162">
        <v>44</v>
      </c>
      <c r="AH162">
        <v>18</v>
      </c>
      <c r="AI162">
        <v>19</v>
      </c>
      <c r="AJ162">
        <v>4</v>
      </c>
      <c r="AK162">
        <v>45</v>
      </c>
      <c r="AL162" t="s">
        <v>994</v>
      </c>
      <c r="AM162" t="s">
        <v>995</v>
      </c>
      <c r="AN162" t="s">
        <v>996</v>
      </c>
      <c r="AO162" t="s">
        <v>3539</v>
      </c>
      <c r="AP162" t="s">
        <v>3540</v>
      </c>
      <c r="AQ162" t="s">
        <v>74</v>
      </c>
      <c r="AR162" t="s">
        <v>3541</v>
      </c>
      <c r="AS162" t="s">
        <v>3542</v>
      </c>
      <c r="AT162" t="s">
        <v>1001</v>
      </c>
      <c r="AU162">
        <v>2020</v>
      </c>
      <c r="AV162">
        <v>117</v>
      </c>
      <c r="AW162">
        <v>10</v>
      </c>
      <c r="AX162" t="s">
        <v>74</v>
      </c>
      <c r="AY162" t="s">
        <v>74</v>
      </c>
      <c r="AZ162" t="s">
        <v>74</v>
      </c>
      <c r="BA162" t="s">
        <v>74</v>
      </c>
      <c r="BB162">
        <v>3006</v>
      </c>
      <c r="BC162">
        <v>3017</v>
      </c>
      <c r="BD162" t="s">
        <v>74</v>
      </c>
      <c r="BE162" t="s">
        <v>3543</v>
      </c>
      <c r="BF162" t="str">
        <f>HYPERLINK("http://dx.doi.org/10.1002/bit.27463","http://dx.doi.org/10.1002/bit.27463")</f>
        <v>http://dx.doi.org/10.1002/bit.27463</v>
      </c>
      <c r="BG162" t="s">
        <v>74</v>
      </c>
      <c r="BH162" t="s">
        <v>1003</v>
      </c>
      <c r="BI162">
        <v>12</v>
      </c>
      <c r="BJ162" t="s">
        <v>2194</v>
      </c>
      <c r="BK162" t="s">
        <v>102</v>
      </c>
      <c r="BL162" t="s">
        <v>2194</v>
      </c>
      <c r="BM162" t="s">
        <v>3544</v>
      </c>
      <c r="BN162">
        <v>32557613</v>
      </c>
      <c r="BO162" t="s">
        <v>74</v>
      </c>
      <c r="BP162" t="s">
        <v>74</v>
      </c>
      <c r="BQ162" t="s">
        <v>74</v>
      </c>
      <c r="BR162" t="s">
        <v>106</v>
      </c>
      <c r="BS162" t="s">
        <v>3545</v>
      </c>
      <c r="BT162" t="str">
        <f>HYPERLINK("https%3A%2F%2Fwww.webofscience.com%2Fwos%2Fwoscc%2Ffull-record%2FWOS:000545606500001","View Full Record in Web of Science")</f>
        <v>View Full Record in Web of Science</v>
      </c>
    </row>
    <row r="163" spans="1:72" x14ac:dyDescent="0.15">
      <c r="A163" t="s">
        <v>72</v>
      </c>
      <c r="B163" t="s">
        <v>3546</v>
      </c>
      <c r="C163" t="s">
        <v>74</v>
      </c>
      <c r="D163" t="s">
        <v>74</v>
      </c>
      <c r="E163" t="s">
        <v>74</v>
      </c>
      <c r="F163" t="s">
        <v>3547</v>
      </c>
      <c r="G163" t="s">
        <v>74</v>
      </c>
      <c r="H163" t="s">
        <v>74</v>
      </c>
      <c r="I163" t="s">
        <v>3548</v>
      </c>
      <c r="J163" t="s">
        <v>2007</v>
      </c>
      <c r="K163" t="s">
        <v>74</v>
      </c>
      <c r="L163" t="s">
        <v>74</v>
      </c>
      <c r="M163" t="s">
        <v>78</v>
      </c>
      <c r="N163" t="s">
        <v>79</v>
      </c>
      <c r="O163" t="s">
        <v>74</v>
      </c>
      <c r="P163" t="s">
        <v>74</v>
      </c>
      <c r="Q163" t="s">
        <v>74</v>
      </c>
      <c r="R163" t="s">
        <v>74</v>
      </c>
      <c r="S163" t="s">
        <v>74</v>
      </c>
      <c r="T163" t="s">
        <v>74</v>
      </c>
      <c r="U163" t="s">
        <v>3549</v>
      </c>
      <c r="V163" t="s">
        <v>3550</v>
      </c>
      <c r="W163" t="s">
        <v>3551</v>
      </c>
      <c r="X163" t="s">
        <v>3552</v>
      </c>
      <c r="Y163" t="s">
        <v>3553</v>
      </c>
      <c r="Z163" t="s">
        <v>3554</v>
      </c>
      <c r="AA163" t="s">
        <v>3555</v>
      </c>
      <c r="AB163" t="s">
        <v>3556</v>
      </c>
      <c r="AC163" t="s">
        <v>3557</v>
      </c>
      <c r="AD163" t="s">
        <v>3558</v>
      </c>
      <c r="AE163" t="s">
        <v>3559</v>
      </c>
      <c r="AF163" t="s">
        <v>74</v>
      </c>
      <c r="AG163">
        <v>36</v>
      </c>
      <c r="AH163">
        <v>59</v>
      </c>
      <c r="AI163">
        <v>66</v>
      </c>
      <c r="AJ163">
        <v>5</v>
      </c>
      <c r="AK163">
        <v>19</v>
      </c>
      <c r="AL163" t="s">
        <v>1049</v>
      </c>
      <c r="AM163" t="s">
        <v>1050</v>
      </c>
      <c r="AN163" t="s">
        <v>1051</v>
      </c>
      <c r="AO163" t="s">
        <v>2019</v>
      </c>
      <c r="AP163" t="s">
        <v>2020</v>
      </c>
      <c r="AQ163" t="s">
        <v>74</v>
      </c>
      <c r="AR163" t="s">
        <v>2007</v>
      </c>
      <c r="AS163" t="s">
        <v>2021</v>
      </c>
      <c r="AT163" t="s">
        <v>3560</v>
      </c>
      <c r="AU163">
        <v>2020</v>
      </c>
      <c r="AV163">
        <v>14</v>
      </c>
      <c r="AW163">
        <v>7</v>
      </c>
      <c r="AX163" t="s">
        <v>74</v>
      </c>
      <c r="AY163" t="s">
        <v>74</v>
      </c>
      <c r="AZ163" t="s">
        <v>74</v>
      </c>
      <c r="BA163" t="s">
        <v>74</v>
      </c>
      <c r="BB163">
        <v>2173</v>
      </c>
      <c r="BC163">
        <v>2187</v>
      </c>
      <c r="BD163" t="s">
        <v>74</v>
      </c>
      <c r="BE163" t="s">
        <v>3561</v>
      </c>
      <c r="BF163" t="str">
        <f>HYPERLINK("http://dx.doi.org/10.5194/tc-14-2173-2020","http://dx.doi.org/10.5194/tc-14-2173-2020")</f>
        <v>http://dx.doi.org/10.5194/tc-14-2173-2020</v>
      </c>
      <c r="BG163" t="s">
        <v>74</v>
      </c>
      <c r="BH163" t="s">
        <v>74</v>
      </c>
      <c r="BI163">
        <v>15</v>
      </c>
      <c r="BJ163" t="s">
        <v>694</v>
      </c>
      <c r="BK163" t="s">
        <v>102</v>
      </c>
      <c r="BL163" t="s">
        <v>695</v>
      </c>
      <c r="BM163" t="s">
        <v>3562</v>
      </c>
      <c r="BN163" t="s">
        <v>74</v>
      </c>
      <c r="BO163" t="s">
        <v>3338</v>
      </c>
      <c r="BP163" t="s">
        <v>74</v>
      </c>
      <c r="BQ163" t="s">
        <v>74</v>
      </c>
      <c r="BR163" t="s">
        <v>106</v>
      </c>
      <c r="BS163" t="s">
        <v>3563</v>
      </c>
      <c r="BT163" t="str">
        <f>HYPERLINK("https%3A%2F%2Fwww.webofscience.com%2Fwos%2Fwoscc%2Ffull-record%2FWOS:000547482300001","View Full Record in Web of Science")</f>
        <v>View Full Record in Web of Science</v>
      </c>
    </row>
    <row r="164" spans="1:72" x14ac:dyDescent="0.15">
      <c r="A164" t="s">
        <v>72</v>
      </c>
      <c r="B164" t="s">
        <v>3564</v>
      </c>
      <c r="C164" t="s">
        <v>74</v>
      </c>
      <c r="D164" t="s">
        <v>74</v>
      </c>
      <c r="E164" t="s">
        <v>74</v>
      </c>
      <c r="F164" t="s">
        <v>3565</v>
      </c>
      <c r="G164" t="s">
        <v>74</v>
      </c>
      <c r="H164" t="s">
        <v>74</v>
      </c>
      <c r="I164" t="s">
        <v>3566</v>
      </c>
      <c r="J164" t="s">
        <v>3567</v>
      </c>
      <c r="K164" t="s">
        <v>74</v>
      </c>
      <c r="L164" t="s">
        <v>74</v>
      </c>
      <c r="M164" t="s">
        <v>78</v>
      </c>
      <c r="N164" t="s">
        <v>79</v>
      </c>
      <c r="O164" t="s">
        <v>74</v>
      </c>
      <c r="P164" t="s">
        <v>74</v>
      </c>
      <c r="Q164" t="s">
        <v>74</v>
      </c>
      <c r="R164" t="s">
        <v>74</v>
      </c>
      <c r="S164" t="s">
        <v>74</v>
      </c>
      <c r="T164" t="s">
        <v>3568</v>
      </c>
      <c r="U164" t="s">
        <v>3569</v>
      </c>
      <c r="V164" t="s">
        <v>3570</v>
      </c>
      <c r="W164" t="s">
        <v>3571</v>
      </c>
      <c r="X164" t="s">
        <v>3572</v>
      </c>
      <c r="Y164" t="s">
        <v>3573</v>
      </c>
      <c r="Z164" t="s">
        <v>3574</v>
      </c>
      <c r="AA164" t="s">
        <v>3575</v>
      </c>
      <c r="AB164" t="s">
        <v>3576</v>
      </c>
      <c r="AC164" t="s">
        <v>3577</v>
      </c>
      <c r="AD164" t="s">
        <v>3578</v>
      </c>
      <c r="AE164" t="s">
        <v>3579</v>
      </c>
      <c r="AF164" t="s">
        <v>74</v>
      </c>
      <c r="AG164">
        <v>100</v>
      </c>
      <c r="AH164">
        <v>10</v>
      </c>
      <c r="AI164">
        <v>11</v>
      </c>
      <c r="AJ164">
        <v>1</v>
      </c>
      <c r="AK164">
        <v>34</v>
      </c>
      <c r="AL164" t="s">
        <v>994</v>
      </c>
      <c r="AM164" t="s">
        <v>995</v>
      </c>
      <c r="AN164" t="s">
        <v>996</v>
      </c>
      <c r="AO164" t="s">
        <v>3580</v>
      </c>
      <c r="AP164" t="s">
        <v>3581</v>
      </c>
      <c r="AQ164" t="s">
        <v>74</v>
      </c>
      <c r="AR164" t="s">
        <v>3582</v>
      </c>
      <c r="AS164" t="s">
        <v>3583</v>
      </c>
      <c r="AT164" t="s">
        <v>99</v>
      </c>
      <c r="AU164">
        <v>2020</v>
      </c>
      <c r="AV164">
        <v>34</v>
      </c>
      <c r="AW164">
        <v>8</v>
      </c>
      <c r="AX164" t="s">
        <v>74</v>
      </c>
      <c r="AY164" t="s">
        <v>74</v>
      </c>
      <c r="AZ164" t="s">
        <v>74</v>
      </c>
      <c r="BA164" t="s">
        <v>74</v>
      </c>
      <c r="BB164">
        <v>1626</v>
      </c>
      <c r="BC164">
        <v>1639</v>
      </c>
      <c r="BD164" t="s">
        <v>74</v>
      </c>
      <c r="BE164" t="s">
        <v>3584</v>
      </c>
      <c r="BF164" t="str">
        <f>HYPERLINK("http://dx.doi.org/10.1111/1365-2435.13605","http://dx.doi.org/10.1111/1365-2435.13605")</f>
        <v>http://dx.doi.org/10.1111/1365-2435.13605</v>
      </c>
      <c r="BG164" t="s">
        <v>74</v>
      </c>
      <c r="BH164" t="s">
        <v>1003</v>
      </c>
      <c r="BI164">
        <v>14</v>
      </c>
      <c r="BJ164" t="s">
        <v>1446</v>
      </c>
      <c r="BK164" t="s">
        <v>102</v>
      </c>
      <c r="BL164" t="s">
        <v>103</v>
      </c>
      <c r="BM164" t="s">
        <v>3585</v>
      </c>
      <c r="BN164" t="s">
        <v>74</v>
      </c>
      <c r="BO164" t="s">
        <v>448</v>
      </c>
      <c r="BP164" t="s">
        <v>74</v>
      </c>
      <c r="BQ164" t="s">
        <v>74</v>
      </c>
      <c r="BR164" t="s">
        <v>106</v>
      </c>
      <c r="BS164" t="s">
        <v>3586</v>
      </c>
      <c r="BT164" t="str">
        <f>HYPERLINK("https%3A%2F%2Fwww.webofscience.com%2Fwos%2Fwoscc%2Ffull-record%2FWOS:000545565200001","View Full Record in Web of Science")</f>
        <v>View Full Record in Web of Science</v>
      </c>
    </row>
    <row r="165" spans="1:72" x14ac:dyDescent="0.15">
      <c r="A165" t="s">
        <v>72</v>
      </c>
      <c r="B165" t="s">
        <v>3587</v>
      </c>
      <c r="C165" t="s">
        <v>74</v>
      </c>
      <c r="D165" t="s">
        <v>74</v>
      </c>
      <c r="E165" t="s">
        <v>74</v>
      </c>
      <c r="F165" t="s">
        <v>3588</v>
      </c>
      <c r="G165" t="s">
        <v>74</v>
      </c>
      <c r="H165" t="s">
        <v>74</v>
      </c>
      <c r="I165" t="s">
        <v>3589</v>
      </c>
      <c r="J165" t="s">
        <v>3590</v>
      </c>
      <c r="K165" t="s">
        <v>74</v>
      </c>
      <c r="L165" t="s">
        <v>74</v>
      </c>
      <c r="M165" t="s">
        <v>78</v>
      </c>
      <c r="N165" t="s">
        <v>79</v>
      </c>
      <c r="O165" t="s">
        <v>74</v>
      </c>
      <c r="P165" t="s">
        <v>74</v>
      </c>
      <c r="Q165" t="s">
        <v>74</v>
      </c>
      <c r="R165" t="s">
        <v>74</v>
      </c>
      <c r="S165" t="s">
        <v>74</v>
      </c>
      <c r="T165" t="s">
        <v>3591</v>
      </c>
      <c r="U165" t="s">
        <v>3592</v>
      </c>
      <c r="V165" t="s">
        <v>3593</v>
      </c>
      <c r="W165" t="s">
        <v>3594</v>
      </c>
      <c r="X165" t="s">
        <v>3595</v>
      </c>
      <c r="Y165" t="s">
        <v>3596</v>
      </c>
      <c r="Z165" t="s">
        <v>3597</v>
      </c>
      <c r="AA165" t="s">
        <v>3598</v>
      </c>
      <c r="AB165" t="s">
        <v>3599</v>
      </c>
      <c r="AC165" t="s">
        <v>3600</v>
      </c>
      <c r="AD165" t="s">
        <v>3600</v>
      </c>
      <c r="AE165" t="s">
        <v>3601</v>
      </c>
      <c r="AF165" t="s">
        <v>74</v>
      </c>
      <c r="AG165">
        <v>39</v>
      </c>
      <c r="AH165">
        <v>5</v>
      </c>
      <c r="AI165">
        <v>6</v>
      </c>
      <c r="AJ165">
        <v>1</v>
      </c>
      <c r="AK165">
        <v>15</v>
      </c>
      <c r="AL165" t="s">
        <v>3602</v>
      </c>
      <c r="AM165" t="s">
        <v>3603</v>
      </c>
      <c r="AN165" t="s">
        <v>3604</v>
      </c>
      <c r="AO165" t="s">
        <v>3605</v>
      </c>
      <c r="AP165" t="s">
        <v>3606</v>
      </c>
      <c r="AQ165" t="s">
        <v>74</v>
      </c>
      <c r="AR165" t="s">
        <v>3607</v>
      </c>
      <c r="AS165" t="s">
        <v>3608</v>
      </c>
      <c r="AT165" t="s">
        <v>3560</v>
      </c>
      <c r="AU165">
        <v>2020</v>
      </c>
      <c r="AV165">
        <v>59</v>
      </c>
      <c r="AW165" t="s">
        <v>74</v>
      </c>
      <c r="AX165" t="s">
        <v>74</v>
      </c>
      <c r="AY165" t="s">
        <v>74</v>
      </c>
      <c r="AZ165" t="s">
        <v>74</v>
      </c>
      <c r="BA165" t="s">
        <v>74</v>
      </c>
      <c r="BB165" t="s">
        <v>74</v>
      </c>
      <c r="BC165" t="s">
        <v>74</v>
      </c>
      <c r="BD165">
        <v>25</v>
      </c>
      <c r="BE165" t="s">
        <v>3609</v>
      </c>
      <c r="BF165" t="str">
        <f>HYPERLINK("http://dx.doi.org/10.6620/ZS.2020.59-25","http://dx.doi.org/10.6620/ZS.2020.59-25")</f>
        <v>http://dx.doi.org/10.6620/ZS.2020.59-25</v>
      </c>
      <c r="BG165" t="s">
        <v>74</v>
      </c>
      <c r="BH165" t="s">
        <v>74</v>
      </c>
      <c r="BI165">
        <v>7</v>
      </c>
      <c r="BJ165" t="s">
        <v>1499</v>
      </c>
      <c r="BK165" t="s">
        <v>102</v>
      </c>
      <c r="BL165" t="s">
        <v>1499</v>
      </c>
      <c r="BM165" t="s">
        <v>3610</v>
      </c>
      <c r="BN165">
        <v>33262848</v>
      </c>
      <c r="BO165" t="s">
        <v>74</v>
      </c>
      <c r="BP165" t="s">
        <v>74</v>
      </c>
      <c r="BQ165" t="s">
        <v>74</v>
      </c>
      <c r="BR165" t="s">
        <v>106</v>
      </c>
      <c r="BS165" t="s">
        <v>3611</v>
      </c>
      <c r="BT165" t="str">
        <f>HYPERLINK("https%3A%2F%2Fwww.webofscience.com%2Fwos%2Fwoscc%2Ffull-record%2FWOS:000546057800001","View Full Record in Web of Science")</f>
        <v>View Full Record in Web of Science</v>
      </c>
    </row>
    <row r="166" spans="1:72" x14ac:dyDescent="0.15">
      <c r="A166" t="s">
        <v>72</v>
      </c>
      <c r="B166" t="s">
        <v>3612</v>
      </c>
      <c r="C166" t="s">
        <v>74</v>
      </c>
      <c r="D166" t="s">
        <v>74</v>
      </c>
      <c r="E166" t="s">
        <v>74</v>
      </c>
      <c r="F166" t="s">
        <v>3613</v>
      </c>
      <c r="G166" t="s">
        <v>74</v>
      </c>
      <c r="H166" t="s">
        <v>74</v>
      </c>
      <c r="I166" t="s">
        <v>3614</v>
      </c>
      <c r="J166" t="s">
        <v>2051</v>
      </c>
      <c r="K166" t="s">
        <v>74</v>
      </c>
      <c r="L166" t="s">
        <v>74</v>
      </c>
      <c r="M166" t="s">
        <v>78</v>
      </c>
      <c r="N166" t="s">
        <v>79</v>
      </c>
      <c r="O166" t="s">
        <v>74</v>
      </c>
      <c r="P166" t="s">
        <v>74</v>
      </c>
      <c r="Q166" t="s">
        <v>74</v>
      </c>
      <c r="R166" t="s">
        <v>74</v>
      </c>
      <c r="S166" t="s">
        <v>74</v>
      </c>
      <c r="T166" t="s">
        <v>74</v>
      </c>
      <c r="U166" t="s">
        <v>3615</v>
      </c>
      <c r="V166" t="s">
        <v>3616</v>
      </c>
      <c r="W166" t="s">
        <v>3617</v>
      </c>
      <c r="X166" t="s">
        <v>3618</v>
      </c>
      <c r="Y166" t="s">
        <v>3619</v>
      </c>
      <c r="Z166" t="s">
        <v>3620</v>
      </c>
      <c r="AA166" t="s">
        <v>3621</v>
      </c>
      <c r="AB166" t="s">
        <v>3622</v>
      </c>
      <c r="AC166" t="s">
        <v>3623</v>
      </c>
      <c r="AD166" t="s">
        <v>3624</v>
      </c>
      <c r="AE166" t="s">
        <v>3625</v>
      </c>
      <c r="AF166" t="s">
        <v>74</v>
      </c>
      <c r="AG166">
        <v>28</v>
      </c>
      <c r="AH166">
        <v>81</v>
      </c>
      <c r="AI166">
        <v>90</v>
      </c>
      <c r="AJ166">
        <v>7</v>
      </c>
      <c r="AK166">
        <v>31</v>
      </c>
      <c r="AL166" t="s">
        <v>1049</v>
      </c>
      <c r="AM166" t="s">
        <v>1050</v>
      </c>
      <c r="AN166" t="s">
        <v>1051</v>
      </c>
      <c r="AO166" t="s">
        <v>2063</v>
      </c>
      <c r="AP166" t="s">
        <v>2064</v>
      </c>
      <c r="AQ166" t="s">
        <v>74</v>
      </c>
      <c r="AR166" t="s">
        <v>2065</v>
      </c>
      <c r="AS166" t="s">
        <v>2066</v>
      </c>
      <c r="AT166" t="s">
        <v>3560</v>
      </c>
      <c r="AU166">
        <v>2020</v>
      </c>
      <c r="AV166">
        <v>20</v>
      </c>
      <c r="AW166">
        <v>13</v>
      </c>
      <c r="AX166" t="s">
        <v>74</v>
      </c>
      <c r="AY166" t="s">
        <v>74</v>
      </c>
      <c r="AZ166" t="s">
        <v>74</v>
      </c>
      <c r="BA166" t="s">
        <v>74</v>
      </c>
      <c r="BB166">
        <v>7829</v>
      </c>
      <c r="BC166">
        <v>7842</v>
      </c>
      <c r="BD166" t="s">
        <v>74</v>
      </c>
      <c r="BE166" t="s">
        <v>3626</v>
      </c>
      <c r="BF166" t="str">
        <f>HYPERLINK("http://dx.doi.org/10.5194/acp-20-7829-2020","http://dx.doi.org/10.5194/acp-20-7829-2020")</f>
        <v>http://dx.doi.org/10.5194/acp-20-7829-2020</v>
      </c>
      <c r="BG166" t="s">
        <v>74</v>
      </c>
      <c r="BH166" t="s">
        <v>74</v>
      </c>
      <c r="BI166">
        <v>14</v>
      </c>
      <c r="BJ166" t="s">
        <v>2068</v>
      </c>
      <c r="BK166" t="s">
        <v>102</v>
      </c>
      <c r="BL166" t="s">
        <v>2069</v>
      </c>
      <c r="BM166" t="s">
        <v>3627</v>
      </c>
      <c r="BN166" t="s">
        <v>74</v>
      </c>
      <c r="BO166" t="s">
        <v>3628</v>
      </c>
      <c r="BP166" t="s">
        <v>74</v>
      </c>
      <c r="BQ166" t="s">
        <v>74</v>
      </c>
      <c r="BR166" t="s">
        <v>106</v>
      </c>
      <c r="BS166" t="s">
        <v>3629</v>
      </c>
      <c r="BT166" t="str">
        <f>HYPERLINK("https%3A%2F%2Fwww.webofscience.com%2Fwos%2Fwoscc%2Ffull-record%2FWOS:000547776600001","View Full Record in Web of Science")</f>
        <v>View Full Record in Web of Science</v>
      </c>
    </row>
    <row r="167" spans="1:72" x14ac:dyDescent="0.15">
      <c r="A167" t="s">
        <v>72</v>
      </c>
      <c r="B167" t="s">
        <v>3630</v>
      </c>
      <c r="C167" t="s">
        <v>74</v>
      </c>
      <c r="D167" t="s">
        <v>74</v>
      </c>
      <c r="E167" t="s">
        <v>74</v>
      </c>
      <c r="F167" t="s">
        <v>3631</v>
      </c>
      <c r="G167" t="s">
        <v>74</v>
      </c>
      <c r="H167" t="s">
        <v>74</v>
      </c>
      <c r="I167" t="s">
        <v>3632</v>
      </c>
      <c r="J167" t="s">
        <v>1887</v>
      </c>
      <c r="K167" t="s">
        <v>74</v>
      </c>
      <c r="L167" t="s">
        <v>74</v>
      </c>
      <c r="M167" t="s">
        <v>78</v>
      </c>
      <c r="N167" t="s">
        <v>79</v>
      </c>
      <c r="O167" t="s">
        <v>74</v>
      </c>
      <c r="P167" t="s">
        <v>74</v>
      </c>
      <c r="Q167" t="s">
        <v>74</v>
      </c>
      <c r="R167" t="s">
        <v>74</v>
      </c>
      <c r="S167" t="s">
        <v>74</v>
      </c>
      <c r="T167" t="s">
        <v>74</v>
      </c>
      <c r="U167" t="s">
        <v>3633</v>
      </c>
      <c r="V167" t="s">
        <v>3634</v>
      </c>
      <c r="W167" t="s">
        <v>3635</v>
      </c>
      <c r="X167" t="s">
        <v>3636</v>
      </c>
      <c r="Y167" t="s">
        <v>3637</v>
      </c>
      <c r="Z167" t="s">
        <v>3638</v>
      </c>
      <c r="AA167" t="s">
        <v>3639</v>
      </c>
      <c r="AB167" t="s">
        <v>3640</v>
      </c>
      <c r="AC167" t="s">
        <v>3641</v>
      </c>
      <c r="AD167" t="s">
        <v>3642</v>
      </c>
      <c r="AE167" t="s">
        <v>3643</v>
      </c>
      <c r="AF167" t="s">
        <v>74</v>
      </c>
      <c r="AG167">
        <v>167</v>
      </c>
      <c r="AH167">
        <v>343</v>
      </c>
      <c r="AI167">
        <v>363</v>
      </c>
      <c r="AJ167">
        <v>15</v>
      </c>
      <c r="AK167">
        <v>149</v>
      </c>
      <c r="AL167" t="s">
        <v>1049</v>
      </c>
      <c r="AM167" t="s">
        <v>1050</v>
      </c>
      <c r="AN167" t="s">
        <v>1051</v>
      </c>
      <c r="AO167" t="s">
        <v>1899</v>
      </c>
      <c r="AP167" t="s">
        <v>1900</v>
      </c>
      <c r="AQ167" t="s">
        <v>74</v>
      </c>
      <c r="AR167" t="s">
        <v>1887</v>
      </c>
      <c r="AS167" t="s">
        <v>1901</v>
      </c>
      <c r="AT167" t="s">
        <v>3560</v>
      </c>
      <c r="AU167">
        <v>2020</v>
      </c>
      <c r="AV167">
        <v>17</v>
      </c>
      <c r="AW167">
        <v>13</v>
      </c>
      <c r="AX167" t="s">
        <v>74</v>
      </c>
      <c r="AY167" t="s">
        <v>74</v>
      </c>
      <c r="AZ167" t="s">
        <v>74</v>
      </c>
      <c r="BA167" t="s">
        <v>74</v>
      </c>
      <c r="BB167">
        <v>3439</v>
      </c>
      <c r="BC167">
        <v>3470</v>
      </c>
      <c r="BD167" t="s">
        <v>74</v>
      </c>
      <c r="BE167" t="s">
        <v>3644</v>
      </c>
      <c r="BF167" t="str">
        <f>HYPERLINK("http://dx.doi.org/10.5194/bg-17-3439-2020","http://dx.doi.org/10.5194/bg-17-3439-2020")</f>
        <v>http://dx.doi.org/10.5194/bg-17-3439-2020</v>
      </c>
      <c r="BG167" t="s">
        <v>74</v>
      </c>
      <c r="BH167" t="s">
        <v>74</v>
      </c>
      <c r="BI167">
        <v>32</v>
      </c>
      <c r="BJ167" t="s">
        <v>1903</v>
      </c>
      <c r="BK167" t="s">
        <v>102</v>
      </c>
      <c r="BL167" t="s">
        <v>1904</v>
      </c>
      <c r="BM167" t="s">
        <v>3645</v>
      </c>
      <c r="BN167" t="s">
        <v>74</v>
      </c>
      <c r="BO167" t="s">
        <v>3338</v>
      </c>
      <c r="BP167" t="s">
        <v>162</v>
      </c>
      <c r="BQ167" t="s">
        <v>163</v>
      </c>
      <c r="BR167" t="s">
        <v>106</v>
      </c>
      <c r="BS167" t="s">
        <v>3646</v>
      </c>
      <c r="BT167" t="str">
        <f>HYPERLINK("https%3A%2F%2Fwww.webofscience.com%2Fwos%2Fwoscc%2Ffull-record%2FWOS:000547860200003","View Full Record in Web of Science")</f>
        <v>View Full Record in Web of Science</v>
      </c>
    </row>
    <row r="168" spans="1:72" x14ac:dyDescent="0.15">
      <c r="A168" t="s">
        <v>72</v>
      </c>
      <c r="B168" t="s">
        <v>3647</v>
      </c>
      <c r="C168" t="s">
        <v>74</v>
      </c>
      <c r="D168" t="s">
        <v>74</v>
      </c>
      <c r="E168" t="s">
        <v>74</v>
      </c>
      <c r="F168" t="s">
        <v>3648</v>
      </c>
      <c r="G168" t="s">
        <v>74</v>
      </c>
      <c r="H168" t="s">
        <v>74</v>
      </c>
      <c r="I168" t="s">
        <v>3649</v>
      </c>
      <c r="J168" t="s">
        <v>1783</v>
      </c>
      <c r="K168" t="s">
        <v>74</v>
      </c>
      <c r="L168" t="s">
        <v>74</v>
      </c>
      <c r="M168" t="s">
        <v>78</v>
      </c>
      <c r="N168" t="s">
        <v>79</v>
      </c>
      <c r="O168" t="s">
        <v>74</v>
      </c>
      <c r="P168" t="s">
        <v>74</v>
      </c>
      <c r="Q168" t="s">
        <v>74</v>
      </c>
      <c r="R168" t="s">
        <v>74</v>
      </c>
      <c r="S168" t="s">
        <v>74</v>
      </c>
      <c r="T168" t="s">
        <v>3650</v>
      </c>
      <c r="U168" t="s">
        <v>3651</v>
      </c>
      <c r="V168" t="s">
        <v>3652</v>
      </c>
      <c r="W168" t="s">
        <v>3653</v>
      </c>
      <c r="X168" t="s">
        <v>3654</v>
      </c>
      <c r="Y168" t="s">
        <v>3655</v>
      </c>
      <c r="Z168" t="s">
        <v>3656</v>
      </c>
      <c r="AA168" t="s">
        <v>74</v>
      </c>
      <c r="AB168" t="s">
        <v>74</v>
      </c>
      <c r="AC168" t="s">
        <v>3657</v>
      </c>
      <c r="AD168" t="s">
        <v>3658</v>
      </c>
      <c r="AE168" t="s">
        <v>3659</v>
      </c>
      <c r="AF168" t="s">
        <v>74</v>
      </c>
      <c r="AG168">
        <v>132</v>
      </c>
      <c r="AH168">
        <v>6</v>
      </c>
      <c r="AI168">
        <v>6</v>
      </c>
      <c r="AJ168">
        <v>2</v>
      </c>
      <c r="AK168">
        <v>26</v>
      </c>
      <c r="AL168" t="s">
        <v>1440</v>
      </c>
      <c r="AM168" t="s">
        <v>399</v>
      </c>
      <c r="AN168" t="s">
        <v>1441</v>
      </c>
      <c r="AO168" t="s">
        <v>1796</v>
      </c>
      <c r="AP168" t="s">
        <v>1797</v>
      </c>
      <c r="AQ168" t="s">
        <v>74</v>
      </c>
      <c r="AR168" t="s">
        <v>1798</v>
      </c>
      <c r="AS168" t="s">
        <v>1799</v>
      </c>
      <c r="AT168" t="s">
        <v>1930</v>
      </c>
      <c r="AU168">
        <v>2020</v>
      </c>
      <c r="AV168">
        <v>43</v>
      </c>
      <c r="AW168">
        <v>9</v>
      </c>
      <c r="AX168" t="s">
        <v>74</v>
      </c>
      <c r="AY168" t="s">
        <v>74</v>
      </c>
      <c r="AZ168" t="s">
        <v>74</v>
      </c>
      <c r="BA168" t="s">
        <v>74</v>
      </c>
      <c r="BB168">
        <v>1363</v>
      </c>
      <c r="BC168">
        <v>1381</v>
      </c>
      <c r="BD168" t="s">
        <v>74</v>
      </c>
      <c r="BE168" t="s">
        <v>3660</v>
      </c>
      <c r="BF168" t="str">
        <f>HYPERLINK("http://dx.doi.org/10.1007/s00300-020-02714-2","http://dx.doi.org/10.1007/s00300-020-02714-2")</f>
        <v>http://dx.doi.org/10.1007/s00300-020-02714-2</v>
      </c>
      <c r="BG168" t="s">
        <v>74</v>
      </c>
      <c r="BH168" t="s">
        <v>1003</v>
      </c>
      <c r="BI168">
        <v>19</v>
      </c>
      <c r="BJ168" t="s">
        <v>1004</v>
      </c>
      <c r="BK168" t="s">
        <v>102</v>
      </c>
      <c r="BL168" t="s">
        <v>1005</v>
      </c>
      <c r="BM168" t="s">
        <v>1949</v>
      </c>
      <c r="BN168" t="s">
        <v>74</v>
      </c>
      <c r="BO168" t="s">
        <v>294</v>
      </c>
      <c r="BP168" t="s">
        <v>74</v>
      </c>
      <c r="BQ168" t="s">
        <v>74</v>
      </c>
      <c r="BR168" t="s">
        <v>106</v>
      </c>
      <c r="BS168" t="s">
        <v>3661</v>
      </c>
      <c r="BT168" t="str">
        <f>HYPERLINK("https%3A%2F%2Fwww.webofscience.com%2Fwos%2Fwoscc%2Ffull-record%2FWOS:000545903400001","View Full Record in Web of Science")</f>
        <v>View Full Record in Web of Science</v>
      </c>
    </row>
    <row r="169" spans="1:72" x14ac:dyDescent="0.15">
      <c r="A169" t="s">
        <v>72</v>
      </c>
      <c r="B169" t="s">
        <v>3662</v>
      </c>
      <c r="C169" t="s">
        <v>74</v>
      </c>
      <c r="D169" t="s">
        <v>74</v>
      </c>
      <c r="E169" t="s">
        <v>74</v>
      </c>
      <c r="F169" t="s">
        <v>3663</v>
      </c>
      <c r="G169" t="s">
        <v>74</v>
      </c>
      <c r="H169" t="s">
        <v>74</v>
      </c>
      <c r="I169" t="s">
        <v>3664</v>
      </c>
      <c r="J169" t="s">
        <v>3665</v>
      </c>
      <c r="K169" t="s">
        <v>74</v>
      </c>
      <c r="L169" t="s">
        <v>74</v>
      </c>
      <c r="M169" t="s">
        <v>78</v>
      </c>
      <c r="N169" t="s">
        <v>79</v>
      </c>
      <c r="O169" t="s">
        <v>74</v>
      </c>
      <c r="P169" t="s">
        <v>74</v>
      </c>
      <c r="Q169" t="s">
        <v>74</v>
      </c>
      <c r="R169" t="s">
        <v>74</v>
      </c>
      <c r="S169" t="s">
        <v>74</v>
      </c>
      <c r="T169" t="s">
        <v>3666</v>
      </c>
      <c r="U169" t="s">
        <v>3667</v>
      </c>
      <c r="V169" t="s">
        <v>3668</v>
      </c>
      <c r="W169" t="s">
        <v>3669</v>
      </c>
      <c r="X169" t="s">
        <v>3670</v>
      </c>
      <c r="Y169" t="s">
        <v>3671</v>
      </c>
      <c r="Z169" t="s">
        <v>3672</v>
      </c>
      <c r="AA169" t="s">
        <v>74</v>
      </c>
      <c r="AB169" t="s">
        <v>3673</v>
      </c>
      <c r="AC169" t="s">
        <v>74</v>
      </c>
      <c r="AD169" t="s">
        <v>74</v>
      </c>
      <c r="AE169" t="s">
        <v>74</v>
      </c>
      <c r="AF169" t="s">
        <v>74</v>
      </c>
      <c r="AG169">
        <v>45</v>
      </c>
      <c r="AH169">
        <v>2</v>
      </c>
      <c r="AI169">
        <v>2</v>
      </c>
      <c r="AJ169">
        <v>2</v>
      </c>
      <c r="AK169">
        <v>9</v>
      </c>
      <c r="AL169" t="s">
        <v>994</v>
      </c>
      <c r="AM169" t="s">
        <v>995</v>
      </c>
      <c r="AN169" t="s">
        <v>996</v>
      </c>
      <c r="AO169" t="s">
        <v>3674</v>
      </c>
      <c r="AP169" t="s">
        <v>3675</v>
      </c>
      <c r="AQ169" t="s">
        <v>74</v>
      </c>
      <c r="AR169" t="s">
        <v>3676</v>
      </c>
      <c r="AS169" t="s">
        <v>3677</v>
      </c>
      <c r="AT169" t="s">
        <v>1176</v>
      </c>
      <c r="AU169">
        <v>2020</v>
      </c>
      <c r="AV169">
        <v>52</v>
      </c>
      <c r="AW169">
        <v>12</v>
      </c>
      <c r="AX169" t="s">
        <v>74</v>
      </c>
      <c r="AY169" t="s">
        <v>74</v>
      </c>
      <c r="AZ169" t="s">
        <v>2622</v>
      </c>
      <c r="BA169" t="s">
        <v>74</v>
      </c>
      <c r="BB169">
        <v>980</v>
      </c>
      <c r="BC169">
        <v>984</v>
      </c>
      <c r="BD169" t="s">
        <v>74</v>
      </c>
      <c r="BE169" t="s">
        <v>3678</v>
      </c>
      <c r="BF169" t="str">
        <f>HYPERLINK("http://dx.doi.org/10.1002/sia.6849","http://dx.doi.org/10.1002/sia.6849")</f>
        <v>http://dx.doi.org/10.1002/sia.6849</v>
      </c>
      <c r="BG169" t="s">
        <v>74</v>
      </c>
      <c r="BH169" t="s">
        <v>1003</v>
      </c>
      <c r="BI169">
        <v>5</v>
      </c>
      <c r="BJ169" t="s">
        <v>3679</v>
      </c>
      <c r="BK169" t="s">
        <v>102</v>
      </c>
      <c r="BL169" t="s">
        <v>3680</v>
      </c>
      <c r="BM169" t="s">
        <v>3681</v>
      </c>
      <c r="BN169" t="s">
        <v>74</v>
      </c>
      <c r="BO169" t="s">
        <v>74</v>
      </c>
      <c r="BP169" t="s">
        <v>74</v>
      </c>
      <c r="BQ169" t="s">
        <v>74</v>
      </c>
      <c r="BR169" t="s">
        <v>106</v>
      </c>
      <c r="BS169" t="s">
        <v>3682</v>
      </c>
      <c r="BT169" t="str">
        <f>HYPERLINK("https%3A%2F%2Fwww.webofscience.com%2Fwos%2Fwoscc%2Ffull-record%2FWOS:000545328800001","View Full Record in Web of Science")</f>
        <v>View Full Record in Web of Science</v>
      </c>
    </row>
    <row r="170" spans="1:72" x14ac:dyDescent="0.15">
      <c r="A170" t="s">
        <v>72</v>
      </c>
      <c r="B170" t="s">
        <v>3683</v>
      </c>
      <c r="C170" t="s">
        <v>74</v>
      </c>
      <c r="D170" t="s">
        <v>74</v>
      </c>
      <c r="E170" t="s">
        <v>74</v>
      </c>
      <c r="F170" t="s">
        <v>3684</v>
      </c>
      <c r="G170" t="s">
        <v>74</v>
      </c>
      <c r="H170" t="s">
        <v>74</v>
      </c>
      <c r="I170" t="s">
        <v>3685</v>
      </c>
      <c r="J170" t="s">
        <v>1662</v>
      </c>
      <c r="K170" t="s">
        <v>74</v>
      </c>
      <c r="L170" t="s">
        <v>74</v>
      </c>
      <c r="M170" t="s">
        <v>78</v>
      </c>
      <c r="N170" t="s">
        <v>79</v>
      </c>
      <c r="O170" t="s">
        <v>74</v>
      </c>
      <c r="P170" t="s">
        <v>74</v>
      </c>
      <c r="Q170" t="s">
        <v>74</v>
      </c>
      <c r="R170" t="s">
        <v>74</v>
      </c>
      <c r="S170" t="s">
        <v>74</v>
      </c>
      <c r="T170" t="s">
        <v>3686</v>
      </c>
      <c r="U170" t="s">
        <v>3687</v>
      </c>
      <c r="V170" t="s">
        <v>3688</v>
      </c>
      <c r="W170" t="s">
        <v>3689</v>
      </c>
      <c r="X170" t="s">
        <v>3690</v>
      </c>
      <c r="Y170" t="s">
        <v>3691</v>
      </c>
      <c r="Z170" t="s">
        <v>3692</v>
      </c>
      <c r="AA170" t="s">
        <v>3693</v>
      </c>
      <c r="AB170" t="s">
        <v>3694</v>
      </c>
      <c r="AC170" t="s">
        <v>3695</v>
      </c>
      <c r="AD170" t="s">
        <v>3696</v>
      </c>
      <c r="AE170" t="s">
        <v>3697</v>
      </c>
      <c r="AF170" t="s">
        <v>74</v>
      </c>
      <c r="AG170">
        <v>71</v>
      </c>
      <c r="AH170">
        <v>3</v>
      </c>
      <c r="AI170">
        <v>4</v>
      </c>
      <c r="AJ170">
        <v>1</v>
      </c>
      <c r="AK170">
        <v>10</v>
      </c>
      <c r="AL170" t="s">
        <v>1321</v>
      </c>
      <c r="AM170" t="s">
        <v>1322</v>
      </c>
      <c r="AN170" t="s">
        <v>1323</v>
      </c>
      <c r="AO170" t="s">
        <v>1674</v>
      </c>
      <c r="AP170" t="s">
        <v>1675</v>
      </c>
      <c r="AQ170" t="s">
        <v>74</v>
      </c>
      <c r="AR170" t="s">
        <v>1676</v>
      </c>
      <c r="AS170" t="s">
        <v>1677</v>
      </c>
      <c r="AT170" t="s">
        <v>3698</v>
      </c>
      <c r="AU170">
        <v>2020</v>
      </c>
      <c r="AV170">
        <v>167</v>
      </c>
      <c r="AW170">
        <v>8</v>
      </c>
      <c r="AX170" t="s">
        <v>74</v>
      </c>
      <c r="AY170" t="s">
        <v>74</v>
      </c>
      <c r="AZ170" t="s">
        <v>74</v>
      </c>
      <c r="BA170" t="s">
        <v>74</v>
      </c>
      <c r="BB170" t="s">
        <v>74</v>
      </c>
      <c r="BC170" t="s">
        <v>74</v>
      </c>
      <c r="BD170" t="s">
        <v>74</v>
      </c>
      <c r="BE170" t="s">
        <v>3699</v>
      </c>
      <c r="BF170" t="str">
        <f>HYPERLINK("http://dx.doi.org/10.1007/s00227-020-03722-w","http://dx.doi.org/10.1007/s00227-020-03722-w")</f>
        <v>http://dx.doi.org/10.1007/s00227-020-03722-w</v>
      </c>
      <c r="BG170" t="s">
        <v>74</v>
      </c>
      <c r="BH170" t="s">
        <v>74</v>
      </c>
      <c r="BI170">
        <v>10</v>
      </c>
      <c r="BJ170" t="s">
        <v>1680</v>
      </c>
      <c r="BK170" t="s">
        <v>102</v>
      </c>
      <c r="BL170" t="s">
        <v>1680</v>
      </c>
      <c r="BM170" t="s">
        <v>3700</v>
      </c>
      <c r="BN170" t="s">
        <v>74</v>
      </c>
      <c r="BO170" t="s">
        <v>74</v>
      </c>
      <c r="BP170" t="s">
        <v>74</v>
      </c>
      <c r="BQ170" t="s">
        <v>74</v>
      </c>
      <c r="BR170" t="s">
        <v>106</v>
      </c>
      <c r="BS170" t="s">
        <v>3701</v>
      </c>
      <c r="BT170" t="str">
        <f>HYPERLINK("https%3A%2F%2Fwww.webofscience.com%2Fwos%2Fwoscc%2Ffull-record%2FWOS:000548856600001","View Full Record in Web of Science")</f>
        <v>View Full Record in Web of Science</v>
      </c>
    </row>
    <row r="171" spans="1:72" x14ac:dyDescent="0.15">
      <c r="A171" t="s">
        <v>72</v>
      </c>
      <c r="B171" t="s">
        <v>3702</v>
      </c>
      <c r="C171" t="s">
        <v>74</v>
      </c>
      <c r="D171" t="s">
        <v>74</v>
      </c>
      <c r="E171" t="s">
        <v>74</v>
      </c>
      <c r="F171" t="s">
        <v>3703</v>
      </c>
      <c r="G171" t="s">
        <v>74</v>
      </c>
      <c r="H171" t="s">
        <v>74</v>
      </c>
      <c r="I171" t="s">
        <v>3704</v>
      </c>
      <c r="J171" t="s">
        <v>1662</v>
      </c>
      <c r="K171" t="s">
        <v>74</v>
      </c>
      <c r="L171" t="s">
        <v>74</v>
      </c>
      <c r="M171" t="s">
        <v>78</v>
      </c>
      <c r="N171" t="s">
        <v>79</v>
      </c>
      <c r="O171" t="s">
        <v>74</v>
      </c>
      <c r="P171" t="s">
        <v>74</v>
      </c>
      <c r="Q171" t="s">
        <v>74</v>
      </c>
      <c r="R171" t="s">
        <v>74</v>
      </c>
      <c r="S171" t="s">
        <v>74</v>
      </c>
      <c r="T171" t="s">
        <v>74</v>
      </c>
      <c r="U171" t="s">
        <v>3705</v>
      </c>
      <c r="V171" t="s">
        <v>3706</v>
      </c>
      <c r="W171" t="s">
        <v>3707</v>
      </c>
      <c r="X171" t="s">
        <v>3708</v>
      </c>
      <c r="Y171" t="s">
        <v>3709</v>
      </c>
      <c r="Z171" t="s">
        <v>3710</v>
      </c>
      <c r="AA171" t="s">
        <v>74</v>
      </c>
      <c r="AB171" t="s">
        <v>3711</v>
      </c>
      <c r="AC171" t="s">
        <v>3712</v>
      </c>
      <c r="AD171" t="s">
        <v>3713</v>
      </c>
      <c r="AE171" t="s">
        <v>3714</v>
      </c>
      <c r="AF171" t="s">
        <v>74</v>
      </c>
      <c r="AG171">
        <v>66</v>
      </c>
      <c r="AH171">
        <v>11</v>
      </c>
      <c r="AI171">
        <v>11</v>
      </c>
      <c r="AJ171">
        <v>0</v>
      </c>
      <c r="AK171">
        <v>2</v>
      </c>
      <c r="AL171" t="s">
        <v>1321</v>
      </c>
      <c r="AM171" t="s">
        <v>1322</v>
      </c>
      <c r="AN171" t="s">
        <v>1323</v>
      </c>
      <c r="AO171" t="s">
        <v>1674</v>
      </c>
      <c r="AP171" t="s">
        <v>1675</v>
      </c>
      <c r="AQ171" t="s">
        <v>74</v>
      </c>
      <c r="AR171" t="s">
        <v>1676</v>
      </c>
      <c r="AS171" t="s">
        <v>1677</v>
      </c>
      <c r="AT171" t="s">
        <v>3698</v>
      </c>
      <c r="AU171">
        <v>2020</v>
      </c>
      <c r="AV171">
        <v>167</v>
      </c>
      <c r="AW171">
        <v>8</v>
      </c>
      <c r="AX171" t="s">
        <v>74</v>
      </c>
      <c r="AY171" t="s">
        <v>74</v>
      </c>
      <c r="AZ171" t="s">
        <v>74</v>
      </c>
      <c r="BA171" t="s">
        <v>74</v>
      </c>
      <c r="BB171" t="s">
        <v>74</v>
      </c>
      <c r="BC171" t="s">
        <v>74</v>
      </c>
      <c r="BD171" t="s">
        <v>74</v>
      </c>
      <c r="BE171" t="s">
        <v>3715</v>
      </c>
      <c r="BF171" t="str">
        <f>HYPERLINK("http://dx.doi.org/10.1007/s00227-020-03714-w","http://dx.doi.org/10.1007/s00227-020-03714-w")</f>
        <v>http://dx.doi.org/10.1007/s00227-020-03714-w</v>
      </c>
      <c r="BG171" t="s">
        <v>74</v>
      </c>
      <c r="BH171" t="s">
        <v>74</v>
      </c>
      <c r="BI171">
        <v>15</v>
      </c>
      <c r="BJ171" t="s">
        <v>1680</v>
      </c>
      <c r="BK171" t="s">
        <v>102</v>
      </c>
      <c r="BL171" t="s">
        <v>1680</v>
      </c>
      <c r="BM171" t="s">
        <v>3700</v>
      </c>
      <c r="BN171" t="s">
        <v>74</v>
      </c>
      <c r="BO171" t="s">
        <v>3716</v>
      </c>
      <c r="BP171" t="s">
        <v>74</v>
      </c>
      <c r="BQ171" t="s">
        <v>74</v>
      </c>
      <c r="BR171" t="s">
        <v>106</v>
      </c>
      <c r="BS171" t="s">
        <v>3717</v>
      </c>
      <c r="BT171" t="str">
        <f>HYPERLINK("https%3A%2F%2Fwww.webofscience.com%2Fwos%2Fwoscc%2Ffull-record%2FWOS:000548856600004","View Full Record in Web of Science")</f>
        <v>View Full Record in Web of Science</v>
      </c>
    </row>
    <row r="172" spans="1:72" x14ac:dyDescent="0.15">
      <c r="A172" t="s">
        <v>72</v>
      </c>
      <c r="B172" t="s">
        <v>3718</v>
      </c>
      <c r="C172" t="s">
        <v>74</v>
      </c>
      <c r="D172" t="s">
        <v>74</v>
      </c>
      <c r="E172" t="s">
        <v>74</v>
      </c>
      <c r="F172" t="s">
        <v>3719</v>
      </c>
      <c r="G172" t="s">
        <v>74</v>
      </c>
      <c r="H172" t="s">
        <v>74</v>
      </c>
      <c r="I172" t="s">
        <v>3720</v>
      </c>
      <c r="J172" t="s">
        <v>2318</v>
      </c>
      <c r="K172" t="s">
        <v>74</v>
      </c>
      <c r="L172" t="s">
        <v>74</v>
      </c>
      <c r="M172" t="s">
        <v>78</v>
      </c>
      <c r="N172" t="s">
        <v>79</v>
      </c>
      <c r="O172" t="s">
        <v>74</v>
      </c>
      <c r="P172" t="s">
        <v>74</v>
      </c>
      <c r="Q172" t="s">
        <v>74</v>
      </c>
      <c r="R172" t="s">
        <v>74</v>
      </c>
      <c r="S172" t="s">
        <v>74</v>
      </c>
      <c r="T172" t="s">
        <v>3721</v>
      </c>
      <c r="U172" t="s">
        <v>3722</v>
      </c>
      <c r="V172" t="s">
        <v>3723</v>
      </c>
      <c r="W172" t="s">
        <v>3724</v>
      </c>
      <c r="X172" t="s">
        <v>3725</v>
      </c>
      <c r="Y172" t="s">
        <v>3726</v>
      </c>
      <c r="Z172" t="s">
        <v>3727</v>
      </c>
      <c r="AA172" t="s">
        <v>74</v>
      </c>
      <c r="AB172" t="s">
        <v>3728</v>
      </c>
      <c r="AC172" t="s">
        <v>3729</v>
      </c>
      <c r="AD172" t="s">
        <v>3730</v>
      </c>
      <c r="AE172" t="s">
        <v>3731</v>
      </c>
      <c r="AF172" t="s">
        <v>74</v>
      </c>
      <c r="AG172">
        <v>98</v>
      </c>
      <c r="AH172">
        <v>5</v>
      </c>
      <c r="AI172">
        <v>5</v>
      </c>
      <c r="AJ172">
        <v>1</v>
      </c>
      <c r="AK172">
        <v>16</v>
      </c>
      <c r="AL172" t="s">
        <v>1440</v>
      </c>
      <c r="AM172" t="s">
        <v>399</v>
      </c>
      <c r="AN172" t="s">
        <v>1441</v>
      </c>
      <c r="AO172" t="s">
        <v>2331</v>
      </c>
      <c r="AP172" t="s">
        <v>2332</v>
      </c>
      <c r="AQ172" t="s">
        <v>74</v>
      </c>
      <c r="AR172" t="s">
        <v>2333</v>
      </c>
      <c r="AS172" t="s">
        <v>2334</v>
      </c>
      <c r="AT172" t="s">
        <v>1930</v>
      </c>
      <c r="AU172">
        <v>2020</v>
      </c>
      <c r="AV172">
        <v>55</v>
      </c>
      <c r="AW172" t="s">
        <v>3442</v>
      </c>
      <c r="AX172" t="s">
        <v>74</v>
      </c>
      <c r="AY172" t="s">
        <v>74</v>
      </c>
      <c r="AZ172" t="s">
        <v>74</v>
      </c>
      <c r="BA172" t="s">
        <v>74</v>
      </c>
      <c r="BB172">
        <v>1539</v>
      </c>
      <c r="BC172">
        <v>1562</v>
      </c>
      <c r="BD172" t="s">
        <v>74</v>
      </c>
      <c r="BE172" t="s">
        <v>3732</v>
      </c>
      <c r="BF172" t="str">
        <f>HYPERLINK("http://dx.doi.org/10.1007/s00382-020-05340-0","http://dx.doi.org/10.1007/s00382-020-05340-0")</f>
        <v>http://dx.doi.org/10.1007/s00382-020-05340-0</v>
      </c>
      <c r="BG172" t="s">
        <v>74</v>
      </c>
      <c r="BH172" t="s">
        <v>1003</v>
      </c>
      <c r="BI172">
        <v>24</v>
      </c>
      <c r="BJ172" t="s">
        <v>159</v>
      </c>
      <c r="BK172" t="s">
        <v>102</v>
      </c>
      <c r="BL172" t="s">
        <v>159</v>
      </c>
      <c r="BM172" t="s">
        <v>3444</v>
      </c>
      <c r="BN172" t="s">
        <v>74</v>
      </c>
      <c r="BO172" t="s">
        <v>3733</v>
      </c>
      <c r="BP172" t="s">
        <v>74</v>
      </c>
      <c r="BQ172" t="s">
        <v>74</v>
      </c>
      <c r="BR172" t="s">
        <v>106</v>
      </c>
      <c r="BS172" t="s">
        <v>3734</v>
      </c>
      <c r="BT172" t="str">
        <f>HYPERLINK("https%3A%2F%2Fwww.webofscience.com%2Fwos%2Fwoscc%2Ffull-record%2FWOS:000545841200001","View Full Record in Web of Science")</f>
        <v>View Full Record in Web of Science</v>
      </c>
    </row>
    <row r="173" spans="1:72" x14ac:dyDescent="0.15">
      <c r="A173" t="s">
        <v>72</v>
      </c>
      <c r="B173" t="s">
        <v>3735</v>
      </c>
      <c r="C173" t="s">
        <v>74</v>
      </c>
      <c r="D173" t="s">
        <v>74</v>
      </c>
      <c r="E173" t="s">
        <v>74</v>
      </c>
      <c r="F173" t="s">
        <v>3736</v>
      </c>
      <c r="G173" t="s">
        <v>74</v>
      </c>
      <c r="H173" t="s">
        <v>74</v>
      </c>
      <c r="I173" t="s">
        <v>3737</v>
      </c>
      <c r="J173" t="s">
        <v>3738</v>
      </c>
      <c r="K173" t="s">
        <v>74</v>
      </c>
      <c r="L173" t="s">
        <v>74</v>
      </c>
      <c r="M173" t="s">
        <v>78</v>
      </c>
      <c r="N173" t="s">
        <v>79</v>
      </c>
      <c r="O173" t="s">
        <v>74</v>
      </c>
      <c r="P173" t="s">
        <v>74</v>
      </c>
      <c r="Q173" t="s">
        <v>74</v>
      </c>
      <c r="R173" t="s">
        <v>74</v>
      </c>
      <c r="S173" t="s">
        <v>74</v>
      </c>
      <c r="T173" t="s">
        <v>3739</v>
      </c>
      <c r="U173" t="s">
        <v>3740</v>
      </c>
      <c r="V173" t="s">
        <v>3741</v>
      </c>
      <c r="W173" t="s">
        <v>3742</v>
      </c>
      <c r="X173" t="s">
        <v>3743</v>
      </c>
      <c r="Y173" t="s">
        <v>3744</v>
      </c>
      <c r="Z173" t="s">
        <v>3745</v>
      </c>
      <c r="AA173" t="s">
        <v>3746</v>
      </c>
      <c r="AB173" t="s">
        <v>3747</v>
      </c>
      <c r="AC173" t="s">
        <v>74</v>
      </c>
      <c r="AD173" t="s">
        <v>74</v>
      </c>
      <c r="AE173" t="s">
        <v>74</v>
      </c>
      <c r="AF173" t="s">
        <v>74</v>
      </c>
      <c r="AG173">
        <v>50</v>
      </c>
      <c r="AH173">
        <v>14</v>
      </c>
      <c r="AI173">
        <v>14</v>
      </c>
      <c r="AJ173">
        <v>9</v>
      </c>
      <c r="AK173">
        <v>24</v>
      </c>
      <c r="AL173" t="s">
        <v>1440</v>
      </c>
      <c r="AM173" t="s">
        <v>1628</v>
      </c>
      <c r="AN173" t="s">
        <v>1629</v>
      </c>
      <c r="AO173" t="s">
        <v>3748</v>
      </c>
      <c r="AP173" t="s">
        <v>3749</v>
      </c>
      <c r="AQ173" t="s">
        <v>74</v>
      </c>
      <c r="AR173" t="s">
        <v>3750</v>
      </c>
      <c r="AS173" t="s">
        <v>3751</v>
      </c>
      <c r="AT173" t="s">
        <v>3752</v>
      </c>
      <c r="AU173">
        <v>2021</v>
      </c>
      <c r="AV173">
        <v>21</v>
      </c>
      <c r="AW173">
        <v>1</v>
      </c>
      <c r="AX173" t="s">
        <v>74</v>
      </c>
      <c r="AY173" t="s">
        <v>74</v>
      </c>
      <c r="AZ173" t="s">
        <v>2622</v>
      </c>
      <c r="BA173" t="s">
        <v>74</v>
      </c>
      <c r="BB173">
        <v>133</v>
      </c>
      <c r="BC173">
        <v>145</v>
      </c>
      <c r="BD173" t="s">
        <v>74</v>
      </c>
      <c r="BE173" t="s">
        <v>3753</v>
      </c>
      <c r="BF173" t="str">
        <f>HYPERLINK("http://dx.doi.org/10.1007/s10784-020-09491-7","http://dx.doi.org/10.1007/s10784-020-09491-7")</f>
        <v>http://dx.doi.org/10.1007/s10784-020-09491-7</v>
      </c>
      <c r="BG173" t="s">
        <v>74</v>
      </c>
      <c r="BH173" t="s">
        <v>1003</v>
      </c>
      <c r="BI173">
        <v>13</v>
      </c>
      <c r="BJ173" t="s">
        <v>3754</v>
      </c>
      <c r="BK173" t="s">
        <v>607</v>
      </c>
      <c r="BL173" t="s">
        <v>3755</v>
      </c>
      <c r="BM173" t="s">
        <v>3756</v>
      </c>
      <c r="BN173" t="s">
        <v>74</v>
      </c>
      <c r="BO173" t="s">
        <v>976</v>
      </c>
      <c r="BP173" t="s">
        <v>74</v>
      </c>
      <c r="BQ173" t="s">
        <v>74</v>
      </c>
      <c r="BR173" t="s">
        <v>106</v>
      </c>
      <c r="BS173" t="s">
        <v>3757</v>
      </c>
      <c r="BT173" t="str">
        <f>HYPERLINK("https%3A%2F%2Fwww.webofscience.com%2Fwos%2Fwoscc%2Ffull-record%2FWOS:000545519000001","View Full Record in Web of Science")</f>
        <v>View Full Record in Web of Science</v>
      </c>
    </row>
    <row r="174" spans="1:72" x14ac:dyDescent="0.15">
      <c r="A174" t="s">
        <v>72</v>
      </c>
      <c r="B174" t="s">
        <v>3758</v>
      </c>
      <c r="C174" t="s">
        <v>74</v>
      </c>
      <c r="D174" t="s">
        <v>74</v>
      </c>
      <c r="E174" t="s">
        <v>74</v>
      </c>
      <c r="F174" t="s">
        <v>3759</v>
      </c>
      <c r="G174" t="s">
        <v>74</v>
      </c>
      <c r="H174" t="s">
        <v>74</v>
      </c>
      <c r="I174" t="s">
        <v>3760</v>
      </c>
      <c r="J174" t="s">
        <v>2028</v>
      </c>
      <c r="K174" t="s">
        <v>74</v>
      </c>
      <c r="L174" t="s">
        <v>74</v>
      </c>
      <c r="M174" t="s">
        <v>78</v>
      </c>
      <c r="N174" t="s">
        <v>79</v>
      </c>
      <c r="O174" t="s">
        <v>74</v>
      </c>
      <c r="P174" t="s">
        <v>74</v>
      </c>
      <c r="Q174" t="s">
        <v>74</v>
      </c>
      <c r="R174" t="s">
        <v>74</v>
      </c>
      <c r="S174" t="s">
        <v>74</v>
      </c>
      <c r="T174" t="s">
        <v>3761</v>
      </c>
      <c r="U174" t="s">
        <v>3762</v>
      </c>
      <c r="V174" t="s">
        <v>3763</v>
      </c>
      <c r="W174" t="s">
        <v>3764</v>
      </c>
      <c r="X174" t="s">
        <v>3765</v>
      </c>
      <c r="Y174" t="s">
        <v>3766</v>
      </c>
      <c r="Z174" t="s">
        <v>3767</v>
      </c>
      <c r="AA174" t="s">
        <v>74</v>
      </c>
      <c r="AB174" t="s">
        <v>74</v>
      </c>
      <c r="AC174" t="s">
        <v>3768</v>
      </c>
      <c r="AD174" t="s">
        <v>3769</v>
      </c>
      <c r="AE174" t="s">
        <v>3770</v>
      </c>
      <c r="AF174" t="s">
        <v>74</v>
      </c>
      <c r="AG174">
        <v>95</v>
      </c>
      <c r="AH174">
        <v>5</v>
      </c>
      <c r="AI174">
        <v>5</v>
      </c>
      <c r="AJ174">
        <v>2</v>
      </c>
      <c r="AK174">
        <v>8</v>
      </c>
      <c r="AL174" t="s">
        <v>1024</v>
      </c>
      <c r="AM174" t="s">
        <v>1025</v>
      </c>
      <c r="AN174" t="s">
        <v>1026</v>
      </c>
      <c r="AO174" t="s">
        <v>74</v>
      </c>
      <c r="AP174" t="s">
        <v>2040</v>
      </c>
      <c r="AQ174" t="s">
        <v>74</v>
      </c>
      <c r="AR174" t="s">
        <v>2041</v>
      </c>
      <c r="AS174" t="s">
        <v>2042</v>
      </c>
      <c r="AT174" t="s">
        <v>2621</v>
      </c>
      <c r="AU174">
        <v>2020</v>
      </c>
      <c r="AV174">
        <v>11</v>
      </c>
      <c r="AW174" t="s">
        <v>74</v>
      </c>
      <c r="AX174" t="s">
        <v>74</v>
      </c>
      <c r="AY174" t="s">
        <v>74</v>
      </c>
      <c r="AZ174" t="s">
        <v>74</v>
      </c>
      <c r="BA174" t="s">
        <v>74</v>
      </c>
      <c r="BB174" t="s">
        <v>74</v>
      </c>
      <c r="BC174" t="s">
        <v>74</v>
      </c>
      <c r="BD174">
        <v>1486</v>
      </c>
      <c r="BE174" t="s">
        <v>3771</v>
      </c>
      <c r="BF174" t="str">
        <f>HYPERLINK("http://dx.doi.org/10.3389/fmicb.2020.01486","http://dx.doi.org/10.3389/fmicb.2020.01486")</f>
        <v>http://dx.doi.org/10.3389/fmicb.2020.01486</v>
      </c>
      <c r="BG174" t="s">
        <v>74</v>
      </c>
      <c r="BH174" t="s">
        <v>74</v>
      </c>
      <c r="BI174">
        <v>21</v>
      </c>
      <c r="BJ174" t="s">
        <v>2045</v>
      </c>
      <c r="BK174" t="s">
        <v>102</v>
      </c>
      <c r="BL174" t="s">
        <v>2045</v>
      </c>
      <c r="BM174" t="s">
        <v>3772</v>
      </c>
      <c r="BN174">
        <v>32719664</v>
      </c>
      <c r="BO174" t="s">
        <v>161</v>
      </c>
      <c r="BP174" t="s">
        <v>74</v>
      </c>
      <c r="BQ174" t="s">
        <v>74</v>
      </c>
      <c r="BR174" t="s">
        <v>106</v>
      </c>
      <c r="BS174" t="s">
        <v>3773</v>
      </c>
      <c r="BT174" t="str">
        <f>HYPERLINK("https%3A%2F%2Fwww.webofscience.com%2Fwos%2Fwoscc%2Ffull-record%2FWOS:000553776400001","View Full Record in Web of Science")</f>
        <v>View Full Record in Web of Science</v>
      </c>
    </row>
    <row r="175" spans="1:72" x14ac:dyDescent="0.15">
      <c r="A175" t="s">
        <v>72</v>
      </c>
      <c r="B175" t="s">
        <v>3774</v>
      </c>
      <c r="C175" t="s">
        <v>74</v>
      </c>
      <c r="D175" t="s">
        <v>74</v>
      </c>
      <c r="E175" t="s">
        <v>74</v>
      </c>
      <c r="F175" t="s">
        <v>3775</v>
      </c>
      <c r="G175" t="s">
        <v>74</v>
      </c>
      <c r="H175" t="s">
        <v>74</v>
      </c>
      <c r="I175" t="s">
        <v>3776</v>
      </c>
      <c r="J175" t="s">
        <v>1887</v>
      </c>
      <c r="K175" t="s">
        <v>74</v>
      </c>
      <c r="L175" t="s">
        <v>74</v>
      </c>
      <c r="M175" t="s">
        <v>78</v>
      </c>
      <c r="N175" t="s">
        <v>79</v>
      </c>
      <c r="O175" t="s">
        <v>74</v>
      </c>
      <c r="P175" t="s">
        <v>74</v>
      </c>
      <c r="Q175" t="s">
        <v>74</v>
      </c>
      <c r="R175" t="s">
        <v>74</v>
      </c>
      <c r="S175" t="s">
        <v>74</v>
      </c>
      <c r="T175" t="s">
        <v>74</v>
      </c>
      <c r="U175" t="s">
        <v>3777</v>
      </c>
      <c r="V175" t="s">
        <v>3778</v>
      </c>
      <c r="W175" t="s">
        <v>3779</v>
      </c>
      <c r="X175" t="s">
        <v>3780</v>
      </c>
      <c r="Y175" t="s">
        <v>3781</v>
      </c>
      <c r="Z175" t="s">
        <v>3782</v>
      </c>
      <c r="AA175" t="s">
        <v>3783</v>
      </c>
      <c r="AB175" t="s">
        <v>3784</v>
      </c>
      <c r="AC175" t="s">
        <v>3785</v>
      </c>
      <c r="AD175" t="s">
        <v>3786</v>
      </c>
      <c r="AE175" t="s">
        <v>3787</v>
      </c>
      <c r="AF175" t="s">
        <v>74</v>
      </c>
      <c r="AG175">
        <v>99</v>
      </c>
      <c r="AH175">
        <v>24</v>
      </c>
      <c r="AI175">
        <v>24</v>
      </c>
      <c r="AJ175">
        <v>22</v>
      </c>
      <c r="AK175">
        <v>120</v>
      </c>
      <c r="AL175" t="s">
        <v>1049</v>
      </c>
      <c r="AM175" t="s">
        <v>1050</v>
      </c>
      <c r="AN175" t="s">
        <v>1051</v>
      </c>
      <c r="AO175" t="s">
        <v>1899</v>
      </c>
      <c r="AP175" t="s">
        <v>1900</v>
      </c>
      <c r="AQ175" t="s">
        <v>74</v>
      </c>
      <c r="AR175" t="s">
        <v>1887</v>
      </c>
      <c r="AS175" t="s">
        <v>1901</v>
      </c>
      <c r="AT175" t="s">
        <v>2621</v>
      </c>
      <c r="AU175">
        <v>2020</v>
      </c>
      <c r="AV175">
        <v>17</v>
      </c>
      <c r="AW175">
        <v>13</v>
      </c>
      <c r="AX175" t="s">
        <v>74</v>
      </c>
      <c r="AY175" t="s">
        <v>74</v>
      </c>
      <c r="AZ175" t="s">
        <v>74</v>
      </c>
      <c r="BA175" t="s">
        <v>74</v>
      </c>
      <c r="BB175">
        <v>3367</v>
      </c>
      <c r="BC175">
        <v>3383</v>
      </c>
      <c r="BD175" t="s">
        <v>74</v>
      </c>
      <c r="BE175" t="s">
        <v>3788</v>
      </c>
      <c r="BF175" t="str">
        <f>HYPERLINK("http://dx.doi.org/10.5194/bg-17-3367-2020","http://dx.doi.org/10.5194/bg-17-3367-2020")</f>
        <v>http://dx.doi.org/10.5194/bg-17-3367-2020</v>
      </c>
      <c r="BG175" t="s">
        <v>74</v>
      </c>
      <c r="BH175" t="s">
        <v>74</v>
      </c>
      <c r="BI175">
        <v>17</v>
      </c>
      <c r="BJ175" t="s">
        <v>1903</v>
      </c>
      <c r="BK175" t="s">
        <v>102</v>
      </c>
      <c r="BL175" t="s">
        <v>1904</v>
      </c>
      <c r="BM175" t="s">
        <v>3789</v>
      </c>
      <c r="BN175" t="s">
        <v>74</v>
      </c>
      <c r="BO175" t="s">
        <v>3628</v>
      </c>
      <c r="BP175" t="s">
        <v>74</v>
      </c>
      <c r="BQ175" t="s">
        <v>74</v>
      </c>
      <c r="BR175" t="s">
        <v>106</v>
      </c>
      <c r="BS175" t="s">
        <v>3790</v>
      </c>
      <c r="BT175" t="str">
        <f>HYPERLINK("https%3A%2F%2Fwww.webofscience.com%2Fwos%2Fwoscc%2Ffull-record%2FWOS:000547397000001","View Full Record in Web of Science")</f>
        <v>View Full Record in Web of Science</v>
      </c>
    </row>
    <row r="176" spans="1:72" x14ac:dyDescent="0.15">
      <c r="A176" t="s">
        <v>72</v>
      </c>
      <c r="B176" t="s">
        <v>3791</v>
      </c>
      <c r="C176" t="s">
        <v>74</v>
      </c>
      <c r="D176" t="s">
        <v>74</v>
      </c>
      <c r="E176" t="s">
        <v>74</v>
      </c>
      <c r="F176" t="s">
        <v>3792</v>
      </c>
      <c r="G176" t="s">
        <v>74</v>
      </c>
      <c r="H176" t="s">
        <v>74</v>
      </c>
      <c r="I176" t="s">
        <v>3793</v>
      </c>
      <c r="J176" t="s">
        <v>3794</v>
      </c>
      <c r="K176" t="s">
        <v>74</v>
      </c>
      <c r="L176" t="s">
        <v>74</v>
      </c>
      <c r="M176" t="s">
        <v>78</v>
      </c>
      <c r="N176" t="s">
        <v>79</v>
      </c>
      <c r="O176" t="s">
        <v>74</v>
      </c>
      <c r="P176" t="s">
        <v>74</v>
      </c>
      <c r="Q176" t="s">
        <v>74</v>
      </c>
      <c r="R176" t="s">
        <v>74</v>
      </c>
      <c r="S176" t="s">
        <v>74</v>
      </c>
      <c r="T176" t="s">
        <v>3795</v>
      </c>
      <c r="U176" t="s">
        <v>74</v>
      </c>
      <c r="V176" t="s">
        <v>3796</v>
      </c>
      <c r="W176" t="s">
        <v>3797</v>
      </c>
      <c r="X176" t="s">
        <v>3798</v>
      </c>
      <c r="Y176" t="s">
        <v>3799</v>
      </c>
      <c r="Z176" t="s">
        <v>3800</v>
      </c>
      <c r="AA176" t="s">
        <v>74</v>
      </c>
      <c r="AB176" t="s">
        <v>3801</v>
      </c>
      <c r="AC176" t="s">
        <v>3802</v>
      </c>
      <c r="AD176" t="s">
        <v>3803</v>
      </c>
      <c r="AE176" t="s">
        <v>3804</v>
      </c>
      <c r="AF176" t="s">
        <v>74</v>
      </c>
      <c r="AG176">
        <v>5</v>
      </c>
      <c r="AH176">
        <v>2</v>
      </c>
      <c r="AI176">
        <v>2</v>
      </c>
      <c r="AJ176">
        <v>0</v>
      </c>
      <c r="AK176">
        <v>1</v>
      </c>
      <c r="AL176" t="s">
        <v>1411</v>
      </c>
      <c r="AM176" t="s">
        <v>1412</v>
      </c>
      <c r="AN176" t="s">
        <v>1413</v>
      </c>
      <c r="AO176" t="s">
        <v>74</v>
      </c>
      <c r="AP176" t="s">
        <v>3805</v>
      </c>
      <c r="AQ176" t="s">
        <v>74</v>
      </c>
      <c r="AR176" t="s">
        <v>3806</v>
      </c>
      <c r="AS176" t="s">
        <v>3807</v>
      </c>
      <c r="AT176" t="s">
        <v>3808</v>
      </c>
      <c r="AU176">
        <v>2020</v>
      </c>
      <c r="AV176">
        <v>5</v>
      </c>
      <c r="AW176">
        <v>3</v>
      </c>
      <c r="AX176" t="s">
        <v>74</v>
      </c>
      <c r="AY176" t="s">
        <v>74</v>
      </c>
      <c r="AZ176" t="s">
        <v>74</v>
      </c>
      <c r="BA176" t="s">
        <v>74</v>
      </c>
      <c r="BB176">
        <v>2707</v>
      </c>
      <c r="BC176">
        <v>2708</v>
      </c>
      <c r="BD176" t="s">
        <v>74</v>
      </c>
      <c r="BE176" t="s">
        <v>3809</v>
      </c>
      <c r="BF176" t="str">
        <f>HYPERLINK("http://dx.doi.org/10.1080/23802359.2020.1787275","http://dx.doi.org/10.1080/23802359.2020.1787275")</f>
        <v>http://dx.doi.org/10.1080/23802359.2020.1787275</v>
      </c>
      <c r="BG176" t="s">
        <v>74</v>
      </c>
      <c r="BH176" t="s">
        <v>74</v>
      </c>
      <c r="BI176">
        <v>2</v>
      </c>
      <c r="BJ176" t="s">
        <v>3810</v>
      </c>
      <c r="BK176" t="s">
        <v>102</v>
      </c>
      <c r="BL176" t="s">
        <v>3810</v>
      </c>
      <c r="BM176" t="s">
        <v>3811</v>
      </c>
      <c r="BN176">
        <v>33457914</v>
      </c>
      <c r="BO176" t="s">
        <v>161</v>
      </c>
      <c r="BP176" t="s">
        <v>74</v>
      </c>
      <c r="BQ176" t="s">
        <v>74</v>
      </c>
      <c r="BR176" t="s">
        <v>106</v>
      </c>
      <c r="BS176" t="s">
        <v>3812</v>
      </c>
      <c r="BT176" t="str">
        <f>HYPERLINK("https%3A%2F%2Fwww.webofscience.com%2Fwos%2Fwoscc%2Ffull-record%2FWOS:000551754000001","View Full Record in Web of Science")</f>
        <v>View Full Record in Web of Science</v>
      </c>
    </row>
    <row r="177" spans="1:72" x14ac:dyDescent="0.15">
      <c r="A177" t="s">
        <v>72</v>
      </c>
      <c r="B177" t="s">
        <v>3813</v>
      </c>
      <c r="C177" t="s">
        <v>74</v>
      </c>
      <c r="D177" t="s">
        <v>74</v>
      </c>
      <c r="E177" t="s">
        <v>74</v>
      </c>
      <c r="F177" t="s">
        <v>3814</v>
      </c>
      <c r="G177" t="s">
        <v>74</v>
      </c>
      <c r="H177" t="s">
        <v>74</v>
      </c>
      <c r="I177" t="s">
        <v>3815</v>
      </c>
      <c r="J177" t="s">
        <v>3816</v>
      </c>
      <c r="K177" t="s">
        <v>74</v>
      </c>
      <c r="L177" t="s">
        <v>74</v>
      </c>
      <c r="M177" t="s">
        <v>78</v>
      </c>
      <c r="N177" t="s">
        <v>79</v>
      </c>
      <c r="O177" t="s">
        <v>74</v>
      </c>
      <c r="P177" t="s">
        <v>74</v>
      </c>
      <c r="Q177" t="s">
        <v>74</v>
      </c>
      <c r="R177" t="s">
        <v>74</v>
      </c>
      <c r="S177" t="s">
        <v>74</v>
      </c>
      <c r="T177" t="s">
        <v>3817</v>
      </c>
      <c r="U177" t="s">
        <v>3818</v>
      </c>
      <c r="V177" t="s">
        <v>3819</v>
      </c>
      <c r="W177" t="s">
        <v>3820</v>
      </c>
      <c r="X177" t="s">
        <v>3821</v>
      </c>
      <c r="Y177" t="s">
        <v>3822</v>
      </c>
      <c r="Z177" t="s">
        <v>3823</v>
      </c>
      <c r="AA177" t="s">
        <v>3824</v>
      </c>
      <c r="AB177" t="s">
        <v>3825</v>
      </c>
      <c r="AC177" t="s">
        <v>3826</v>
      </c>
      <c r="AD177" t="s">
        <v>3827</v>
      </c>
      <c r="AE177" t="s">
        <v>3828</v>
      </c>
      <c r="AF177" t="s">
        <v>74</v>
      </c>
      <c r="AG177">
        <v>128</v>
      </c>
      <c r="AH177">
        <v>23</v>
      </c>
      <c r="AI177">
        <v>26</v>
      </c>
      <c r="AJ177">
        <v>0</v>
      </c>
      <c r="AK177">
        <v>7</v>
      </c>
      <c r="AL177" t="s">
        <v>3829</v>
      </c>
      <c r="AM177" t="s">
        <v>3830</v>
      </c>
      <c r="AN177" t="s">
        <v>3831</v>
      </c>
      <c r="AO177" t="s">
        <v>3832</v>
      </c>
      <c r="AP177" t="s">
        <v>3833</v>
      </c>
      <c r="AQ177" t="s">
        <v>74</v>
      </c>
      <c r="AR177" t="s">
        <v>3834</v>
      </c>
      <c r="AS177" t="s">
        <v>3835</v>
      </c>
      <c r="AT177" t="s">
        <v>3808</v>
      </c>
      <c r="AU177">
        <v>2020</v>
      </c>
      <c r="AV177">
        <v>43</v>
      </c>
      <c r="AW177" t="s">
        <v>3836</v>
      </c>
      <c r="AX177" t="s">
        <v>74</v>
      </c>
      <c r="AY177" t="s">
        <v>74</v>
      </c>
      <c r="AZ177" t="s">
        <v>2622</v>
      </c>
      <c r="BA177" t="s">
        <v>74</v>
      </c>
      <c r="BB177">
        <v>160</v>
      </c>
      <c r="BC177">
        <v>187</v>
      </c>
      <c r="BD177" t="s">
        <v>74</v>
      </c>
      <c r="BE177" t="s">
        <v>3837</v>
      </c>
      <c r="BF177" t="str">
        <f>HYPERLINK("http://dx.doi.org/10.1080/1088937X.2020.1766592","http://dx.doi.org/10.1080/1088937X.2020.1766592")</f>
        <v>http://dx.doi.org/10.1080/1088937X.2020.1766592</v>
      </c>
      <c r="BG177" t="s">
        <v>74</v>
      </c>
      <c r="BH177" t="s">
        <v>74</v>
      </c>
      <c r="BI177">
        <v>28</v>
      </c>
      <c r="BJ177" t="s">
        <v>832</v>
      </c>
      <c r="BK177" t="s">
        <v>3838</v>
      </c>
      <c r="BL177" t="s">
        <v>833</v>
      </c>
      <c r="BM177" t="s">
        <v>3839</v>
      </c>
      <c r="BN177" t="s">
        <v>74</v>
      </c>
      <c r="BO177" t="s">
        <v>1802</v>
      </c>
      <c r="BP177" t="s">
        <v>74</v>
      </c>
      <c r="BQ177" t="s">
        <v>74</v>
      </c>
      <c r="BR177" t="s">
        <v>106</v>
      </c>
      <c r="BS177" t="s">
        <v>3840</v>
      </c>
      <c r="BT177" t="str">
        <f>HYPERLINK("https%3A%2F%2Fwww.webofscience.com%2Fwos%2Fwoscc%2Ffull-record%2FWOS:000546957500005","View Full Record in Web of Science")</f>
        <v>View Full Record in Web of Science</v>
      </c>
    </row>
    <row r="178" spans="1:72" x14ac:dyDescent="0.15">
      <c r="A178" t="s">
        <v>72</v>
      </c>
      <c r="B178" t="s">
        <v>3841</v>
      </c>
      <c r="C178" t="s">
        <v>74</v>
      </c>
      <c r="D178" t="s">
        <v>74</v>
      </c>
      <c r="E178" t="s">
        <v>74</v>
      </c>
      <c r="F178" t="s">
        <v>3842</v>
      </c>
      <c r="G178" t="s">
        <v>74</v>
      </c>
      <c r="H178" t="s">
        <v>74</v>
      </c>
      <c r="I178" t="s">
        <v>3843</v>
      </c>
      <c r="J178" t="s">
        <v>2007</v>
      </c>
      <c r="K178" t="s">
        <v>74</v>
      </c>
      <c r="L178" t="s">
        <v>74</v>
      </c>
      <c r="M178" t="s">
        <v>78</v>
      </c>
      <c r="N178" t="s">
        <v>79</v>
      </c>
      <c r="O178" t="s">
        <v>74</v>
      </c>
      <c r="P178" t="s">
        <v>74</v>
      </c>
      <c r="Q178" t="s">
        <v>74</v>
      </c>
      <c r="R178" t="s">
        <v>74</v>
      </c>
      <c r="S178" t="s">
        <v>74</v>
      </c>
      <c r="T178" t="s">
        <v>74</v>
      </c>
      <c r="U178" t="s">
        <v>3844</v>
      </c>
      <c r="V178" t="s">
        <v>3845</v>
      </c>
      <c r="W178" t="s">
        <v>3846</v>
      </c>
      <c r="X178" t="s">
        <v>3847</v>
      </c>
      <c r="Y178" t="s">
        <v>3848</v>
      </c>
      <c r="Z178" t="s">
        <v>3849</v>
      </c>
      <c r="AA178" t="s">
        <v>3850</v>
      </c>
      <c r="AB178" t="s">
        <v>3851</v>
      </c>
      <c r="AC178" t="s">
        <v>3852</v>
      </c>
      <c r="AD178" t="s">
        <v>3853</v>
      </c>
      <c r="AE178" t="s">
        <v>3854</v>
      </c>
      <c r="AF178" t="s">
        <v>74</v>
      </c>
      <c r="AG178">
        <v>33</v>
      </c>
      <c r="AH178">
        <v>22</v>
      </c>
      <c r="AI178">
        <v>23</v>
      </c>
      <c r="AJ178">
        <v>2</v>
      </c>
      <c r="AK178">
        <v>13</v>
      </c>
      <c r="AL178" t="s">
        <v>1049</v>
      </c>
      <c r="AM178" t="s">
        <v>1050</v>
      </c>
      <c r="AN178" t="s">
        <v>1051</v>
      </c>
      <c r="AO178" t="s">
        <v>2019</v>
      </c>
      <c r="AP178" t="s">
        <v>2020</v>
      </c>
      <c r="AQ178" t="s">
        <v>74</v>
      </c>
      <c r="AR178" t="s">
        <v>2007</v>
      </c>
      <c r="AS178" t="s">
        <v>2021</v>
      </c>
      <c r="AT178" t="s">
        <v>3808</v>
      </c>
      <c r="AU178">
        <v>2020</v>
      </c>
      <c r="AV178">
        <v>14</v>
      </c>
      <c r="AW178">
        <v>7</v>
      </c>
      <c r="AX178" t="s">
        <v>74</v>
      </c>
      <c r="AY178" t="s">
        <v>74</v>
      </c>
      <c r="AZ178" t="s">
        <v>74</v>
      </c>
      <c r="BA178" t="s">
        <v>74</v>
      </c>
      <c r="BB178">
        <v>2159</v>
      </c>
      <c r="BC178">
        <v>2172</v>
      </c>
      <c r="BD178" t="s">
        <v>74</v>
      </c>
      <c r="BE178" t="s">
        <v>3855</v>
      </c>
      <c r="BF178" t="str">
        <f>HYPERLINK("http://dx.doi.org/10.5194/tc-14-2159-2020","http://dx.doi.org/10.5194/tc-14-2159-2020")</f>
        <v>http://dx.doi.org/10.5194/tc-14-2159-2020</v>
      </c>
      <c r="BG178" t="s">
        <v>74</v>
      </c>
      <c r="BH178" t="s">
        <v>74</v>
      </c>
      <c r="BI178">
        <v>14</v>
      </c>
      <c r="BJ178" t="s">
        <v>694</v>
      </c>
      <c r="BK178" t="s">
        <v>102</v>
      </c>
      <c r="BL178" t="s">
        <v>695</v>
      </c>
      <c r="BM178" t="s">
        <v>3856</v>
      </c>
      <c r="BN178" t="s">
        <v>74</v>
      </c>
      <c r="BO178" t="s">
        <v>1352</v>
      </c>
      <c r="BP178" t="s">
        <v>74</v>
      </c>
      <c r="BQ178" t="s">
        <v>74</v>
      </c>
      <c r="BR178" t="s">
        <v>106</v>
      </c>
      <c r="BS178" t="s">
        <v>3857</v>
      </c>
      <c r="BT178" t="str">
        <f>HYPERLINK("https%3A%2F%2Fwww.webofscience.com%2Fwos%2Fwoscc%2Ffull-record%2FWOS:000546688700001","View Full Record in Web of Science")</f>
        <v>View Full Record in Web of Science</v>
      </c>
    </row>
    <row r="179" spans="1:72" x14ac:dyDescent="0.15">
      <c r="A179" t="s">
        <v>72</v>
      </c>
      <c r="B179" t="s">
        <v>3858</v>
      </c>
      <c r="C179" t="s">
        <v>74</v>
      </c>
      <c r="D179" t="s">
        <v>74</v>
      </c>
      <c r="E179" t="s">
        <v>74</v>
      </c>
      <c r="F179" t="s">
        <v>3859</v>
      </c>
      <c r="G179" t="s">
        <v>74</v>
      </c>
      <c r="H179" t="s">
        <v>74</v>
      </c>
      <c r="I179" t="s">
        <v>3860</v>
      </c>
      <c r="J179" t="s">
        <v>3794</v>
      </c>
      <c r="K179" t="s">
        <v>74</v>
      </c>
      <c r="L179" t="s">
        <v>74</v>
      </c>
      <c r="M179" t="s">
        <v>78</v>
      </c>
      <c r="N179" t="s">
        <v>79</v>
      </c>
      <c r="O179" t="s">
        <v>74</v>
      </c>
      <c r="P179" t="s">
        <v>74</v>
      </c>
      <c r="Q179" t="s">
        <v>74</v>
      </c>
      <c r="R179" t="s">
        <v>74</v>
      </c>
      <c r="S179" t="s">
        <v>74</v>
      </c>
      <c r="T179" t="s">
        <v>3861</v>
      </c>
      <c r="U179" t="s">
        <v>3862</v>
      </c>
      <c r="V179" t="s">
        <v>3863</v>
      </c>
      <c r="W179" t="s">
        <v>3864</v>
      </c>
      <c r="X179" t="s">
        <v>3865</v>
      </c>
      <c r="Y179" t="s">
        <v>3866</v>
      </c>
      <c r="Z179" t="s">
        <v>3867</v>
      </c>
      <c r="AA179" t="s">
        <v>74</v>
      </c>
      <c r="AB179" t="s">
        <v>3868</v>
      </c>
      <c r="AC179" t="s">
        <v>3869</v>
      </c>
      <c r="AD179" t="s">
        <v>3870</v>
      </c>
      <c r="AE179" t="s">
        <v>3871</v>
      </c>
      <c r="AF179" t="s">
        <v>74</v>
      </c>
      <c r="AG179">
        <v>7</v>
      </c>
      <c r="AH179">
        <v>1</v>
      </c>
      <c r="AI179">
        <v>1</v>
      </c>
      <c r="AJ179">
        <v>0</v>
      </c>
      <c r="AK179">
        <v>3</v>
      </c>
      <c r="AL179" t="s">
        <v>1411</v>
      </c>
      <c r="AM179" t="s">
        <v>1412</v>
      </c>
      <c r="AN179" t="s">
        <v>1413</v>
      </c>
      <c r="AO179" t="s">
        <v>74</v>
      </c>
      <c r="AP179" t="s">
        <v>3805</v>
      </c>
      <c r="AQ179" t="s">
        <v>74</v>
      </c>
      <c r="AR179" t="s">
        <v>3806</v>
      </c>
      <c r="AS179" t="s">
        <v>3807</v>
      </c>
      <c r="AT179" t="s">
        <v>3808</v>
      </c>
      <c r="AU179">
        <v>2020</v>
      </c>
      <c r="AV179">
        <v>5</v>
      </c>
      <c r="AW179">
        <v>3</v>
      </c>
      <c r="AX179" t="s">
        <v>74</v>
      </c>
      <c r="AY179" t="s">
        <v>74</v>
      </c>
      <c r="AZ179" t="s">
        <v>74</v>
      </c>
      <c r="BA179" t="s">
        <v>74</v>
      </c>
      <c r="BB179">
        <v>2421</v>
      </c>
      <c r="BC179">
        <v>2422</v>
      </c>
      <c r="BD179" t="s">
        <v>74</v>
      </c>
      <c r="BE179" t="s">
        <v>3872</v>
      </c>
      <c r="BF179" t="str">
        <f>HYPERLINK("http://dx.doi.org/10.1080/23802359.2020.1775507","http://dx.doi.org/10.1080/23802359.2020.1775507")</f>
        <v>http://dx.doi.org/10.1080/23802359.2020.1775507</v>
      </c>
      <c r="BG179" t="s">
        <v>74</v>
      </c>
      <c r="BH179" t="s">
        <v>74</v>
      </c>
      <c r="BI179">
        <v>2</v>
      </c>
      <c r="BJ179" t="s">
        <v>3810</v>
      </c>
      <c r="BK179" t="s">
        <v>102</v>
      </c>
      <c r="BL179" t="s">
        <v>3810</v>
      </c>
      <c r="BM179" t="s">
        <v>3873</v>
      </c>
      <c r="BN179">
        <v>33457811</v>
      </c>
      <c r="BO179" t="s">
        <v>1778</v>
      </c>
      <c r="BP179" t="s">
        <v>74</v>
      </c>
      <c r="BQ179" t="s">
        <v>74</v>
      </c>
      <c r="BR179" t="s">
        <v>106</v>
      </c>
      <c r="BS179" t="s">
        <v>3874</v>
      </c>
      <c r="BT179" t="str">
        <f>HYPERLINK("https%3A%2F%2Fwww.webofscience.com%2Fwos%2Fwoscc%2Ffull-record%2FWOS:000546816300001","View Full Record in Web of Science")</f>
        <v>View Full Record in Web of Science</v>
      </c>
    </row>
    <row r="180" spans="1:72" x14ac:dyDescent="0.15">
      <c r="A180" t="s">
        <v>72</v>
      </c>
      <c r="B180" t="s">
        <v>3875</v>
      </c>
      <c r="C180" t="s">
        <v>74</v>
      </c>
      <c r="D180" t="s">
        <v>74</v>
      </c>
      <c r="E180" t="s">
        <v>74</v>
      </c>
      <c r="F180" t="s">
        <v>3876</v>
      </c>
      <c r="G180" t="s">
        <v>74</v>
      </c>
      <c r="H180" t="s">
        <v>74</v>
      </c>
      <c r="I180" t="s">
        <v>3877</v>
      </c>
      <c r="J180" t="s">
        <v>3878</v>
      </c>
      <c r="K180" t="s">
        <v>74</v>
      </c>
      <c r="L180" t="s">
        <v>74</v>
      </c>
      <c r="M180" t="s">
        <v>78</v>
      </c>
      <c r="N180" t="s">
        <v>79</v>
      </c>
      <c r="O180" t="s">
        <v>74</v>
      </c>
      <c r="P180" t="s">
        <v>74</v>
      </c>
      <c r="Q180" t="s">
        <v>74</v>
      </c>
      <c r="R180" t="s">
        <v>74</v>
      </c>
      <c r="S180" t="s">
        <v>74</v>
      </c>
      <c r="T180" t="s">
        <v>3879</v>
      </c>
      <c r="U180" t="s">
        <v>3880</v>
      </c>
      <c r="V180" t="s">
        <v>3881</v>
      </c>
      <c r="W180" t="s">
        <v>3882</v>
      </c>
      <c r="X180" t="s">
        <v>3883</v>
      </c>
      <c r="Y180" t="s">
        <v>3884</v>
      </c>
      <c r="Z180" t="s">
        <v>3885</v>
      </c>
      <c r="AA180" t="s">
        <v>3886</v>
      </c>
      <c r="AB180" t="s">
        <v>3887</v>
      </c>
      <c r="AC180" t="s">
        <v>3888</v>
      </c>
      <c r="AD180" t="s">
        <v>3889</v>
      </c>
      <c r="AE180" t="s">
        <v>3890</v>
      </c>
      <c r="AF180" t="s">
        <v>74</v>
      </c>
      <c r="AG180">
        <v>77</v>
      </c>
      <c r="AH180">
        <v>1</v>
      </c>
      <c r="AI180">
        <v>1</v>
      </c>
      <c r="AJ180">
        <v>0</v>
      </c>
      <c r="AK180">
        <v>2</v>
      </c>
      <c r="AL180" t="s">
        <v>1440</v>
      </c>
      <c r="AM180" t="s">
        <v>1628</v>
      </c>
      <c r="AN180" t="s">
        <v>1629</v>
      </c>
      <c r="AO180" t="s">
        <v>3891</v>
      </c>
      <c r="AP180" t="s">
        <v>3892</v>
      </c>
      <c r="AQ180" t="s">
        <v>74</v>
      </c>
      <c r="AR180" t="s">
        <v>3878</v>
      </c>
      <c r="AS180" t="s">
        <v>3893</v>
      </c>
      <c r="AT180" t="s">
        <v>1930</v>
      </c>
      <c r="AU180">
        <v>2020</v>
      </c>
      <c r="AV180">
        <v>162</v>
      </c>
      <c r="AW180">
        <v>2</v>
      </c>
      <c r="AX180" t="s">
        <v>74</v>
      </c>
      <c r="AY180" t="s">
        <v>74</v>
      </c>
      <c r="AZ180" t="s">
        <v>74</v>
      </c>
      <c r="BA180" t="s">
        <v>74</v>
      </c>
      <c r="BB180">
        <v>859</v>
      </c>
      <c r="BC180">
        <v>876</v>
      </c>
      <c r="BD180" t="s">
        <v>74</v>
      </c>
      <c r="BE180" t="s">
        <v>3894</v>
      </c>
      <c r="BF180" t="str">
        <f>HYPERLINK("http://dx.doi.org/10.1007/s10584-020-02769-4","http://dx.doi.org/10.1007/s10584-020-02769-4")</f>
        <v>http://dx.doi.org/10.1007/s10584-020-02769-4</v>
      </c>
      <c r="BG180" t="s">
        <v>74</v>
      </c>
      <c r="BH180" t="s">
        <v>1003</v>
      </c>
      <c r="BI180">
        <v>18</v>
      </c>
      <c r="BJ180" t="s">
        <v>2068</v>
      </c>
      <c r="BK180" t="s">
        <v>102</v>
      </c>
      <c r="BL180" t="s">
        <v>2069</v>
      </c>
      <c r="BM180" t="s">
        <v>3895</v>
      </c>
      <c r="BN180" t="s">
        <v>74</v>
      </c>
      <c r="BO180" t="s">
        <v>294</v>
      </c>
      <c r="BP180" t="s">
        <v>74</v>
      </c>
      <c r="BQ180" t="s">
        <v>74</v>
      </c>
      <c r="BR180" t="s">
        <v>106</v>
      </c>
      <c r="BS180" t="s">
        <v>3896</v>
      </c>
      <c r="BT180" t="str">
        <f>HYPERLINK("https%3A%2F%2Fwww.webofscience.com%2Fwos%2Fwoscc%2Ffull-record%2FWOS:000545458800001","View Full Record in Web of Science")</f>
        <v>View Full Record in Web of Science</v>
      </c>
    </row>
    <row r="181" spans="1:72" x14ac:dyDescent="0.15">
      <c r="A181" t="s">
        <v>72</v>
      </c>
      <c r="B181" t="s">
        <v>3897</v>
      </c>
      <c r="C181" t="s">
        <v>74</v>
      </c>
      <c r="D181" t="s">
        <v>74</v>
      </c>
      <c r="E181" t="s">
        <v>74</v>
      </c>
      <c r="F181" t="s">
        <v>3898</v>
      </c>
      <c r="G181" t="s">
        <v>74</v>
      </c>
      <c r="H181" t="s">
        <v>74</v>
      </c>
      <c r="I181" t="s">
        <v>3899</v>
      </c>
      <c r="J181" t="s">
        <v>1783</v>
      </c>
      <c r="K181" t="s">
        <v>74</v>
      </c>
      <c r="L181" t="s">
        <v>74</v>
      </c>
      <c r="M181" t="s">
        <v>78</v>
      </c>
      <c r="N181" t="s">
        <v>79</v>
      </c>
      <c r="O181" t="s">
        <v>74</v>
      </c>
      <c r="P181" t="s">
        <v>74</v>
      </c>
      <c r="Q181" t="s">
        <v>74</v>
      </c>
      <c r="R181" t="s">
        <v>74</v>
      </c>
      <c r="S181" t="s">
        <v>74</v>
      </c>
      <c r="T181" t="s">
        <v>3900</v>
      </c>
      <c r="U181" t="s">
        <v>3901</v>
      </c>
      <c r="V181" t="s">
        <v>3902</v>
      </c>
      <c r="W181" t="s">
        <v>3903</v>
      </c>
      <c r="X181" t="s">
        <v>3904</v>
      </c>
      <c r="Y181" t="s">
        <v>3905</v>
      </c>
      <c r="Z181" t="s">
        <v>3906</v>
      </c>
      <c r="AA181" t="s">
        <v>3907</v>
      </c>
      <c r="AB181" t="s">
        <v>3908</v>
      </c>
      <c r="AC181" t="s">
        <v>3909</v>
      </c>
      <c r="AD181" t="s">
        <v>3910</v>
      </c>
      <c r="AE181" t="s">
        <v>3911</v>
      </c>
      <c r="AF181" t="s">
        <v>74</v>
      </c>
      <c r="AG181">
        <v>34</v>
      </c>
      <c r="AH181">
        <v>1</v>
      </c>
      <c r="AI181">
        <v>1</v>
      </c>
      <c r="AJ181">
        <v>0</v>
      </c>
      <c r="AK181">
        <v>2</v>
      </c>
      <c r="AL181" t="s">
        <v>1440</v>
      </c>
      <c r="AM181" t="s">
        <v>399</v>
      </c>
      <c r="AN181" t="s">
        <v>1441</v>
      </c>
      <c r="AO181" t="s">
        <v>1796</v>
      </c>
      <c r="AP181" t="s">
        <v>1797</v>
      </c>
      <c r="AQ181" t="s">
        <v>74</v>
      </c>
      <c r="AR181" t="s">
        <v>1798</v>
      </c>
      <c r="AS181" t="s">
        <v>1799</v>
      </c>
      <c r="AT181" t="s">
        <v>1930</v>
      </c>
      <c r="AU181">
        <v>2020</v>
      </c>
      <c r="AV181">
        <v>43</v>
      </c>
      <c r="AW181">
        <v>9</v>
      </c>
      <c r="AX181" t="s">
        <v>74</v>
      </c>
      <c r="AY181" t="s">
        <v>74</v>
      </c>
      <c r="AZ181" t="s">
        <v>74</v>
      </c>
      <c r="BA181" t="s">
        <v>74</v>
      </c>
      <c r="BB181">
        <v>1415</v>
      </c>
      <c r="BC181">
        <v>1421</v>
      </c>
      <c r="BD181" t="s">
        <v>74</v>
      </c>
      <c r="BE181" t="s">
        <v>3912</v>
      </c>
      <c r="BF181" t="str">
        <f>HYPERLINK("http://dx.doi.org/10.1007/s00300-020-02708-0","http://dx.doi.org/10.1007/s00300-020-02708-0")</f>
        <v>http://dx.doi.org/10.1007/s00300-020-02708-0</v>
      </c>
      <c r="BG181" t="s">
        <v>74</v>
      </c>
      <c r="BH181" t="s">
        <v>1003</v>
      </c>
      <c r="BI181">
        <v>7</v>
      </c>
      <c r="BJ181" t="s">
        <v>1004</v>
      </c>
      <c r="BK181" t="s">
        <v>102</v>
      </c>
      <c r="BL181" t="s">
        <v>1005</v>
      </c>
      <c r="BM181" t="s">
        <v>1949</v>
      </c>
      <c r="BN181" t="s">
        <v>74</v>
      </c>
      <c r="BO181" t="s">
        <v>74</v>
      </c>
      <c r="BP181" t="s">
        <v>74</v>
      </c>
      <c r="BQ181" t="s">
        <v>74</v>
      </c>
      <c r="BR181" t="s">
        <v>106</v>
      </c>
      <c r="BS181" t="s">
        <v>3913</v>
      </c>
      <c r="BT181" t="str">
        <f>HYPERLINK("https%3A%2F%2Fwww.webofscience.com%2Fwos%2Fwoscc%2Ffull-record%2FWOS:000545043600001","View Full Record in Web of Science")</f>
        <v>View Full Record in Web of Science</v>
      </c>
    </row>
    <row r="182" spans="1:72" x14ac:dyDescent="0.15">
      <c r="A182" t="s">
        <v>72</v>
      </c>
      <c r="B182" t="s">
        <v>3914</v>
      </c>
      <c r="C182" t="s">
        <v>74</v>
      </c>
      <c r="D182" t="s">
        <v>74</v>
      </c>
      <c r="E182" t="s">
        <v>74</v>
      </c>
      <c r="F182" t="s">
        <v>3915</v>
      </c>
      <c r="G182" t="s">
        <v>74</v>
      </c>
      <c r="H182" t="s">
        <v>74</v>
      </c>
      <c r="I182" t="s">
        <v>3916</v>
      </c>
      <c r="J182" t="s">
        <v>3794</v>
      </c>
      <c r="K182" t="s">
        <v>74</v>
      </c>
      <c r="L182" t="s">
        <v>74</v>
      </c>
      <c r="M182" t="s">
        <v>78</v>
      </c>
      <c r="N182" t="s">
        <v>79</v>
      </c>
      <c r="O182" t="s">
        <v>74</v>
      </c>
      <c r="P182" t="s">
        <v>74</v>
      </c>
      <c r="Q182" t="s">
        <v>74</v>
      </c>
      <c r="R182" t="s">
        <v>74</v>
      </c>
      <c r="S182" t="s">
        <v>74</v>
      </c>
      <c r="T182" t="s">
        <v>3917</v>
      </c>
      <c r="U182" t="s">
        <v>3918</v>
      </c>
      <c r="V182" t="s">
        <v>3919</v>
      </c>
      <c r="W182" t="s">
        <v>3920</v>
      </c>
      <c r="X182" t="s">
        <v>3921</v>
      </c>
      <c r="Y182" t="s">
        <v>3922</v>
      </c>
      <c r="Z182" t="s">
        <v>3923</v>
      </c>
      <c r="AA182" t="s">
        <v>3924</v>
      </c>
      <c r="AB182" t="s">
        <v>3925</v>
      </c>
      <c r="AC182" t="s">
        <v>3926</v>
      </c>
      <c r="AD182" t="s">
        <v>3927</v>
      </c>
      <c r="AE182" t="s">
        <v>3928</v>
      </c>
      <c r="AF182" t="s">
        <v>74</v>
      </c>
      <c r="AG182">
        <v>9</v>
      </c>
      <c r="AH182">
        <v>2</v>
      </c>
      <c r="AI182">
        <v>2</v>
      </c>
      <c r="AJ182">
        <v>0</v>
      </c>
      <c r="AK182">
        <v>25</v>
      </c>
      <c r="AL182" t="s">
        <v>1411</v>
      </c>
      <c r="AM182" t="s">
        <v>1412</v>
      </c>
      <c r="AN182" t="s">
        <v>1413</v>
      </c>
      <c r="AO182" t="s">
        <v>74</v>
      </c>
      <c r="AP182" t="s">
        <v>3805</v>
      </c>
      <c r="AQ182" t="s">
        <v>74</v>
      </c>
      <c r="AR182" t="s">
        <v>3806</v>
      </c>
      <c r="AS182" t="s">
        <v>3807</v>
      </c>
      <c r="AT182" t="s">
        <v>3808</v>
      </c>
      <c r="AU182">
        <v>2020</v>
      </c>
      <c r="AV182">
        <v>5</v>
      </c>
      <c r="AW182">
        <v>3</v>
      </c>
      <c r="AX182" t="s">
        <v>74</v>
      </c>
      <c r="AY182" t="s">
        <v>74</v>
      </c>
      <c r="AZ182" t="s">
        <v>74</v>
      </c>
      <c r="BA182" t="s">
        <v>74</v>
      </c>
      <c r="BB182">
        <v>2267</v>
      </c>
      <c r="BC182">
        <v>2268</v>
      </c>
      <c r="BD182" t="s">
        <v>74</v>
      </c>
      <c r="BE182" t="s">
        <v>3929</v>
      </c>
      <c r="BF182" t="str">
        <f>HYPERLINK("http://dx.doi.org/10.1080/23802359.2020.1772680","http://dx.doi.org/10.1080/23802359.2020.1772680")</f>
        <v>http://dx.doi.org/10.1080/23802359.2020.1772680</v>
      </c>
      <c r="BG182" t="s">
        <v>74</v>
      </c>
      <c r="BH182" t="s">
        <v>74</v>
      </c>
      <c r="BI182">
        <v>2</v>
      </c>
      <c r="BJ182" t="s">
        <v>3810</v>
      </c>
      <c r="BK182" t="s">
        <v>102</v>
      </c>
      <c r="BL182" t="s">
        <v>3810</v>
      </c>
      <c r="BM182" t="s">
        <v>3930</v>
      </c>
      <c r="BN182">
        <v>33367002</v>
      </c>
      <c r="BO182" t="s">
        <v>161</v>
      </c>
      <c r="BP182" t="s">
        <v>74</v>
      </c>
      <c r="BQ182" t="s">
        <v>74</v>
      </c>
      <c r="BR182" t="s">
        <v>106</v>
      </c>
      <c r="BS182" t="s">
        <v>3931</v>
      </c>
      <c r="BT182" t="str">
        <f>HYPERLINK("https%3A%2F%2Fwww.webofscience.com%2Fwos%2Fwoscc%2Ffull-record%2FWOS:000539732500001","View Full Record in Web of Science")</f>
        <v>View Full Record in Web of Science</v>
      </c>
    </row>
    <row r="183" spans="1:72" x14ac:dyDescent="0.15">
      <c r="A183" t="s">
        <v>72</v>
      </c>
      <c r="B183" t="s">
        <v>3932</v>
      </c>
      <c r="C183" t="s">
        <v>74</v>
      </c>
      <c r="D183" t="s">
        <v>74</v>
      </c>
      <c r="E183" t="s">
        <v>74</v>
      </c>
      <c r="F183" t="s">
        <v>3933</v>
      </c>
      <c r="G183" t="s">
        <v>74</v>
      </c>
      <c r="H183" t="s">
        <v>74</v>
      </c>
      <c r="I183" t="s">
        <v>3934</v>
      </c>
      <c r="J183" t="s">
        <v>3935</v>
      </c>
      <c r="K183" t="s">
        <v>74</v>
      </c>
      <c r="L183" t="s">
        <v>74</v>
      </c>
      <c r="M183" t="s">
        <v>78</v>
      </c>
      <c r="N183" t="s">
        <v>79</v>
      </c>
      <c r="O183" t="s">
        <v>74</v>
      </c>
      <c r="P183" t="s">
        <v>74</v>
      </c>
      <c r="Q183" t="s">
        <v>74</v>
      </c>
      <c r="R183" t="s">
        <v>74</v>
      </c>
      <c r="S183" t="s">
        <v>74</v>
      </c>
      <c r="T183" t="s">
        <v>3936</v>
      </c>
      <c r="U183" t="s">
        <v>3937</v>
      </c>
      <c r="V183" t="s">
        <v>3938</v>
      </c>
      <c r="W183" t="s">
        <v>3939</v>
      </c>
      <c r="X183" t="s">
        <v>3940</v>
      </c>
      <c r="Y183" t="s">
        <v>3941</v>
      </c>
      <c r="Z183" t="s">
        <v>3942</v>
      </c>
      <c r="AA183" t="s">
        <v>3943</v>
      </c>
      <c r="AB183" t="s">
        <v>3944</v>
      </c>
      <c r="AC183" t="s">
        <v>3945</v>
      </c>
      <c r="AD183" t="s">
        <v>3946</v>
      </c>
      <c r="AE183" t="s">
        <v>3947</v>
      </c>
      <c r="AF183" t="s">
        <v>74</v>
      </c>
      <c r="AG183">
        <v>63</v>
      </c>
      <c r="AH183">
        <v>108</v>
      </c>
      <c r="AI183">
        <v>110</v>
      </c>
      <c r="AJ183">
        <v>6</v>
      </c>
      <c r="AK183">
        <v>39</v>
      </c>
      <c r="AL183" t="s">
        <v>151</v>
      </c>
      <c r="AM183" t="s">
        <v>152</v>
      </c>
      <c r="AN183" t="s">
        <v>153</v>
      </c>
      <c r="AO183" t="s">
        <v>74</v>
      </c>
      <c r="AP183" t="s">
        <v>3948</v>
      </c>
      <c r="AQ183" t="s">
        <v>74</v>
      </c>
      <c r="AR183" t="s">
        <v>3935</v>
      </c>
      <c r="AS183" t="s">
        <v>3949</v>
      </c>
      <c r="AT183" t="s">
        <v>3950</v>
      </c>
      <c r="AU183">
        <v>2020</v>
      </c>
      <c r="AV183">
        <v>8</v>
      </c>
      <c r="AW183">
        <v>7</v>
      </c>
      <c r="AX183" t="s">
        <v>74</v>
      </c>
      <c r="AY183" t="s">
        <v>74</v>
      </c>
      <c r="AZ183" t="s">
        <v>74</v>
      </c>
      <c r="BA183" t="s">
        <v>74</v>
      </c>
      <c r="BB183" t="s">
        <v>74</v>
      </c>
      <c r="BC183" t="s">
        <v>74</v>
      </c>
      <c r="BD183" t="s">
        <v>3951</v>
      </c>
      <c r="BE183" t="s">
        <v>3952</v>
      </c>
      <c r="BF183" t="str">
        <f>HYPERLINK("http://dx.doi.org/10.1029/2019EF001470","http://dx.doi.org/10.1029/2019EF001470")</f>
        <v>http://dx.doi.org/10.1029/2019EF001470</v>
      </c>
      <c r="BG183" t="s">
        <v>74</v>
      </c>
      <c r="BH183" t="s">
        <v>74</v>
      </c>
      <c r="BI183">
        <v>25</v>
      </c>
      <c r="BJ183" t="s">
        <v>3953</v>
      </c>
      <c r="BK183" t="s">
        <v>102</v>
      </c>
      <c r="BL183" t="s">
        <v>3954</v>
      </c>
      <c r="BM183" t="s">
        <v>3955</v>
      </c>
      <c r="BN183" t="s">
        <v>74</v>
      </c>
      <c r="BO183" t="s">
        <v>3956</v>
      </c>
      <c r="BP183" t="s">
        <v>74</v>
      </c>
      <c r="BQ183" t="s">
        <v>74</v>
      </c>
      <c r="BR183" t="s">
        <v>106</v>
      </c>
      <c r="BS183" t="s">
        <v>3957</v>
      </c>
      <c r="BT183" t="str">
        <f>HYPERLINK("https%3A%2F%2Fwww.webofscience.com%2Fwos%2Fwoscc%2Ffull-record%2FWOS:000556870200010","View Full Record in Web of Science")</f>
        <v>View Full Record in Web of Science</v>
      </c>
    </row>
    <row r="184" spans="1:72" x14ac:dyDescent="0.15">
      <c r="A184" t="s">
        <v>72</v>
      </c>
      <c r="B184" t="s">
        <v>3958</v>
      </c>
      <c r="C184" t="s">
        <v>74</v>
      </c>
      <c r="D184" t="s">
        <v>74</v>
      </c>
      <c r="E184" t="s">
        <v>74</v>
      </c>
      <c r="F184" t="s">
        <v>3959</v>
      </c>
      <c r="G184" t="s">
        <v>74</v>
      </c>
      <c r="H184" t="s">
        <v>74</v>
      </c>
      <c r="I184" t="s">
        <v>3960</v>
      </c>
      <c r="J184" t="s">
        <v>3961</v>
      </c>
      <c r="K184" t="s">
        <v>74</v>
      </c>
      <c r="L184" t="s">
        <v>74</v>
      </c>
      <c r="M184" t="s">
        <v>78</v>
      </c>
      <c r="N184" t="s">
        <v>79</v>
      </c>
      <c r="O184" t="s">
        <v>74</v>
      </c>
      <c r="P184" t="s">
        <v>74</v>
      </c>
      <c r="Q184" t="s">
        <v>74</v>
      </c>
      <c r="R184" t="s">
        <v>74</v>
      </c>
      <c r="S184" t="s">
        <v>74</v>
      </c>
      <c r="T184" t="s">
        <v>74</v>
      </c>
      <c r="U184" t="s">
        <v>74</v>
      </c>
      <c r="V184" t="s">
        <v>3962</v>
      </c>
      <c r="W184" t="s">
        <v>3963</v>
      </c>
      <c r="X184" t="s">
        <v>3964</v>
      </c>
      <c r="Y184" t="s">
        <v>3965</v>
      </c>
      <c r="Z184" t="s">
        <v>3966</v>
      </c>
      <c r="AA184" t="s">
        <v>74</v>
      </c>
      <c r="AB184" t="s">
        <v>74</v>
      </c>
      <c r="AC184" t="s">
        <v>3967</v>
      </c>
      <c r="AD184" t="s">
        <v>1860</v>
      </c>
      <c r="AE184" t="s">
        <v>3968</v>
      </c>
      <c r="AF184" t="s">
        <v>74</v>
      </c>
      <c r="AG184">
        <v>42</v>
      </c>
      <c r="AH184">
        <v>1</v>
      </c>
      <c r="AI184">
        <v>1</v>
      </c>
      <c r="AJ184">
        <v>0</v>
      </c>
      <c r="AK184">
        <v>5</v>
      </c>
      <c r="AL184" t="s">
        <v>178</v>
      </c>
      <c r="AM184" t="s">
        <v>179</v>
      </c>
      <c r="AN184" t="s">
        <v>180</v>
      </c>
      <c r="AO184" t="s">
        <v>3969</v>
      </c>
      <c r="AP184" t="s">
        <v>3970</v>
      </c>
      <c r="AQ184" t="s">
        <v>74</v>
      </c>
      <c r="AR184" t="s">
        <v>3971</v>
      </c>
      <c r="AS184" t="s">
        <v>3972</v>
      </c>
      <c r="AT184" t="s">
        <v>3950</v>
      </c>
      <c r="AU184">
        <v>2020</v>
      </c>
      <c r="AV184">
        <v>50</v>
      </c>
      <c r="AW184">
        <v>7</v>
      </c>
      <c r="AX184" t="s">
        <v>74</v>
      </c>
      <c r="AY184" t="s">
        <v>74</v>
      </c>
      <c r="AZ184" t="s">
        <v>74</v>
      </c>
      <c r="BA184" t="s">
        <v>74</v>
      </c>
      <c r="BB184">
        <v>1853</v>
      </c>
      <c r="BC184">
        <v>1870</v>
      </c>
      <c r="BD184" t="s">
        <v>74</v>
      </c>
      <c r="BE184" t="s">
        <v>3973</v>
      </c>
      <c r="BF184" t="str">
        <f>HYPERLINK("http://dx.doi.org/10.1175/JPO-D-20-0026.1","http://dx.doi.org/10.1175/JPO-D-20-0026.1")</f>
        <v>http://dx.doi.org/10.1175/JPO-D-20-0026.1</v>
      </c>
      <c r="BG184" t="s">
        <v>74</v>
      </c>
      <c r="BH184" t="s">
        <v>74</v>
      </c>
      <c r="BI184">
        <v>18</v>
      </c>
      <c r="BJ184" t="s">
        <v>213</v>
      </c>
      <c r="BK184" t="s">
        <v>102</v>
      </c>
      <c r="BL184" t="s">
        <v>213</v>
      </c>
      <c r="BM184" t="s">
        <v>3974</v>
      </c>
      <c r="BN184" t="s">
        <v>74</v>
      </c>
      <c r="BO184" t="s">
        <v>74</v>
      </c>
      <c r="BP184" t="s">
        <v>74</v>
      </c>
      <c r="BQ184" t="s">
        <v>74</v>
      </c>
      <c r="BR184" t="s">
        <v>106</v>
      </c>
      <c r="BS184" t="s">
        <v>3975</v>
      </c>
      <c r="BT184" t="str">
        <f>HYPERLINK("https%3A%2F%2Fwww.webofscience.com%2Fwos%2Fwoscc%2Ffull-record%2FWOS:000617314700003","View Full Record in Web of Science")</f>
        <v>View Full Record in Web of Science</v>
      </c>
    </row>
    <row r="185" spans="1:72" x14ac:dyDescent="0.15">
      <c r="A185" t="s">
        <v>72</v>
      </c>
      <c r="B185" t="s">
        <v>3976</v>
      </c>
      <c r="C185" t="s">
        <v>74</v>
      </c>
      <c r="D185" t="s">
        <v>74</v>
      </c>
      <c r="E185" t="s">
        <v>74</v>
      </c>
      <c r="F185" t="s">
        <v>3977</v>
      </c>
      <c r="G185" t="s">
        <v>74</v>
      </c>
      <c r="H185" t="s">
        <v>74</v>
      </c>
      <c r="I185" t="s">
        <v>3978</v>
      </c>
      <c r="J185" t="s">
        <v>3961</v>
      </c>
      <c r="K185" t="s">
        <v>74</v>
      </c>
      <c r="L185" t="s">
        <v>74</v>
      </c>
      <c r="M185" t="s">
        <v>78</v>
      </c>
      <c r="N185" t="s">
        <v>79</v>
      </c>
      <c r="O185" t="s">
        <v>74</v>
      </c>
      <c r="P185" t="s">
        <v>74</v>
      </c>
      <c r="Q185" t="s">
        <v>74</v>
      </c>
      <c r="R185" t="s">
        <v>74</v>
      </c>
      <c r="S185" t="s">
        <v>74</v>
      </c>
      <c r="T185" t="s">
        <v>74</v>
      </c>
      <c r="U185" t="s">
        <v>3979</v>
      </c>
      <c r="V185" t="s">
        <v>3980</v>
      </c>
      <c r="W185" t="s">
        <v>3981</v>
      </c>
      <c r="X185" t="s">
        <v>3982</v>
      </c>
      <c r="Y185" t="s">
        <v>3983</v>
      </c>
      <c r="Z185" t="s">
        <v>3984</v>
      </c>
      <c r="AA185" t="s">
        <v>3985</v>
      </c>
      <c r="AB185" t="s">
        <v>3986</v>
      </c>
      <c r="AC185" t="s">
        <v>3987</v>
      </c>
      <c r="AD185" t="s">
        <v>3988</v>
      </c>
      <c r="AE185" t="s">
        <v>3989</v>
      </c>
      <c r="AF185" t="s">
        <v>74</v>
      </c>
      <c r="AG185">
        <v>73</v>
      </c>
      <c r="AH185">
        <v>17</v>
      </c>
      <c r="AI185">
        <v>19</v>
      </c>
      <c r="AJ185">
        <v>2</v>
      </c>
      <c r="AK185">
        <v>5</v>
      </c>
      <c r="AL185" t="s">
        <v>178</v>
      </c>
      <c r="AM185" t="s">
        <v>179</v>
      </c>
      <c r="AN185" t="s">
        <v>180</v>
      </c>
      <c r="AO185" t="s">
        <v>3969</v>
      </c>
      <c r="AP185" t="s">
        <v>3970</v>
      </c>
      <c r="AQ185" t="s">
        <v>74</v>
      </c>
      <c r="AR185" t="s">
        <v>3971</v>
      </c>
      <c r="AS185" t="s">
        <v>3972</v>
      </c>
      <c r="AT185" t="s">
        <v>3950</v>
      </c>
      <c r="AU185">
        <v>2020</v>
      </c>
      <c r="AV185">
        <v>50</v>
      </c>
      <c r="AW185">
        <v>7</v>
      </c>
      <c r="AX185" t="s">
        <v>74</v>
      </c>
      <c r="AY185" t="s">
        <v>74</v>
      </c>
      <c r="AZ185" t="s">
        <v>74</v>
      </c>
      <c r="BA185" t="s">
        <v>74</v>
      </c>
      <c r="BB185">
        <v>1871</v>
      </c>
      <c r="BC185">
        <v>1891</v>
      </c>
      <c r="BD185" t="s">
        <v>74</v>
      </c>
      <c r="BE185" t="s">
        <v>3990</v>
      </c>
      <c r="BF185" t="str">
        <f>HYPERLINK("http://dx.doi.org/10.1175/JPO-D-19-0185.1","http://dx.doi.org/10.1175/JPO-D-19-0185.1")</f>
        <v>http://dx.doi.org/10.1175/JPO-D-19-0185.1</v>
      </c>
      <c r="BG185" t="s">
        <v>74</v>
      </c>
      <c r="BH185" t="s">
        <v>74</v>
      </c>
      <c r="BI185">
        <v>21</v>
      </c>
      <c r="BJ185" t="s">
        <v>213</v>
      </c>
      <c r="BK185" t="s">
        <v>102</v>
      </c>
      <c r="BL185" t="s">
        <v>213</v>
      </c>
      <c r="BM185" t="s">
        <v>3974</v>
      </c>
      <c r="BN185" t="s">
        <v>74</v>
      </c>
      <c r="BO185" t="s">
        <v>1657</v>
      </c>
      <c r="BP185" t="s">
        <v>74</v>
      </c>
      <c r="BQ185" t="s">
        <v>74</v>
      </c>
      <c r="BR185" t="s">
        <v>106</v>
      </c>
      <c r="BS185" t="s">
        <v>3991</v>
      </c>
      <c r="BT185" t="str">
        <f>HYPERLINK("https%3A%2F%2Fwww.webofscience.com%2Fwos%2Fwoscc%2Ffull-record%2FWOS:000617314700004","View Full Record in Web of Science")</f>
        <v>View Full Record in Web of Science</v>
      </c>
    </row>
    <row r="186" spans="1:72" x14ac:dyDescent="0.15">
      <c r="A186" t="s">
        <v>72</v>
      </c>
      <c r="B186" t="s">
        <v>3992</v>
      </c>
      <c r="C186" t="s">
        <v>74</v>
      </c>
      <c r="D186" t="s">
        <v>74</v>
      </c>
      <c r="E186" t="s">
        <v>74</v>
      </c>
      <c r="F186" t="s">
        <v>3993</v>
      </c>
      <c r="G186" t="s">
        <v>74</v>
      </c>
      <c r="H186" t="s">
        <v>74</v>
      </c>
      <c r="I186" t="s">
        <v>3994</v>
      </c>
      <c r="J186" t="s">
        <v>3995</v>
      </c>
      <c r="K186" t="s">
        <v>74</v>
      </c>
      <c r="L186" t="s">
        <v>74</v>
      </c>
      <c r="M186" t="s">
        <v>78</v>
      </c>
      <c r="N186" t="s">
        <v>79</v>
      </c>
      <c r="O186" t="s">
        <v>74</v>
      </c>
      <c r="P186" t="s">
        <v>74</v>
      </c>
      <c r="Q186" t="s">
        <v>74</v>
      </c>
      <c r="R186" t="s">
        <v>74</v>
      </c>
      <c r="S186" t="s">
        <v>74</v>
      </c>
      <c r="T186" t="s">
        <v>3996</v>
      </c>
      <c r="U186" t="s">
        <v>3997</v>
      </c>
      <c r="V186" t="s">
        <v>3998</v>
      </c>
      <c r="W186" t="s">
        <v>3999</v>
      </c>
      <c r="X186" t="s">
        <v>4000</v>
      </c>
      <c r="Y186" t="s">
        <v>4001</v>
      </c>
      <c r="Z186" t="s">
        <v>4002</v>
      </c>
      <c r="AA186" t="s">
        <v>4003</v>
      </c>
      <c r="AB186" t="s">
        <v>4004</v>
      </c>
      <c r="AC186" t="s">
        <v>4005</v>
      </c>
      <c r="AD186" t="s">
        <v>4005</v>
      </c>
      <c r="AE186" t="s">
        <v>4006</v>
      </c>
      <c r="AF186" t="s">
        <v>74</v>
      </c>
      <c r="AG186">
        <v>57</v>
      </c>
      <c r="AH186">
        <v>7</v>
      </c>
      <c r="AI186">
        <v>7</v>
      </c>
      <c r="AJ186">
        <v>0</v>
      </c>
      <c r="AK186">
        <v>12</v>
      </c>
      <c r="AL186" t="s">
        <v>124</v>
      </c>
      <c r="AM186" t="s">
        <v>93</v>
      </c>
      <c r="AN186" t="s">
        <v>125</v>
      </c>
      <c r="AO186" t="s">
        <v>4007</v>
      </c>
      <c r="AP186" t="s">
        <v>4008</v>
      </c>
      <c r="AQ186" t="s">
        <v>74</v>
      </c>
      <c r="AR186" t="s">
        <v>3995</v>
      </c>
      <c r="AS186" t="s">
        <v>4009</v>
      </c>
      <c r="AT186" t="s">
        <v>3950</v>
      </c>
      <c r="AU186">
        <v>2020</v>
      </c>
      <c r="AV186">
        <v>70</v>
      </c>
      <c r="AW186">
        <v>7</v>
      </c>
      <c r="AX186" t="s">
        <v>74</v>
      </c>
      <c r="AY186" t="s">
        <v>74</v>
      </c>
      <c r="AZ186" t="s">
        <v>74</v>
      </c>
      <c r="BA186" t="s">
        <v>74</v>
      </c>
      <c r="BB186">
        <v>589</v>
      </c>
      <c r="BC186">
        <v>596</v>
      </c>
      <c r="BD186" t="s">
        <v>74</v>
      </c>
      <c r="BE186" t="s">
        <v>4010</v>
      </c>
      <c r="BF186" t="str">
        <f>HYPERLINK("http://dx.doi.org/10.1093/biosci/biaa057","http://dx.doi.org/10.1093/biosci/biaa057")</f>
        <v>http://dx.doi.org/10.1093/biosci/biaa057</v>
      </c>
      <c r="BG186" t="s">
        <v>74</v>
      </c>
      <c r="BH186" t="s">
        <v>74</v>
      </c>
      <c r="BI186">
        <v>8</v>
      </c>
      <c r="BJ186" t="s">
        <v>1178</v>
      </c>
      <c r="BK186" t="s">
        <v>102</v>
      </c>
      <c r="BL186" t="s">
        <v>1179</v>
      </c>
      <c r="BM186" t="s">
        <v>4011</v>
      </c>
      <c r="BN186" t="s">
        <v>74</v>
      </c>
      <c r="BO186" t="s">
        <v>976</v>
      </c>
      <c r="BP186" t="s">
        <v>74</v>
      </c>
      <c r="BQ186" t="s">
        <v>74</v>
      </c>
      <c r="BR186" t="s">
        <v>106</v>
      </c>
      <c r="BS186" t="s">
        <v>4012</v>
      </c>
      <c r="BT186" t="str">
        <f>HYPERLINK("https%3A%2F%2Fwww.webofscience.com%2Fwos%2Fwoscc%2Ffull-record%2FWOS:000614724000009","View Full Record in Web of Science")</f>
        <v>View Full Record in Web of Science</v>
      </c>
    </row>
    <row r="187" spans="1:72" x14ac:dyDescent="0.15">
      <c r="A187" t="s">
        <v>72</v>
      </c>
      <c r="B187" t="s">
        <v>4013</v>
      </c>
      <c r="C187" t="s">
        <v>74</v>
      </c>
      <c r="D187" t="s">
        <v>74</v>
      </c>
      <c r="E187" t="s">
        <v>74</v>
      </c>
      <c r="F187" t="s">
        <v>4014</v>
      </c>
      <c r="G187" t="s">
        <v>74</v>
      </c>
      <c r="H187" t="s">
        <v>74</v>
      </c>
      <c r="I187" t="s">
        <v>4015</v>
      </c>
      <c r="J187" t="s">
        <v>4016</v>
      </c>
      <c r="K187" t="s">
        <v>74</v>
      </c>
      <c r="L187" t="s">
        <v>74</v>
      </c>
      <c r="M187" t="s">
        <v>78</v>
      </c>
      <c r="N187" t="s">
        <v>79</v>
      </c>
      <c r="O187" t="s">
        <v>74</v>
      </c>
      <c r="P187" t="s">
        <v>74</v>
      </c>
      <c r="Q187" t="s">
        <v>74</v>
      </c>
      <c r="R187" t="s">
        <v>74</v>
      </c>
      <c r="S187" t="s">
        <v>74</v>
      </c>
      <c r="T187" t="s">
        <v>4017</v>
      </c>
      <c r="U187" t="s">
        <v>4018</v>
      </c>
      <c r="V187" t="s">
        <v>4019</v>
      </c>
      <c r="W187" t="s">
        <v>4020</v>
      </c>
      <c r="X187" t="s">
        <v>4021</v>
      </c>
      <c r="Y187" t="s">
        <v>4022</v>
      </c>
      <c r="Z187" t="s">
        <v>4023</v>
      </c>
      <c r="AA187" t="s">
        <v>4024</v>
      </c>
      <c r="AB187" t="s">
        <v>4025</v>
      </c>
      <c r="AC187" t="s">
        <v>4026</v>
      </c>
      <c r="AD187" t="s">
        <v>4027</v>
      </c>
      <c r="AE187" t="s">
        <v>4028</v>
      </c>
      <c r="AF187" t="s">
        <v>74</v>
      </c>
      <c r="AG187">
        <v>27</v>
      </c>
      <c r="AH187">
        <v>15</v>
      </c>
      <c r="AI187">
        <v>16</v>
      </c>
      <c r="AJ187">
        <v>0</v>
      </c>
      <c r="AK187">
        <v>2</v>
      </c>
      <c r="AL187" t="s">
        <v>284</v>
      </c>
      <c r="AM187" t="s">
        <v>285</v>
      </c>
      <c r="AN187" t="s">
        <v>286</v>
      </c>
      <c r="AO187" t="s">
        <v>4029</v>
      </c>
      <c r="AP187" t="s">
        <v>74</v>
      </c>
      <c r="AQ187" t="s">
        <v>74</v>
      </c>
      <c r="AR187" t="s">
        <v>4016</v>
      </c>
      <c r="AS187" t="s">
        <v>4030</v>
      </c>
      <c r="AT187" t="s">
        <v>4031</v>
      </c>
      <c r="AU187">
        <v>2020</v>
      </c>
      <c r="AV187">
        <v>12</v>
      </c>
      <c r="AW187" t="s">
        <v>74</v>
      </c>
      <c r="AX187" t="s">
        <v>74</v>
      </c>
      <c r="AY187" t="s">
        <v>74</v>
      </c>
      <c r="AZ187" t="s">
        <v>74</v>
      </c>
      <c r="BA187" t="s">
        <v>74</v>
      </c>
      <c r="BB187" t="s">
        <v>74</v>
      </c>
      <c r="BC187" t="s">
        <v>74</v>
      </c>
      <c r="BD187">
        <v>100581</v>
      </c>
      <c r="BE187" t="s">
        <v>4032</v>
      </c>
      <c r="BF187" t="str">
        <f>HYPERLINK("http://dx.doi.org/10.1016/j.softx.2020.100581","http://dx.doi.org/10.1016/j.softx.2020.100581")</f>
        <v>http://dx.doi.org/10.1016/j.softx.2020.100581</v>
      </c>
      <c r="BG187" t="s">
        <v>74</v>
      </c>
      <c r="BH187" t="s">
        <v>74</v>
      </c>
      <c r="BI187">
        <v>8</v>
      </c>
      <c r="BJ187" t="s">
        <v>4033</v>
      </c>
      <c r="BK187" t="s">
        <v>102</v>
      </c>
      <c r="BL187" t="s">
        <v>4034</v>
      </c>
      <c r="BM187" t="s">
        <v>4035</v>
      </c>
      <c r="BN187" t="s">
        <v>74</v>
      </c>
      <c r="BO187" t="s">
        <v>161</v>
      </c>
      <c r="BP187" t="s">
        <v>74</v>
      </c>
      <c r="BQ187" t="s">
        <v>74</v>
      </c>
      <c r="BR187" t="s">
        <v>106</v>
      </c>
      <c r="BS187" t="s">
        <v>4036</v>
      </c>
      <c r="BT187" t="str">
        <f>HYPERLINK("https%3A%2F%2Fwww.webofscience.com%2Fwos%2Fwoscc%2Ffull-record%2FWOS:000600676600043","View Full Record in Web of Science")</f>
        <v>View Full Record in Web of Science</v>
      </c>
    </row>
    <row r="188" spans="1:72" x14ac:dyDescent="0.15">
      <c r="A188" t="s">
        <v>72</v>
      </c>
      <c r="B188" t="s">
        <v>4037</v>
      </c>
      <c r="C188" t="s">
        <v>74</v>
      </c>
      <c r="D188" t="s">
        <v>74</v>
      </c>
      <c r="E188" t="s">
        <v>74</v>
      </c>
      <c r="F188" t="s">
        <v>4038</v>
      </c>
      <c r="G188" t="s">
        <v>74</v>
      </c>
      <c r="H188" t="s">
        <v>74</v>
      </c>
      <c r="I188" t="s">
        <v>4039</v>
      </c>
      <c r="J188" t="s">
        <v>4040</v>
      </c>
      <c r="K188" t="s">
        <v>74</v>
      </c>
      <c r="L188" t="s">
        <v>74</v>
      </c>
      <c r="M188" t="s">
        <v>78</v>
      </c>
      <c r="N188" t="s">
        <v>79</v>
      </c>
      <c r="O188" t="s">
        <v>74</v>
      </c>
      <c r="P188" t="s">
        <v>74</v>
      </c>
      <c r="Q188" t="s">
        <v>74</v>
      </c>
      <c r="R188" t="s">
        <v>74</v>
      </c>
      <c r="S188" t="s">
        <v>74</v>
      </c>
      <c r="T188" t="s">
        <v>74</v>
      </c>
      <c r="U188" t="s">
        <v>4041</v>
      </c>
      <c r="V188" t="s">
        <v>4042</v>
      </c>
      <c r="W188" t="s">
        <v>4043</v>
      </c>
      <c r="X188" t="s">
        <v>4044</v>
      </c>
      <c r="Y188" t="s">
        <v>4045</v>
      </c>
      <c r="Z188" t="s">
        <v>4046</v>
      </c>
      <c r="AA188" t="s">
        <v>4047</v>
      </c>
      <c r="AB188" t="s">
        <v>4048</v>
      </c>
      <c r="AC188" t="s">
        <v>4049</v>
      </c>
      <c r="AD188" t="s">
        <v>4050</v>
      </c>
      <c r="AE188" t="s">
        <v>4051</v>
      </c>
      <c r="AF188" t="s">
        <v>74</v>
      </c>
      <c r="AG188">
        <v>46</v>
      </c>
      <c r="AH188">
        <v>15</v>
      </c>
      <c r="AI188">
        <v>15</v>
      </c>
      <c r="AJ188">
        <v>1</v>
      </c>
      <c r="AK188">
        <v>12</v>
      </c>
      <c r="AL188" t="s">
        <v>178</v>
      </c>
      <c r="AM188" t="s">
        <v>179</v>
      </c>
      <c r="AN188" t="s">
        <v>180</v>
      </c>
      <c r="AO188" t="s">
        <v>4052</v>
      </c>
      <c r="AP188" t="s">
        <v>4053</v>
      </c>
      <c r="AQ188" t="s">
        <v>74</v>
      </c>
      <c r="AR188" t="s">
        <v>4054</v>
      </c>
      <c r="AS188" t="s">
        <v>4055</v>
      </c>
      <c r="AT188" t="s">
        <v>3950</v>
      </c>
      <c r="AU188">
        <v>2020</v>
      </c>
      <c r="AV188">
        <v>21</v>
      </c>
      <c r="AW188">
        <v>7</v>
      </c>
      <c r="AX188" t="s">
        <v>74</v>
      </c>
      <c r="AY188" t="s">
        <v>74</v>
      </c>
      <c r="AZ188" t="s">
        <v>74</v>
      </c>
      <c r="BA188" t="s">
        <v>74</v>
      </c>
      <c r="BB188">
        <v>1655</v>
      </c>
      <c r="BC188">
        <v>1673</v>
      </c>
      <c r="BD188" t="s">
        <v>74</v>
      </c>
      <c r="BE188" t="s">
        <v>4056</v>
      </c>
      <c r="BF188" t="str">
        <f>HYPERLINK("http://dx.doi.org/10.1175/JHM-D-19-0246.1","http://dx.doi.org/10.1175/JHM-D-19-0246.1")</f>
        <v>http://dx.doi.org/10.1175/JHM-D-19-0246.1</v>
      </c>
      <c r="BG188" t="s">
        <v>74</v>
      </c>
      <c r="BH188" t="s">
        <v>74</v>
      </c>
      <c r="BI188">
        <v>19</v>
      </c>
      <c r="BJ188" t="s">
        <v>159</v>
      </c>
      <c r="BK188" t="s">
        <v>102</v>
      </c>
      <c r="BL188" t="s">
        <v>159</v>
      </c>
      <c r="BM188" t="s">
        <v>4057</v>
      </c>
      <c r="BN188" t="s">
        <v>74</v>
      </c>
      <c r="BO188" t="s">
        <v>3041</v>
      </c>
      <c r="BP188" t="s">
        <v>74</v>
      </c>
      <c r="BQ188" t="s">
        <v>74</v>
      </c>
      <c r="BR188" t="s">
        <v>106</v>
      </c>
      <c r="BS188" t="s">
        <v>4058</v>
      </c>
      <c r="BT188" t="str">
        <f>HYPERLINK("https%3A%2F%2Fwww.webofscience.com%2Fwos%2Fwoscc%2Ffull-record%2FWOS:000590462700014","View Full Record in Web of Science")</f>
        <v>View Full Record in Web of Science</v>
      </c>
    </row>
    <row r="189" spans="1:72" x14ac:dyDescent="0.15">
      <c r="A189" t="s">
        <v>72</v>
      </c>
      <c r="B189" t="s">
        <v>4059</v>
      </c>
      <c r="C189" t="s">
        <v>74</v>
      </c>
      <c r="D189" t="s">
        <v>74</v>
      </c>
      <c r="E189" t="s">
        <v>74</v>
      </c>
      <c r="F189" t="s">
        <v>4060</v>
      </c>
      <c r="G189" t="s">
        <v>74</v>
      </c>
      <c r="H189" t="s">
        <v>74</v>
      </c>
      <c r="I189" t="s">
        <v>4061</v>
      </c>
      <c r="J189" t="s">
        <v>4062</v>
      </c>
      <c r="K189" t="s">
        <v>74</v>
      </c>
      <c r="L189" t="s">
        <v>74</v>
      </c>
      <c r="M189" t="s">
        <v>78</v>
      </c>
      <c r="N189" t="s">
        <v>79</v>
      </c>
      <c r="O189" t="s">
        <v>74</v>
      </c>
      <c r="P189" t="s">
        <v>74</v>
      </c>
      <c r="Q189" t="s">
        <v>74</v>
      </c>
      <c r="R189" t="s">
        <v>74</v>
      </c>
      <c r="S189" t="s">
        <v>74</v>
      </c>
      <c r="T189" t="s">
        <v>74</v>
      </c>
      <c r="U189" t="s">
        <v>4063</v>
      </c>
      <c r="V189" t="s">
        <v>4064</v>
      </c>
      <c r="W189" t="s">
        <v>4065</v>
      </c>
      <c r="X189" t="s">
        <v>4066</v>
      </c>
      <c r="Y189" t="s">
        <v>4067</v>
      </c>
      <c r="Z189" t="s">
        <v>4068</v>
      </c>
      <c r="AA189" t="s">
        <v>4069</v>
      </c>
      <c r="AB189" t="s">
        <v>4070</v>
      </c>
      <c r="AC189" t="s">
        <v>4071</v>
      </c>
      <c r="AD189" t="s">
        <v>4072</v>
      </c>
      <c r="AE189" t="s">
        <v>4073</v>
      </c>
      <c r="AF189" t="s">
        <v>74</v>
      </c>
      <c r="AG189">
        <v>102</v>
      </c>
      <c r="AH189">
        <v>51</v>
      </c>
      <c r="AI189">
        <v>57</v>
      </c>
      <c r="AJ189">
        <v>4</v>
      </c>
      <c r="AK189">
        <v>18</v>
      </c>
      <c r="AL189" t="s">
        <v>178</v>
      </c>
      <c r="AM189" t="s">
        <v>179</v>
      </c>
      <c r="AN189" t="s">
        <v>180</v>
      </c>
      <c r="AO189" t="s">
        <v>4074</v>
      </c>
      <c r="AP189" t="s">
        <v>4075</v>
      </c>
      <c r="AQ189" t="s">
        <v>74</v>
      </c>
      <c r="AR189" t="s">
        <v>4076</v>
      </c>
      <c r="AS189" t="s">
        <v>4077</v>
      </c>
      <c r="AT189" t="s">
        <v>3950</v>
      </c>
      <c r="AU189">
        <v>2020</v>
      </c>
      <c r="AV189">
        <v>101</v>
      </c>
      <c r="AW189">
        <v>7</v>
      </c>
      <c r="AX189" t="s">
        <v>74</v>
      </c>
      <c r="AY189" t="s">
        <v>74</v>
      </c>
      <c r="AZ189" t="s">
        <v>74</v>
      </c>
      <c r="BA189" t="s">
        <v>74</v>
      </c>
      <c r="BB189" t="s">
        <v>4078</v>
      </c>
      <c r="BC189" t="s">
        <v>4079</v>
      </c>
      <c r="BD189" t="s">
        <v>74</v>
      </c>
      <c r="BE189" t="s">
        <v>4080</v>
      </c>
      <c r="BF189" t="str">
        <f>HYPERLINK("http://dx.doi.org/10.1175/BAMS-D-18-0278.1","http://dx.doi.org/10.1175/BAMS-D-18-0278.1")</f>
        <v>http://dx.doi.org/10.1175/BAMS-D-18-0278.1</v>
      </c>
      <c r="BG189" t="s">
        <v>74</v>
      </c>
      <c r="BH189" t="s">
        <v>74</v>
      </c>
      <c r="BI189">
        <v>23</v>
      </c>
      <c r="BJ189" t="s">
        <v>159</v>
      </c>
      <c r="BK189" t="s">
        <v>102</v>
      </c>
      <c r="BL189" t="s">
        <v>159</v>
      </c>
      <c r="BM189" t="s">
        <v>4081</v>
      </c>
      <c r="BN189" t="s">
        <v>74</v>
      </c>
      <c r="BO189" t="s">
        <v>4082</v>
      </c>
      <c r="BP189" t="s">
        <v>74</v>
      </c>
      <c r="BQ189" t="s">
        <v>74</v>
      </c>
      <c r="BR189" t="s">
        <v>106</v>
      </c>
      <c r="BS189" t="s">
        <v>4083</v>
      </c>
      <c r="BT189" t="str">
        <f>HYPERLINK("https%3A%2F%2Fwww.webofscience.com%2Fwos%2Fwoscc%2Ffull-record%2FWOS:000588379300008","View Full Record in Web of Science")</f>
        <v>View Full Record in Web of Science</v>
      </c>
    </row>
    <row r="190" spans="1:72" x14ac:dyDescent="0.15">
      <c r="A190" t="s">
        <v>72</v>
      </c>
      <c r="B190" t="s">
        <v>4084</v>
      </c>
      <c r="C190" t="s">
        <v>74</v>
      </c>
      <c r="D190" t="s">
        <v>74</v>
      </c>
      <c r="E190" t="s">
        <v>74</v>
      </c>
      <c r="F190" t="s">
        <v>4085</v>
      </c>
      <c r="G190" t="s">
        <v>74</v>
      </c>
      <c r="H190" t="s">
        <v>74</v>
      </c>
      <c r="I190" t="s">
        <v>4086</v>
      </c>
      <c r="J190" t="s">
        <v>4087</v>
      </c>
      <c r="K190" t="s">
        <v>74</v>
      </c>
      <c r="L190" t="s">
        <v>74</v>
      </c>
      <c r="M190" t="s">
        <v>78</v>
      </c>
      <c r="N190" t="s">
        <v>79</v>
      </c>
      <c r="O190" t="s">
        <v>74</v>
      </c>
      <c r="P190" t="s">
        <v>74</v>
      </c>
      <c r="Q190" t="s">
        <v>74</v>
      </c>
      <c r="R190" t="s">
        <v>74</v>
      </c>
      <c r="S190" t="s">
        <v>74</v>
      </c>
      <c r="T190" t="s">
        <v>4088</v>
      </c>
      <c r="U190" t="s">
        <v>4089</v>
      </c>
      <c r="V190" t="s">
        <v>4090</v>
      </c>
      <c r="W190" t="s">
        <v>4091</v>
      </c>
      <c r="X190" t="s">
        <v>4092</v>
      </c>
      <c r="Y190" t="s">
        <v>4093</v>
      </c>
      <c r="Z190" t="s">
        <v>4094</v>
      </c>
      <c r="AA190" t="s">
        <v>4095</v>
      </c>
      <c r="AB190" t="s">
        <v>4096</v>
      </c>
      <c r="AC190" t="s">
        <v>4097</v>
      </c>
      <c r="AD190" t="s">
        <v>4098</v>
      </c>
      <c r="AE190" t="s">
        <v>4099</v>
      </c>
      <c r="AF190" t="s">
        <v>74</v>
      </c>
      <c r="AG190">
        <v>73</v>
      </c>
      <c r="AH190">
        <v>17</v>
      </c>
      <c r="AI190">
        <v>18</v>
      </c>
      <c r="AJ190">
        <v>2</v>
      </c>
      <c r="AK190">
        <v>7</v>
      </c>
      <c r="AL190" t="s">
        <v>124</v>
      </c>
      <c r="AM190" t="s">
        <v>93</v>
      </c>
      <c r="AN190" t="s">
        <v>125</v>
      </c>
      <c r="AO190" t="s">
        <v>4100</v>
      </c>
      <c r="AP190" t="s">
        <v>4101</v>
      </c>
      <c r="AQ190" t="s">
        <v>74</v>
      </c>
      <c r="AR190" t="s">
        <v>4102</v>
      </c>
      <c r="AS190" t="s">
        <v>4103</v>
      </c>
      <c r="AT190" t="s">
        <v>4104</v>
      </c>
      <c r="AU190">
        <v>2020</v>
      </c>
      <c r="AV190">
        <v>77</v>
      </c>
      <c r="AW190">
        <v>4</v>
      </c>
      <c r="AX190" t="s">
        <v>74</v>
      </c>
      <c r="AY190" t="s">
        <v>74</v>
      </c>
      <c r="AZ190" t="s">
        <v>74</v>
      </c>
      <c r="BA190" t="s">
        <v>74</v>
      </c>
      <c r="BB190">
        <v>1379</v>
      </c>
      <c r="BC190">
        <v>1390</v>
      </c>
      <c r="BD190" t="s">
        <v>74</v>
      </c>
      <c r="BE190" t="s">
        <v>4105</v>
      </c>
      <c r="BF190" t="str">
        <f>HYPERLINK("http://dx.doi.org/10.1093/icesjms/fsaa052","http://dx.doi.org/10.1093/icesjms/fsaa052")</f>
        <v>http://dx.doi.org/10.1093/icesjms/fsaa052</v>
      </c>
      <c r="BG190" t="s">
        <v>74</v>
      </c>
      <c r="BH190" t="s">
        <v>74</v>
      </c>
      <c r="BI190">
        <v>12</v>
      </c>
      <c r="BJ190" t="s">
        <v>2243</v>
      </c>
      <c r="BK190" t="s">
        <v>102</v>
      </c>
      <c r="BL190" t="s">
        <v>2243</v>
      </c>
      <c r="BM190" t="s">
        <v>4106</v>
      </c>
      <c r="BN190" t="s">
        <v>74</v>
      </c>
      <c r="BO190" t="s">
        <v>3716</v>
      </c>
      <c r="BP190" t="s">
        <v>74</v>
      </c>
      <c r="BQ190" t="s">
        <v>74</v>
      </c>
      <c r="BR190" t="s">
        <v>106</v>
      </c>
      <c r="BS190" t="s">
        <v>4107</v>
      </c>
      <c r="BT190" t="str">
        <f>HYPERLINK("https%3A%2F%2Fwww.webofscience.com%2Fwos%2Fwoscc%2Ffull-record%2FWOS:000582718700011","View Full Record in Web of Science")</f>
        <v>View Full Record in Web of Science</v>
      </c>
    </row>
    <row r="191" spans="1:72" x14ac:dyDescent="0.15">
      <c r="A191" t="s">
        <v>72</v>
      </c>
      <c r="B191" t="s">
        <v>4108</v>
      </c>
      <c r="C191" t="s">
        <v>74</v>
      </c>
      <c r="D191" t="s">
        <v>74</v>
      </c>
      <c r="E191" t="s">
        <v>74</v>
      </c>
      <c r="F191" t="s">
        <v>4109</v>
      </c>
      <c r="G191" t="s">
        <v>74</v>
      </c>
      <c r="H191" t="s">
        <v>74</v>
      </c>
      <c r="I191" t="s">
        <v>4110</v>
      </c>
      <c r="J191" t="s">
        <v>4111</v>
      </c>
      <c r="K191" t="s">
        <v>74</v>
      </c>
      <c r="L191" t="s">
        <v>74</v>
      </c>
      <c r="M191" t="s">
        <v>78</v>
      </c>
      <c r="N191" t="s">
        <v>4112</v>
      </c>
      <c r="O191" t="s">
        <v>74</v>
      </c>
      <c r="P191" t="s">
        <v>74</v>
      </c>
      <c r="Q191" t="s">
        <v>74</v>
      </c>
      <c r="R191" t="s">
        <v>74</v>
      </c>
      <c r="S191" t="s">
        <v>74</v>
      </c>
      <c r="T191" t="s">
        <v>4113</v>
      </c>
      <c r="U191" t="s">
        <v>74</v>
      </c>
      <c r="V191" t="s">
        <v>4114</v>
      </c>
      <c r="W191" t="s">
        <v>4115</v>
      </c>
      <c r="X191" t="s">
        <v>4116</v>
      </c>
      <c r="Y191" t="s">
        <v>4117</v>
      </c>
      <c r="Z191" t="s">
        <v>4118</v>
      </c>
      <c r="AA191" t="s">
        <v>4119</v>
      </c>
      <c r="AB191" t="s">
        <v>4120</v>
      </c>
      <c r="AC191" t="s">
        <v>4121</v>
      </c>
      <c r="AD191" t="s">
        <v>4122</v>
      </c>
      <c r="AE191" t="s">
        <v>4123</v>
      </c>
      <c r="AF191" t="s">
        <v>74</v>
      </c>
      <c r="AG191">
        <v>0</v>
      </c>
      <c r="AH191">
        <v>2</v>
      </c>
      <c r="AI191">
        <v>2</v>
      </c>
      <c r="AJ191">
        <v>0</v>
      </c>
      <c r="AK191">
        <v>1</v>
      </c>
      <c r="AL191" t="s">
        <v>4124</v>
      </c>
      <c r="AM191" t="s">
        <v>399</v>
      </c>
      <c r="AN191" t="s">
        <v>4125</v>
      </c>
      <c r="AO191" t="s">
        <v>4126</v>
      </c>
      <c r="AP191" t="s">
        <v>4127</v>
      </c>
      <c r="AQ191" t="s">
        <v>74</v>
      </c>
      <c r="AR191" t="s">
        <v>4128</v>
      </c>
      <c r="AS191" t="s">
        <v>4129</v>
      </c>
      <c r="AT191" t="s">
        <v>3950</v>
      </c>
      <c r="AU191">
        <v>2020</v>
      </c>
      <c r="AV191">
        <v>60</v>
      </c>
      <c r="AW191">
        <v>4</v>
      </c>
      <c r="AX191" t="s">
        <v>74</v>
      </c>
      <c r="AY191" t="s">
        <v>74</v>
      </c>
      <c r="AZ191" t="s">
        <v>74</v>
      </c>
      <c r="BA191" t="s">
        <v>74</v>
      </c>
      <c r="BB191">
        <v>570</v>
      </c>
      <c r="BC191">
        <v>572</v>
      </c>
      <c r="BD191" t="s">
        <v>74</v>
      </c>
      <c r="BE191" t="s">
        <v>4130</v>
      </c>
      <c r="BF191" t="str">
        <f>HYPERLINK("http://dx.doi.org/10.1134/S0001437020040025","http://dx.doi.org/10.1134/S0001437020040025")</f>
        <v>http://dx.doi.org/10.1134/S0001437020040025</v>
      </c>
      <c r="BG191" t="s">
        <v>74</v>
      </c>
      <c r="BH191" t="s">
        <v>74</v>
      </c>
      <c r="BI191">
        <v>3</v>
      </c>
      <c r="BJ191" t="s">
        <v>213</v>
      </c>
      <c r="BK191" t="s">
        <v>102</v>
      </c>
      <c r="BL191" t="s">
        <v>213</v>
      </c>
      <c r="BM191" t="s">
        <v>4131</v>
      </c>
      <c r="BN191" t="s">
        <v>74</v>
      </c>
      <c r="BO191" t="s">
        <v>74</v>
      </c>
      <c r="BP191" t="s">
        <v>74</v>
      </c>
      <c r="BQ191" t="s">
        <v>74</v>
      </c>
      <c r="BR191" t="s">
        <v>106</v>
      </c>
      <c r="BS191" t="s">
        <v>4132</v>
      </c>
      <c r="BT191" t="str">
        <f>HYPERLINK("https%3A%2F%2Fwww.webofscience.com%2Fwos%2Fwoscc%2Ffull-record%2FWOS:000576533800015","View Full Record in Web of Science")</f>
        <v>View Full Record in Web of Science</v>
      </c>
    </row>
    <row r="192" spans="1:72" x14ac:dyDescent="0.15">
      <c r="A192" t="s">
        <v>72</v>
      </c>
      <c r="B192" t="s">
        <v>4133</v>
      </c>
      <c r="C192" t="s">
        <v>74</v>
      </c>
      <c r="D192" t="s">
        <v>74</v>
      </c>
      <c r="E192" t="s">
        <v>74</v>
      </c>
      <c r="F192" t="s">
        <v>4134</v>
      </c>
      <c r="G192" t="s">
        <v>74</v>
      </c>
      <c r="H192" t="s">
        <v>74</v>
      </c>
      <c r="I192" t="s">
        <v>4135</v>
      </c>
      <c r="J192" t="s">
        <v>4136</v>
      </c>
      <c r="K192" t="s">
        <v>74</v>
      </c>
      <c r="L192" t="s">
        <v>74</v>
      </c>
      <c r="M192" t="s">
        <v>78</v>
      </c>
      <c r="N192" t="s">
        <v>79</v>
      </c>
      <c r="O192" t="s">
        <v>74</v>
      </c>
      <c r="P192" t="s">
        <v>74</v>
      </c>
      <c r="Q192" t="s">
        <v>74</v>
      </c>
      <c r="R192" t="s">
        <v>74</v>
      </c>
      <c r="S192" t="s">
        <v>74</v>
      </c>
      <c r="T192" t="s">
        <v>4137</v>
      </c>
      <c r="U192" t="s">
        <v>4138</v>
      </c>
      <c r="V192" t="s">
        <v>4139</v>
      </c>
      <c r="W192" t="s">
        <v>4140</v>
      </c>
      <c r="X192" t="s">
        <v>4141</v>
      </c>
      <c r="Y192" t="s">
        <v>4142</v>
      </c>
      <c r="Z192" t="s">
        <v>4143</v>
      </c>
      <c r="AA192" t="s">
        <v>4144</v>
      </c>
      <c r="AB192" t="s">
        <v>4145</v>
      </c>
      <c r="AC192" t="s">
        <v>4146</v>
      </c>
      <c r="AD192" t="s">
        <v>4147</v>
      </c>
      <c r="AE192" t="s">
        <v>4148</v>
      </c>
      <c r="AF192" t="s">
        <v>74</v>
      </c>
      <c r="AG192">
        <v>38</v>
      </c>
      <c r="AH192">
        <v>3</v>
      </c>
      <c r="AI192">
        <v>3</v>
      </c>
      <c r="AJ192">
        <v>0</v>
      </c>
      <c r="AK192">
        <v>3</v>
      </c>
      <c r="AL192" t="s">
        <v>4124</v>
      </c>
      <c r="AM192" t="s">
        <v>399</v>
      </c>
      <c r="AN192" t="s">
        <v>4125</v>
      </c>
      <c r="AO192" t="s">
        <v>4149</v>
      </c>
      <c r="AP192" t="s">
        <v>4150</v>
      </c>
      <c r="AQ192" t="s">
        <v>74</v>
      </c>
      <c r="AR192" t="s">
        <v>4151</v>
      </c>
      <c r="AS192" t="s">
        <v>4152</v>
      </c>
      <c r="AT192" t="s">
        <v>3950</v>
      </c>
      <c r="AU192">
        <v>2020</v>
      </c>
      <c r="AV192">
        <v>11</v>
      </c>
      <c r="AW192">
        <v>3</v>
      </c>
      <c r="AX192" t="s">
        <v>74</v>
      </c>
      <c r="AY192" t="s">
        <v>74</v>
      </c>
      <c r="AZ192" t="s">
        <v>74</v>
      </c>
      <c r="BA192" t="s">
        <v>74</v>
      </c>
      <c r="BB192">
        <v>208</v>
      </c>
      <c r="BC192">
        <v>215</v>
      </c>
      <c r="BD192" t="s">
        <v>74</v>
      </c>
      <c r="BE192" t="s">
        <v>4153</v>
      </c>
      <c r="BF192" t="str">
        <f>HYPERLINK("http://dx.doi.org/10.1134/S2075111720030121","http://dx.doi.org/10.1134/S2075111720030121")</f>
        <v>http://dx.doi.org/10.1134/S2075111720030121</v>
      </c>
      <c r="BG192" t="s">
        <v>74</v>
      </c>
      <c r="BH192" t="s">
        <v>74</v>
      </c>
      <c r="BI192">
        <v>8</v>
      </c>
      <c r="BJ192" t="s">
        <v>1446</v>
      </c>
      <c r="BK192" t="s">
        <v>3838</v>
      </c>
      <c r="BL192" t="s">
        <v>103</v>
      </c>
      <c r="BM192" t="s">
        <v>4154</v>
      </c>
      <c r="BN192" t="s">
        <v>74</v>
      </c>
      <c r="BO192" t="s">
        <v>74</v>
      </c>
      <c r="BP192" t="s">
        <v>74</v>
      </c>
      <c r="BQ192" t="s">
        <v>74</v>
      </c>
      <c r="BR192" t="s">
        <v>106</v>
      </c>
      <c r="BS192" t="s">
        <v>4155</v>
      </c>
      <c r="BT192" t="str">
        <f>HYPERLINK("https%3A%2F%2Fwww.webofscience.com%2Fwos%2Fwoscc%2Ffull-record%2FWOS:000574744500003","View Full Record in Web of Science")</f>
        <v>View Full Record in Web of Science</v>
      </c>
    </row>
    <row r="193" spans="1:72" x14ac:dyDescent="0.15">
      <c r="A193" t="s">
        <v>72</v>
      </c>
      <c r="B193" t="s">
        <v>4156</v>
      </c>
      <c r="C193" t="s">
        <v>74</v>
      </c>
      <c r="D193" t="s">
        <v>74</v>
      </c>
      <c r="E193" t="s">
        <v>74</v>
      </c>
      <c r="F193" t="s">
        <v>4157</v>
      </c>
      <c r="G193" t="s">
        <v>74</v>
      </c>
      <c r="H193" t="s">
        <v>74</v>
      </c>
      <c r="I193" t="s">
        <v>4158</v>
      </c>
      <c r="J193" t="s">
        <v>4159</v>
      </c>
      <c r="K193" t="s">
        <v>74</v>
      </c>
      <c r="L193" t="s">
        <v>74</v>
      </c>
      <c r="M193" t="s">
        <v>78</v>
      </c>
      <c r="N193" t="s">
        <v>79</v>
      </c>
      <c r="O193" t="s">
        <v>74</v>
      </c>
      <c r="P193" t="s">
        <v>74</v>
      </c>
      <c r="Q193" t="s">
        <v>74</v>
      </c>
      <c r="R193" t="s">
        <v>74</v>
      </c>
      <c r="S193" t="s">
        <v>74</v>
      </c>
      <c r="T193" t="s">
        <v>4160</v>
      </c>
      <c r="U193" t="s">
        <v>4161</v>
      </c>
      <c r="V193" t="s">
        <v>4162</v>
      </c>
      <c r="W193" t="s">
        <v>4163</v>
      </c>
      <c r="X193" t="s">
        <v>4164</v>
      </c>
      <c r="Y193" t="s">
        <v>4165</v>
      </c>
      <c r="Z193" t="s">
        <v>4166</v>
      </c>
      <c r="AA193" t="s">
        <v>4167</v>
      </c>
      <c r="AB193" t="s">
        <v>4168</v>
      </c>
      <c r="AC193" t="s">
        <v>4169</v>
      </c>
      <c r="AD193" t="s">
        <v>4170</v>
      </c>
      <c r="AE193" t="s">
        <v>4171</v>
      </c>
      <c r="AF193" t="s">
        <v>74</v>
      </c>
      <c r="AG193">
        <v>66</v>
      </c>
      <c r="AH193">
        <v>1</v>
      </c>
      <c r="AI193">
        <v>1</v>
      </c>
      <c r="AJ193">
        <v>0</v>
      </c>
      <c r="AK193">
        <v>6</v>
      </c>
      <c r="AL193" t="s">
        <v>4172</v>
      </c>
      <c r="AM193" t="s">
        <v>4173</v>
      </c>
      <c r="AN193" t="s">
        <v>4174</v>
      </c>
      <c r="AO193" t="s">
        <v>4175</v>
      </c>
      <c r="AP193" t="s">
        <v>4176</v>
      </c>
      <c r="AQ193" t="s">
        <v>74</v>
      </c>
      <c r="AR193" t="s">
        <v>4177</v>
      </c>
      <c r="AS193" t="s">
        <v>4178</v>
      </c>
      <c r="AT193" t="s">
        <v>3950</v>
      </c>
      <c r="AU193">
        <v>2020</v>
      </c>
      <c r="AV193">
        <v>86</v>
      </c>
      <c r="AW193">
        <v>2</v>
      </c>
      <c r="AX193" t="s">
        <v>74</v>
      </c>
      <c r="AY193" t="s">
        <v>74</v>
      </c>
      <c r="AZ193" t="s">
        <v>74</v>
      </c>
      <c r="BA193" t="s">
        <v>74</v>
      </c>
      <c r="BB193">
        <v>93</v>
      </c>
      <c r="BC193">
        <v>106</v>
      </c>
      <c r="BD193" t="s">
        <v>74</v>
      </c>
      <c r="BE193" t="s">
        <v>4179</v>
      </c>
      <c r="BF193" t="str">
        <f>HYPERLINK("http://dx.doi.org/10.2992/007.086.0201","http://dx.doi.org/10.2992/007.086.0201")</f>
        <v>http://dx.doi.org/10.2992/007.086.0201</v>
      </c>
      <c r="BG193" t="s">
        <v>74</v>
      </c>
      <c r="BH193" t="s">
        <v>74</v>
      </c>
      <c r="BI193">
        <v>14</v>
      </c>
      <c r="BJ193" t="s">
        <v>4180</v>
      </c>
      <c r="BK193" t="s">
        <v>102</v>
      </c>
      <c r="BL193" t="s">
        <v>4180</v>
      </c>
      <c r="BM193" t="s">
        <v>4181</v>
      </c>
      <c r="BN193" t="s">
        <v>74</v>
      </c>
      <c r="BO193" t="s">
        <v>74</v>
      </c>
      <c r="BP193" t="s">
        <v>74</v>
      </c>
      <c r="BQ193" t="s">
        <v>74</v>
      </c>
      <c r="BR193" t="s">
        <v>106</v>
      </c>
      <c r="BS193" t="s">
        <v>4182</v>
      </c>
      <c r="BT193" t="str">
        <f>HYPERLINK("https%3A%2F%2Fwww.webofscience.com%2Fwos%2Fwoscc%2Ffull-record%2FWOS:000566721000001","View Full Record in Web of Science")</f>
        <v>View Full Record in Web of Science</v>
      </c>
    </row>
    <row r="194" spans="1:72" x14ac:dyDescent="0.15">
      <c r="A194" t="s">
        <v>72</v>
      </c>
      <c r="B194" t="s">
        <v>4183</v>
      </c>
      <c r="C194" t="s">
        <v>74</v>
      </c>
      <c r="D194" t="s">
        <v>74</v>
      </c>
      <c r="E194" t="s">
        <v>74</v>
      </c>
      <c r="F194" t="s">
        <v>4184</v>
      </c>
      <c r="G194" t="s">
        <v>74</v>
      </c>
      <c r="H194" t="s">
        <v>74</v>
      </c>
      <c r="I194" t="s">
        <v>4185</v>
      </c>
      <c r="J194" t="s">
        <v>194</v>
      </c>
      <c r="K194" t="s">
        <v>74</v>
      </c>
      <c r="L194" t="s">
        <v>74</v>
      </c>
      <c r="M194" t="s">
        <v>78</v>
      </c>
      <c r="N194" t="s">
        <v>79</v>
      </c>
      <c r="O194" t="s">
        <v>74</v>
      </c>
      <c r="P194" t="s">
        <v>74</v>
      </c>
      <c r="Q194" t="s">
        <v>74</v>
      </c>
      <c r="R194" t="s">
        <v>74</v>
      </c>
      <c r="S194" t="s">
        <v>74</v>
      </c>
      <c r="T194" t="s">
        <v>4186</v>
      </c>
      <c r="U194" t="s">
        <v>4187</v>
      </c>
      <c r="V194" t="s">
        <v>4188</v>
      </c>
      <c r="W194" t="s">
        <v>4189</v>
      </c>
      <c r="X194" t="s">
        <v>4190</v>
      </c>
      <c r="Y194" t="s">
        <v>4191</v>
      </c>
      <c r="Z194" t="s">
        <v>4192</v>
      </c>
      <c r="AA194" t="s">
        <v>4193</v>
      </c>
      <c r="AB194" t="s">
        <v>4194</v>
      </c>
      <c r="AC194" t="s">
        <v>4195</v>
      </c>
      <c r="AD194" t="s">
        <v>4196</v>
      </c>
      <c r="AE194" t="s">
        <v>4197</v>
      </c>
      <c r="AF194" t="s">
        <v>74</v>
      </c>
      <c r="AG194">
        <v>106</v>
      </c>
      <c r="AH194">
        <v>23</v>
      </c>
      <c r="AI194">
        <v>25</v>
      </c>
      <c r="AJ194">
        <v>1</v>
      </c>
      <c r="AK194">
        <v>26</v>
      </c>
      <c r="AL194" t="s">
        <v>151</v>
      </c>
      <c r="AM194" t="s">
        <v>152</v>
      </c>
      <c r="AN194" t="s">
        <v>153</v>
      </c>
      <c r="AO194" t="s">
        <v>207</v>
      </c>
      <c r="AP194" t="s">
        <v>208</v>
      </c>
      <c r="AQ194" t="s">
        <v>74</v>
      </c>
      <c r="AR194" t="s">
        <v>209</v>
      </c>
      <c r="AS194" t="s">
        <v>210</v>
      </c>
      <c r="AT194" t="s">
        <v>3950</v>
      </c>
      <c r="AU194">
        <v>2020</v>
      </c>
      <c r="AV194">
        <v>125</v>
      </c>
      <c r="AW194">
        <v>7</v>
      </c>
      <c r="AX194" t="s">
        <v>74</v>
      </c>
      <c r="AY194" t="s">
        <v>74</v>
      </c>
      <c r="AZ194" t="s">
        <v>74</v>
      </c>
      <c r="BA194" t="s">
        <v>74</v>
      </c>
      <c r="BB194" t="s">
        <v>74</v>
      </c>
      <c r="BC194" t="s">
        <v>74</v>
      </c>
      <c r="BD194" t="s">
        <v>4198</v>
      </c>
      <c r="BE194" t="s">
        <v>4199</v>
      </c>
      <c r="BF194" t="str">
        <f>HYPERLINK("http://dx.doi.org/10.1029/2019JC015832","http://dx.doi.org/10.1029/2019JC015832")</f>
        <v>http://dx.doi.org/10.1029/2019JC015832</v>
      </c>
      <c r="BG194" t="s">
        <v>74</v>
      </c>
      <c r="BH194" t="s">
        <v>74</v>
      </c>
      <c r="BI194">
        <v>26</v>
      </c>
      <c r="BJ194" t="s">
        <v>213</v>
      </c>
      <c r="BK194" t="s">
        <v>102</v>
      </c>
      <c r="BL194" t="s">
        <v>213</v>
      </c>
      <c r="BM194" t="s">
        <v>4200</v>
      </c>
      <c r="BN194" t="s">
        <v>74</v>
      </c>
      <c r="BO194" t="s">
        <v>74</v>
      </c>
      <c r="BP194" t="s">
        <v>74</v>
      </c>
      <c r="BQ194" t="s">
        <v>74</v>
      </c>
      <c r="BR194" t="s">
        <v>106</v>
      </c>
      <c r="BS194" t="s">
        <v>4201</v>
      </c>
      <c r="BT194" t="str">
        <f>HYPERLINK("https%3A%2F%2Fwww.webofscience.com%2Fwos%2Fwoscc%2Ffull-record%2FWOS:000560011100009","View Full Record in Web of Science")</f>
        <v>View Full Record in Web of Science</v>
      </c>
    </row>
    <row r="195" spans="1:72" x14ac:dyDescent="0.15">
      <c r="A195" t="s">
        <v>72</v>
      </c>
      <c r="B195" t="s">
        <v>4202</v>
      </c>
      <c r="C195" t="s">
        <v>74</v>
      </c>
      <c r="D195" t="s">
        <v>74</v>
      </c>
      <c r="E195" t="s">
        <v>74</v>
      </c>
      <c r="F195" t="s">
        <v>4203</v>
      </c>
      <c r="G195" t="s">
        <v>74</v>
      </c>
      <c r="H195" t="s">
        <v>74</v>
      </c>
      <c r="I195" t="s">
        <v>4204</v>
      </c>
      <c r="J195" t="s">
        <v>194</v>
      </c>
      <c r="K195" t="s">
        <v>74</v>
      </c>
      <c r="L195" t="s">
        <v>74</v>
      </c>
      <c r="M195" t="s">
        <v>78</v>
      </c>
      <c r="N195" t="s">
        <v>79</v>
      </c>
      <c r="O195" t="s">
        <v>74</v>
      </c>
      <c r="P195" t="s">
        <v>74</v>
      </c>
      <c r="Q195" t="s">
        <v>74</v>
      </c>
      <c r="R195" t="s">
        <v>74</v>
      </c>
      <c r="S195" t="s">
        <v>74</v>
      </c>
      <c r="T195" t="s">
        <v>4205</v>
      </c>
      <c r="U195" t="s">
        <v>4206</v>
      </c>
      <c r="V195" t="s">
        <v>4207</v>
      </c>
      <c r="W195" t="s">
        <v>4208</v>
      </c>
      <c r="X195" t="s">
        <v>4209</v>
      </c>
      <c r="Y195" t="s">
        <v>4210</v>
      </c>
      <c r="Z195" t="s">
        <v>4211</v>
      </c>
      <c r="AA195" t="s">
        <v>4212</v>
      </c>
      <c r="AB195" t="s">
        <v>4213</v>
      </c>
      <c r="AC195" t="s">
        <v>4214</v>
      </c>
      <c r="AD195" t="s">
        <v>4215</v>
      </c>
      <c r="AE195" t="s">
        <v>4216</v>
      </c>
      <c r="AF195" t="s">
        <v>74</v>
      </c>
      <c r="AG195">
        <v>85</v>
      </c>
      <c r="AH195">
        <v>14</v>
      </c>
      <c r="AI195">
        <v>14</v>
      </c>
      <c r="AJ195">
        <v>1</v>
      </c>
      <c r="AK195">
        <v>8</v>
      </c>
      <c r="AL195" t="s">
        <v>151</v>
      </c>
      <c r="AM195" t="s">
        <v>152</v>
      </c>
      <c r="AN195" t="s">
        <v>153</v>
      </c>
      <c r="AO195" t="s">
        <v>207</v>
      </c>
      <c r="AP195" t="s">
        <v>208</v>
      </c>
      <c r="AQ195" t="s">
        <v>74</v>
      </c>
      <c r="AR195" t="s">
        <v>209</v>
      </c>
      <c r="AS195" t="s">
        <v>210</v>
      </c>
      <c r="AT195" t="s">
        <v>3950</v>
      </c>
      <c r="AU195">
        <v>2020</v>
      </c>
      <c r="AV195">
        <v>125</v>
      </c>
      <c r="AW195">
        <v>7</v>
      </c>
      <c r="AX195" t="s">
        <v>74</v>
      </c>
      <c r="AY195" t="s">
        <v>74</v>
      </c>
      <c r="AZ195" t="s">
        <v>74</v>
      </c>
      <c r="BA195" t="s">
        <v>74</v>
      </c>
      <c r="BB195" t="s">
        <v>74</v>
      </c>
      <c r="BC195" t="s">
        <v>74</v>
      </c>
      <c r="BD195" t="s">
        <v>4217</v>
      </c>
      <c r="BE195" t="s">
        <v>4218</v>
      </c>
      <c r="BF195" t="str">
        <f>HYPERLINK("http://dx.doi.org/10.1029/2019JC015889","http://dx.doi.org/10.1029/2019JC015889")</f>
        <v>http://dx.doi.org/10.1029/2019JC015889</v>
      </c>
      <c r="BG195" t="s">
        <v>74</v>
      </c>
      <c r="BH195" t="s">
        <v>74</v>
      </c>
      <c r="BI195">
        <v>18</v>
      </c>
      <c r="BJ195" t="s">
        <v>213</v>
      </c>
      <c r="BK195" t="s">
        <v>102</v>
      </c>
      <c r="BL195" t="s">
        <v>213</v>
      </c>
      <c r="BM195" t="s">
        <v>4200</v>
      </c>
      <c r="BN195" t="s">
        <v>74</v>
      </c>
      <c r="BO195" t="s">
        <v>1181</v>
      </c>
      <c r="BP195" t="s">
        <v>74</v>
      </c>
      <c r="BQ195" t="s">
        <v>74</v>
      </c>
      <c r="BR195" t="s">
        <v>106</v>
      </c>
      <c r="BS195" t="s">
        <v>4219</v>
      </c>
      <c r="BT195" t="str">
        <f>HYPERLINK("https%3A%2F%2Fwww.webofscience.com%2Fwos%2Fwoscc%2Ffull-record%2FWOS:000560011100006","View Full Record in Web of Science")</f>
        <v>View Full Record in Web of Science</v>
      </c>
    </row>
    <row r="196" spans="1:72" x14ac:dyDescent="0.15">
      <c r="A196" t="s">
        <v>72</v>
      </c>
      <c r="B196" t="s">
        <v>4220</v>
      </c>
      <c r="C196" t="s">
        <v>74</v>
      </c>
      <c r="D196" t="s">
        <v>74</v>
      </c>
      <c r="E196" t="s">
        <v>74</v>
      </c>
      <c r="F196" t="s">
        <v>4221</v>
      </c>
      <c r="G196" t="s">
        <v>74</v>
      </c>
      <c r="H196" t="s">
        <v>74</v>
      </c>
      <c r="I196" t="s">
        <v>4222</v>
      </c>
      <c r="J196" t="s">
        <v>194</v>
      </c>
      <c r="K196" t="s">
        <v>74</v>
      </c>
      <c r="L196" t="s">
        <v>74</v>
      </c>
      <c r="M196" t="s">
        <v>78</v>
      </c>
      <c r="N196" t="s">
        <v>79</v>
      </c>
      <c r="O196" t="s">
        <v>74</v>
      </c>
      <c r="P196" t="s">
        <v>74</v>
      </c>
      <c r="Q196" t="s">
        <v>74</v>
      </c>
      <c r="R196" t="s">
        <v>74</v>
      </c>
      <c r="S196" t="s">
        <v>74</v>
      </c>
      <c r="T196" t="s">
        <v>4223</v>
      </c>
      <c r="U196" t="s">
        <v>4224</v>
      </c>
      <c r="V196" t="s">
        <v>4225</v>
      </c>
      <c r="W196" t="s">
        <v>4226</v>
      </c>
      <c r="X196" t="s">
        <v>4227</v>
      </c>
      <c r="Y196" t="s">
        <v>4228</v>
      </c>
      <c r="Z196" t="s">
        <v>4229</v>
      </c>
      <c r="AA196" t="s">
        <v>4230</v>
      </c>
      <c r="AB196" t="s">
        <v>4231</v>
      </c>
      <c r="AC196" t="s">
        <v>4232</v>
      </c>
      <c r="AD196" t="s">
        <v>4233</v>
      </c>
      <c r="AE196" t="s">
        <v>4234</v>
      </c>
      <c r="AF196" t="s">
        <v>74</v>
      </c>
      <c r="AG196">
        <v>59</v>
      </c>
      <c r="AH196">
        <v>10</v>
      </c>
      <c r="AI196">
        <v>11</v>
      </c>
      <c r="AJ196">
        <v>3</v>
      </c>
      <c r="AK196">
        <v>30</v>
      </c>
      <c r="AL196" t="s">
        <v>151</v>
      </c>
      <c r="AM196" t="s">
        <v>152</v>
      </c>
      <c r="AN196" t="s">
        <v>153</v>
      </c>
      <c r="AO196" t="s">
        <v>207</v>
      </c>
      <c r="AP196" t="s">
        <v>208</v>
      </c>
      <c r="AQ196" t="s">
        <v>74</v>
      </c>
      <c r="AR196" t="s">
        <v>209</v>
      </c>
      <c r="AS196" t="s">
        <v>210</v>
      </c>
      <c r="AT196" t="s">
        <v>3950</v>
      </c>
      <c r="AU196">
        <v>2020</v>
      </c>
      <c r="AV196">
        <v>125</v>
      </c>
      <c r="AW196">
        <v>7</v>
      </c>
      <c r="AX196" t="s">
        <v>74</v>
      </c>
      <c r="AY196" t="s">
        <v>74</v>
      </c>
      <c r="AZ196" t="s">
        <v>74</v>
      </c>
      <c r="BA196" t="s">
        <v>74</v>
      </c>
      <c r="BB196" t="s">
        <v>74</v>
      </c>
      <c r="BC196" t="s">
        <v>74</v>
      </c>
      <c r="BD196" t="s">
        <v>4235</v>
      </c>
      <c r="BE196" t="s">
        <v>4236</v>
      </c>
      <c r="BF196" t="str">
        <f>HYPERLINK("http://dx.doi.org/10.1029/2019JC015782","http://dx.doi.org/10.1029/2019JC015782")</f>
        <v>http://dx.doi.org/10.1029/2019JC015782</v>
      </c>
      <c r="BG196" t="s">
        <v>74</v>
      </c>
      <c r="BH196" t="s">
        <v>74</v>
      </c>
      <c r="BI196">
        <v>20</v>
      </c>
      <c r="BJ196" t="s">
        <v>213</v>
      </c>
      <c r="BK196" t="s">
        <v>102</v>
      </c>
      <c r="BL196" t="s">
        <v>213</v>
      </c>
      <c r="BM196" t="s">
        <v>4200</v>
      </c>
      <c r="BN196" t="s">
        <v>74</v>
      </c>
      <c r="BO196" t="s">
        <v>294</v>
      </c>
      <c r="BP196" t="s">
        <v>74</v>
      </c>
      <c r="BQ196" t="s">
        <v>74</v>
      </c>
      <c r="BR196" t="s">
        <v>106</v>
      </c>
      <c r="BS196" t="s">
        <v>4237</v>
      </c>
      <c r="BT196" t="str">
        <f>HYPERLINK("https%3A%2F%2Fwww.webofscience.com%2Fwos%2Fwoscc%2Ffull-record%2FWOS:000560011100017","View Full Record in Web of Science")</f>
        <v>View Full Record in Web of Science</v>
      </c>
    </row>
    <row r="197" spans="1:72" x14ac:dyDescent="0.15">
      <c r="A197" t="s">
        <v>72</v>
      </c>
      <c r="B197" t="s">
        <v>4238</v>
      </c>
      <c r="C197" t="s">
        <v>74</v>
      </c>
      <c r="D197" t="s">
        <v>74</v>
      </c>
      <c r="E197" t="s">
        <v>74</v>
      </c>
      <c r="F197" t="s">
        <v>4239</v>
      </c>
      <c r="G197" t="s">
        <v>74</v>
      </c>
      <c r="H197" t="s">
        <v>74</v>
      </c>
      <c r="I197" t="s">
        <v>4240</v>
      </c>
      <c r="J197" t="s">
        <v>194</v>
      </c>
      <c r="K197" t="s">
        <v>74</v>
      </c>
      <c r="L197" t="s">
        <v>74</v>
      </c>
      <c r="M197" t="s">
        <v>78</v>
      </c>
      <c r="N197" t="s">
        <v>79</v>
      </c>
      <c r="O197" t="s">
        <v>74</v>
      </c>
      <c r="P197" t="s">
        <v>74</v>
      </c>
      <c r="Q197" t="s">
        <v>74</v>
      </c>
      <c r="R197" t="s">
        <v>74</v>
      </c>
      <c r="S197" t="s">
        <v>74</v>
      </c>
      <c r="T197" t="s">
        <v>74</v>
      </c>
      <c r="U197" t="s">
        <v>4241</v>
      </c>
      <c r="V197" t="s">
        <v>4242</v>
      </c>
      <c r="W197" t="s">
        <v>4243</v>
      </c>
      <c r="X197" t="s">
        <v>4244</v>
      </c>
      <c r="Y197" t="s">
        <v>4245</v>
      </c>
      <c r="Z197" t="s">
        <v>4246</v>
      </c>
      <c r="AA197" t="s">
        <v>4247</v>
      </c>
      <c r="AB197" t="s">
        <v>4248</v>
      </c>
      <c r="AC197" t="s">
        <v>74</v>
      </c>
      <c r="AD197" t="s">
        <v>74</v>
      </c>
      <c r="AE197" t="s">
        <v>74</v>
      </c>
      <c r="AF197" t="s">
        <v>74</v>
      </c>
      <c r="AG197">
        <v>41</v>
      </c>
      <c r="AH197">
        <v>4</v>
      </c>
      <c r="AI197">
        <v>4</v>
      </c>
      <c r="AJ197">
        <v>0</v>
      </c>
      <c r="AK197">
        <v>6</v>
      </c>
      <c r="AL197" t="s">
        <v>151</v>
      </c>
      <c r="AM197" t="s">
        <v>152</v>
      </c>
      <c r="AN197" t="s">
        <v>153</v>
      </c>
      <c r="AO197" t="s">
        <v>207</v>
      </c>
      <c r="AP197" t="s">
        <v>208</v>
      </c>
      <c r="AQ197" t="s">
        <v>74</v>
      </c>
      <c r="AR197" t="s">
        <v>209</v>
      </c>
      <c r="AS197" t="s">
        <v>210</v>
      </c>
      <c r="AT197" t="s">
        <v>3950</v>
      </c>
      <c r="AU197">
        <v>2020</v>
      </c>
      <c r="AV197">
        <v>125</v>
      </c>
      <c r="AW197">
        <v>7</v>
      </c>
      <c r="AX197" t="s">
        <v>74</v>
      </c>
      <c r="AY197" t="s">
        <v>74</v>
      </c>
      <c r="AZ197" t="s">
        <v>74</v>
      </c>
      <c r="BA197" t="s">
        <v>74</v>
      </c>
      <c r="BB197" t="s">
        <v>74</v>
      </c>
      <c r="BC197" t="s">
        <v>74</v>
      </c>
      <c r="BD197" t="s">
        <v>4249</v>
      </c>
      <c r="BE197" t="s">
        <v>4250</v>
      </c>
      <c r="BF197" t="str">
        <f>HYPERLINK("http://dx.doi.org/10.1029/2020JC016236","http://dx.doi.org/10.1029/2020JC016236")</f>
        <v>http://dx.doi.org/10.1029/2020JC016236</v>
      </c>
      <c r="BG197" t="s">
        <v>74</v>
      </c>
      <c r="BH197" t="s">
        <v>74</v>
      </c>
      <c r="BI197">
        <v>13</v>
      </c>
      <c r="BJ197" t="s">
        <v>213</v>
      </c>
      <c r="BK197" t="s">
        <v>102</v>
      </c>
      <c r="BL197" t="s">
        <v>213</v>
      </c>
      <c r="BM197" t="s">
        <v>4200</v>
      </c>
      <c r="BN197" t="s">
        <v>74</v>
      </c>
      <c r="BO197" t="s">
        <v>74</v>
      </c>
      <c r="BP197" t="s">
        <v>74</v>
      </c>
      <c r="BQ197" t="s">
        <v>74</v>
      </c>
      <c r="BR197" t="s">
        <v>106</v>
      </c>
      <c r="BS197" t="s">
        <v>4251</v>
      </c>
      <c r="BT197" t="str">
        <f>HYPERLINK("https%3A%2F%2Fwww.webofscience.com%2Fwos%2Fwoscc%2Ffull-record%2FWOS:000560011100050","View Full Record in Web of Science")</f>
        <v>View Full Record in Web of Science</v>
      </c>
    </row>
    <row r="198" spans="1:72" x14ac:dyDescent="0.15">
      <c r="A198" t="s">
        <v>72</v>
      </c>
      <c r="B198" t="s">
        <v>4252</v>
      </c>
      <c r="C198" t="s">
        <v>74</v>
      </c>
      <c r="D198" t="s">
        <v>74</v>
      </c>
      <c r="E198" t="s">
        <v>74</v>
      </c>
      <c r="F198" t="s">
        <v>4253</v>
      </c>
      <c r="G198" t="s">
        <v>74</v>
      </c>
      <c r="H198" t="s">
        <v>74</v>
      </c>
      <c r="I198" t="s">
        <v>4254</v>
      </c>
      <c r="J198" t="s">
        <v>194</v>
      </c>
      <c r="K198" t="s">
        <v>74</v>
      </c>
      <c r="L198" t="s">
        <v>74</v>
      </c>
      <c r="M198" t="s">
        <v>78</v>
      </c>
      <c r="N198" t="s">
        <v>79</v>
      </c>
      <c r="O198" t="s">
        <v>74</v>
      </c>
      <c r="P198" t="s">
        <v>74</v>
      </c>
      <c r="Q198" t="s">
        <v>74</v>
      </c>
      <c r="R198" t="s">
        <v>74</v>
      </c>
      <c r="S198" t="s">
        <v>74</v>
      </c>
      <c r="T198" t="s">
        <v>4255</v>
      </c>
      <c r="U198" t="s">
        <v>4256</v>
      </c>
      <c r="V198" t="s">
        <v>4257</v>
      </c>
      <c r="W198" t="s">
        <v>4258</v>
      </c>
      <c r="X198" t="s">
        <v>4259</v>
      </c>
      <c r="Y198" t="s">
        <v>4260</v>
      </c>
      <c r="Z198" t="s">
        <v>4261</v>
      </c>
      <c r="AA198" t="s">
        <v>74</v>
      </c>
      <c r="AB198" t="s">
        <v>4262</v>
      </c>
      <c r="AC198" t="s">
        <v>4263</v>
      </c>
      <c r="AD198" t="s">
        <v>4264</v>
      </c>
      <c r="AE198" t="s">
        <v>4265</v>
      </c>
      <c r="AF198" t="s">
        <v>74</v>
      </c>
      <c r="AG198">
        <v>46</v>
      </c>
      <c r="AH198">
        <v>18</v>
      </c>
      <c r="AI198">
        <v>19</v>
      </c>
      <c r="AJ198">
        <v>3</v>
      </c>
      <c r="AK198">
        <v>14</v>
      </c>
      <c r="AL198" t="s">
        <v>151</v>
      </c>
      <c r="AM198" t="s">
        <v>152</v>
      </c>
      <c r="AN198" t="s">
        <v>153</v>
      </c>
      <c r="AO198" t="s">
        <v>207</v>
      </c>
      <c r="AP198" t="s">
        <v>208</v>
      </c>
      <c r="AQ198" t="s">
        <v>74</v>
      </c>
      <c r="AR198" t="s">
        <v>209</v>
      </c>
      <c r="AS198" t="s">
        <v>210</v>
      </c>
      <c r="AT198" t="s">
        <v>3950</v>
      </c>
      <c r="AU198">
        <v>2020</v>
      </c>
      <c r="AV198">
        <v>125</v>
      </c>
      <c r="AW198">
        <v>7</v>
      </c>
      <c r="AX198" t="s">
        <v>74</v>
      </c>
      <c r="AY198" t="s">
        <v>74</v>
      </c>
      <c r="AZ198" t="s">
        <v>74</v>
      </c>
      <c r="BA198" t="s">
        <v>74</v>
      </c>
      <c r="BB198" t="s">
        <v>74</v>
      </c>
      <c r="BC198" t="s">
        <v>74</v>
      </c>
      <c r="BD198" t="s">
        <v>4266</v>
      </c>
      <c r="BE198" t="s">
        <v>4267</v>
      </c>
      <c r="BF198" t="str">
        <f>HYPERLINK("http://dx.doi.org/10.1029/2020JC016365","http://dx.doi.org/10.1029/2020JC016365")</f>
        <v>http://dx.doi.org/10.1029/2020JC016365</v>
      </c>
      <c r="BG198" t="s">
        <v>74</v>
      </c>
      <c r="BH198" t="s">
        <v>74</v>
      </c>
      <c r="BI198">
        <v>16</v>
      </c>
      <c r="BJ198" t="s">
        <v>213</v>
      </c>
      <c r="BK198" t="s">
        <v>102</v>
      </c>
      <c r="BL198" t="s">
        <v>213</v>
      </c>
      <c r="BM198" t="s">
        <v>4200</v>
      </c>
      <c r="BN198" t="s">
        <v>74</v>
      </c>
      <c r="BO198" t="s">
        <v>3041</v>
      </c>
      <c r="BP198" t="s">
        <v>74</v>
      </c>
      <c r="BQ198" t="s">
        <v>74</v>
      </c>
      <c r="BR198" t="s">
        <v>106</v>
      </c>
      <c r="BS198" t="s">
        <v>4268</v>
      </c>
      <c r="BT198" t="str">
        <f>HYPERLINK("https%3A%2F%2Fwww.webofscience.com%2Fwos%2Fwoscc%2Ffull-record%2FWOS:000560011100002","View Full Record in Web of Science")</f>
        <v>View Full Record in Web of Science</v>
      </c>
    </row>
    <row r="199" spans="1:72" x14ac:dyDescent="0.15">
      <c r="A199" t="s">
        <v>72</v>
      </c>
      <c r="B199" t="s">
        <v>4269</v>
      </c>
      <c r="C199" t="s">
        <v>74</v>
      </c>
      <c r="D199" t="s">
        <v>74</v>
      </c>
      <c r="E199" t="s">
        <v>74</v>
      </c>
      <c r="F199" t="s">
        <v>4270</v>
      </c>
      <c r="G199" t="s">
        <v>74</v>
      </c>
      <c r="H199" t="s">
        <v>74</v>
      </c>
      <c r="I199" t="s">
        <v>4271</v>
      </c>
      <c r="J199" t="s">
        <v>4272</v>
      </c>
      <c r="K199" t="s">
        <v>74</v>
      </c>
      <c r="L199" t="s">
        <v>74</v>
      </c>
      <c r="M199" t="s">
        <v>78</v>
      </c>
      <c r="N199" t="s">
        <v>79</v>
      </c>
      <c r="O199" t="s">
        <v>74</v>
      </c>
      <c r="P199" t="s">
        <v>74</v>
      </c>
      <c r="Q199" t="s">
        <v>74</v>
      </c>
      <c r="R199" t="s">
        <v>74</v>
      </c>
      <c r="S199" t="s">
        <v>74</v>
      </c>
      <c r="T199" t="s">
        <v>4273</v>
      </c>
      <c r="U199" t="s">
        <v>4274</v>
      </c>
      <c r="V199" t="s">
        <v>4275</v>
      </c>
      <c r="W199" t="s">
        <v>4276</v>
      </c>
      <c r="X199" t="s">
        <v>4277</v>
      </c>
      <c r="Y199" t="s">
        <v>4278</v>
      </c>
      <c r="Z199" t="s">
        <v>4279</v>
      </c>
      <c r="AA199" t="s">
        <v>74</v>
      </c>
      <c r="AB199" t="s">
        <v>4280</v>
      </c>
      <c r="AC199" t="s">
        <v>4281</v>
      </c>
      <c r="AD199" t="s">
        <v>4281</v>
      </c>
      <c r="AE199" t="s">
        <v>4282</v>
      </c>
      <c r="AF199" t="s">
        <v>74</v>
      </c>
      <c r="AG199">
        <v>41</v>
      </c>
      <c r="AH199">
        <v>11</v>
      </c>
      <c r="AI199">
        <v>12</v>
      </c>
      <c r="AJ199">
        <v>1</v>
      </c>
      <c r="AK199">
        <v>17</v>
      </c>
      <c r="AL199" t="s">
        <v>4283</v>
      </c>
      <c r="AM199" t="s">
        <v>4284</v>
      </c>
      <c r="AN199" t="s">
        <v>4285</v>
      </c>
      <c r="AO199" t="s">
        <v>74</v>
      </c>
      <c r="AP199" t="s">
        <v>4286</v>
      </c>
      <c r="AQ199" t="s">
        <v>74</v>
      </c>
      <c r="AR199" t="s">
        <v>4287</v>
      </c>
      <c r="AS199" t="s">
        <v>4288</v>
      </c>
      <c r="AT199" t="s">
        <v>3950</v>
      </c>
      <c r="AU199">
        <v>2020</v>
      </c>
      <c r="AV199">
        <v>8</v>
      </c>
      <c r="AW199">
        <v>7</v>
      </c>
      <c r="AX199" t="s">
        <v>74</v>
      </c>
      <c r="AY199" t="s">
        <v>74</v>
      </c>
      <c r="AZ199" t="s">
        <v>74</v>
      </c>
      <c r="BA199" t="s">
        <v>74</v>
      </c>
      <c r="BB199" t="s">
        <v>74</v>
      </c>
      <c r="BC199" t="s">
        <v>74</v>
      </c>
      <c r="BD199">
        <v>488</v>
      </c>
      <c r="BE199" t="s">
        <v>4289</v>
      </c>
      <c r="BF199" t="str">
        <f>HYPERLINK("http://dx.doi.org/10.3390/jmse8070488","http://dx.doi.org/10.3390/jmse8070488")</f>
        <v>http://dx.doi.org/10.3390/jmse8070488</v>
      </c>
      <c r="BG199" t="s">
        <v>74</v>
      </c>
      <c r="BH199" t="s">
        <v>74</v>
      </c>
      <c r="BI199">
        <v>16</v>
      </c>
      <c r="BJ199" t="s">
        <v>4290</v>
      </c>
      <c r="BK199" t="s">
        <v>102</v>
      </c>
      <c r="BL199" t="s">
        <v>4291</v>
      </c>
      <c r="BM199" t="s">
        <v>4292</v>
      </c>
      <c r="BN199" t="s">
        <v>74</v>
      </c>
      <c r="BO199" t="s">
        <v>105</v>
      </c>
      <c r="BP199" t="s">
        <v>74</v>
      </c>
      <c r="BQ199" t="s">
        <v>74</v>
      </c>
      <c r="BR199" t="s">
        <v>106</v>
      </c>
      <c r="BS199" t="s">
        <v>4293</v>
      </c>
      <c r="BT199" t="str">
        <f>HYPERLINK("https%3A%2F%2Fwww.webofscience.com%2Fwos%2Fwoscc%2Ffull-record%2FWOS:000558670300001","View Full Record in Web of Science")</f>
        <v>View Full Record in Web of Science</v>
      </c>
    </row>
    <row r="200" spans="1:72" x14ac:dyDescent="0.15">
      <c r="A200" t="s">
        <v>72</v>
      </c>
      <c r="B200" t="s">
        <v>4294</v>
      </c>
      <c r="C200" t="s">
        <v>74</v>
      </c>
      <c r="D200" t="s">
        <v>74</v>
      </c>
      <c r="E200" t="s">
        <v>74</v>
      </c>
      <c r="F200" t="s">
        <v>4295</v>
      </c>
      <c r="G200" t="s">
        <v>74</v>
      </c>
      <c r="H200" t="s">
        <v>74</v>
      </c>
      <c r="I200" t="s">
        <v>4296</v>
      </c>
      <c r="J200" t="s">
        <v>4297</v>
      </c>
      <c r="K200" t="s">
        <v>74</v>
      </c>
      <c r="L200" t="s">
        <v>74</v>
      </c>
      <c r="M200" t="s">
        <v>78</v>
      </c>
      <c r="N200" t="s">
        <v>79</v>
      </c>
      <c r="O200" t="s">
        <v>74</v>
      </c>
      <c r="P200" t="s">
        <v>74</v>
      </c>
      <c r="Q200" t="s">
        <v>74</v>
      </c>
      <c r="R200" t="s">
        <v>74</v>
      </c>
      <c r="S200" t="s">
        <v>74</v>
      </c>
      <c r="T200" t="s">
        <v>4298</v>
      </c>
      <c r="U200" t="s">
        <v>4299</v>
      </c>
      <c r="V200" t="s">
        <v>4300</v>
      </c>
      <c r="W200" t="s">
        <v>4301</v>
      </c>
      <c r="X200" t="s">
        <v>4302</v>
      </c>
      <c r="Y200" t="s">
        <v>4303</v>
      </c>
      <c r="Z200" t="s">
        <v>4304</v>
      </c>
      <c r="AA200" t="s">
        <v>4305</v>
      </c>
      <c r="AB200" t="s">
        <v>4306</v>
      </c>
      <c r="AC200" t="s">
        <v>4307</v>
      </c>
      <c r="AD200" t="s">
        <v>4308</v>
      </c>
      <c r="AE200" t="s">
        <v>4309</v>
      </c>
      <c r="AF200" t="s">
        <v>74</v>
      </c>
      <c r="AG200">
        <v>155</v>
      </c>
      <c r="AH200">
        <v>7</v>
      </c>
      <c r="AI200">
        <v>8</v>
      </c>
      <c r="AJ200">
        <v>0</v>
      </c>
      <c r="AK200">
        <v>3</v>
      </c>
      <c r="AL200" t="s">
        <v>151</v>
      </c>
      <c r="AM200" t="s">
        <v>152</v>
      </c>
      <c r="AN200" t="s">
        <v>153</v>
      </c>
      <c r="AO200" t="s">
        <v>74</v>
      </c>
      <c r="AP200" t="s">
        <v>4310</v>
      </c>
      <c r="AQ200" t="s">
        <v>74</v>
      </c>
      <c r="AR200" t="s">
        <v>4311</v>
      </c>
      <c r="AS200" t="s">
        <v>4312</v>
      </c>
      <c r="AT200" t="s">
        <v>3950</v>
      </c>
      <c r="AU200">
        <v>2020</v>
      </c>
      <c r="AV200">
        <v>21</v>
      </c>
      <c r="AW200">
        <v>7</v>
      </c>
      <c r="AX200" t="s">
        <v>74</v>
      </c>
      <c r="AY200" t="s">
        <v>74</v>
      </c>
      <c r="AZ200" t="s">
        <v>74</v>
      </c>
      <c r="BA200" t="s">
        <v>74</v>
      </c>
      <c r="BB200" t="s">
        <v>74</v>
      </c>
      <c r="BC200" t="s">
        <v>74</v>
      </c>
      <c r="BD200" t="s">
        <v>4313</v>
      </c>
      <c r="BE200" t="s">
        <v>4314</v>
      </c>
      <c r="BF200" t="str">
        <f>HYPERLINK("http://dx.doi.org/10.1029/2020GC009040","http://dx.doi.org/10.1029/2020GC009040")</f>
        <v>http://dx.doi.org/10.1029/2020GC009040</v>
      </c>
      <c r="BG200" t="s">
        <v>74</v>
      </c>
      <c r="BH200" t="s">
        <v>74</v>
      </c>
      <c r="BI200">
        <v>25</v>
      </c>
      <c r="BJ200" t="s">
        <v>131</v>
      </c>
      <c r="BK200" t="s">
        <v>102</v>
      </c>
      <c r="BL200" t="s">
        <v>131</v>
      </c>
      <c r="BM200" t="s">
        <v>4315</v>
      </c>
      <c r="BN200" t="s">
        <v>74</v>
      </c>
      <c r="BO200" t="s">
        <v>491</v>
      </c>
      <c r="BP200" t="s">
        <v>74</v>
      </c>
      <c r="BQ200" t="s">
        <v>74</v>
      </c>
      <c r="BR200" t="s">
        <v>106</v>
      </c>
      <c r="BS200" t="s">
        <v>4316</v>
      </c>
      <c r="BT200" t="str">
        <f>HYPERLINK("https%3A%2F%2Fwww.webofscience.com%2Fwos%2Fwoscc%2Ffull-record%2FWOS:000557248500007","View Full Record in Web of Science")</f>
        <v>View Full Record in Web of Science</v>
      </c>
    </row>
    <row r="201" spans="1:72" x14ac:dyDescent="0.15">
      <c r="A201" t="s">
        <v>72</v>
      </c>
      <c r="B201" t="s">
        <v>4317</v>
      </c>
      <c r="C201" t="s">
        <v>74</v>
      </c>
      <c r="D201" t="s">
        <v>74</v>
      </c>
      <c r="E201" t="s">
        <v>74</v>
      </c>
      <c r="F201" t="s">
        <v>4318</v>
      </c>
      <c r="G201" t="s">
        <v>74</v>
      </c>
      <c r="H201" t="s">
        <v>74</v>
      </c>
      <c r="I201" t="s">
        <v>4319</v>
      </c>
      <c r="J201" t="s">
        <v>4320</v>
      </c>
      <c r="K201" t="s">
        <v>74</v>
      </c>
      <c r="L201" t="s">
        <v>74</v>
      </c>
      <c r="M201" t="s">
        <v>78</v>
      </c>
      <c r="N201" t="s">
        <v>79</v>
      </c>
      <c r="O201" t="s">
        <v>74</v>
      </c>
      <c r="P201" t="s">
        <v>74</v>
      </c>
      <c r="Q201" t="s">
        <v>74</v>
      </c>
      <c r="R201" t="s">
        <v>74</v>
      </c>
      <c r="S201" t="s">
        <v>74</v>
      </c>
      <c r="T201" t="s">
        <v>4321</v>
      </c>
      <c r="U201" t="s">
        <v>4322</v>
      </c>
      <c r="V201" t="s">
        <v>4323</v>
      </c>
      <c r="W201" t="s">
        <v>4324</v>
      </c>
      <c r="X201" t="s">
        <v>4325</v>
      </c>
      <c r="Y201" t="s">
        <v>4326</v>
      </c>
      <c r="Z201" t="s">
        <v>4327</v>
      </c>
      <c r="AA201" t="s">
        <v>4328</v>
      </c>
      <c r="AB201" t="s">
        <v>4329</v>
      </c>
      <c r="AC201" t="s">
        <v>4330</v>
      </c>
      <c r="AD201" t="s">
        <v>4331</v>
      </c>
      <c r="AE201" t="s">
        <v>4332</v>
      </c>
      <c r="AF201" t="s">
        <v>74</v>
      </c>
      <c r="AG201">
        <v>74</v>
      </c>
      <c r="AH201">
        <v>6</v>
      </c>
      <c r="AI201">
        <v>6</v>
      </c>
      <c r="AJ201">
        <v>1</v>
      </c>
      <c r="AK201">
        <v>23</v>
      </c>
      <c r="AL201" t="s">
        <v>4283</v>
      </c>
      <c r="AM201" t="s">
        <v>4284</v>
      </c>
      <c r="AN201" t="s">
        <v>4285</v>
      </c>
      <c r="AO201" t="s">
        <v>74</v>
      </c>
      <c r="AP201" t="s">
        <v>4333</v>
      </c>
      <c r="AQ201" t="s">
        <v>74</v>
      </c>
      <c r="AR201" t="s">
        <v>4334</v>
      </c>
      <c r="AS201" t="s">
        <v>4335</v>
      </c>
      <c r="AT201" t="s">
        <v>3950</v>
      </c>
      <c r="AU201">
        <v>2020</v>
      </c>
      <c r="AV201">
        <v>10</v>
      </c>
      <c r="AW201">
        <v>7</v>
      </c>
      <c r="AX201" t="s">
        <v>74</v>
      </c>
      <c r="AY201" t="s">
        <v>74</v>
      </c>
      <c r="AZ201" t="s">
        <v>74</v>
      </c>
      <c r="BA201" t="s">
        <v>74</v>
      </c>
      <c r="BB201" t="s">
        <v>74</v>
      </c>
      <c r="BC201" t="s">
        <v>74</v>
      </c>
      <c r="BD201">
        <v>588</v>
      </c>
      <c r="BE201" t="s">
        <v>4336</v>
      </c>
      <c r="BF201" t="str">
        <f>HYPERLINK("http://dx.doi.org/10.3390/min10070588","http://dx.doi.org/10.3390/min10070588")</f>
        <v>http://dx.doi.org/10.3390/min10070588</v>
      </c>
      <c r="BG201" t="s">
        <v>74</v>
      </c>
      <c r="BH201" t="s">
        <v>74</v>
      </c>
      <c r="BI201">
        <v>19</v>
      </c>
      <c r="BJ201" t="s">
        <v>4337</v>
      </c>
      <c r="BK201" t="s">
        <v>102</v>
      </c>
      <c r="BL201" t="s">
        <v>4337</v>
      </c>
      <c r="BM201" t="s">
        <v>4338</v>
      </c>
      <c r="BN201" t="s">
        <v>74</v>
      </c>
      <c r="BO201" t="s">
        <v>161</v>
      </c>
      <c r="BP201" t="s">
        <v>74</v>
      </c>
      <c r="BQ201" t="s">
        <v>74</v>
      </c>
      <c r="BR201" t="s">
        <v>106</v>
      </c>
      <c r="BS201" t="s">
        <v>4339</v>
      </c>
      <c r="BT201" t="str">
        <f>HYPERLINK("https%3A%2F%2Fwww.webofscience.com%2Fwos%2Fwoscc%2Ffull-record%2FWOS:000557555400001","View Full Record in Web of Science")</f>
        <v>View Full Record in Web of Science</v>
      </c>
    </row>
    <row r="202" spans="1:72" x14ac:dyDescent="0.15">
      <c r="A202" t="s">
        <v>72</v>
      </c>
      <c r="B202" t="s">
        <v>4340</v>
      </c>
      <c r="C202" t="s">
        <v>74</v>
      </c>
      <c r="D202" t="s">
        <v>74</v>
      </c>
      <c r="E202" t="s">
        <v>74</v>
      </c>
      <c r="F202" t="s">
        <v>4341</v>
      </c>
      <c r="G202" t="s">
        <v>74</v>
      </c>
      <c r="H202" t="s">
        <v>74</v>
      </c>
      <c r="I202" t="s">
        <v>4342</v>
      </c>
      <c r="J202" t="s">
        <v>4343</v>
      </c>
      <c r="K202" t="s">
        <v>74</v>
      </c>
      <c r="L202" t="s">
        <v>74</v>
      </c>
      <c r="M202" t="s">
        <v>78</v>
      </c>
      <c r="N202" t="s">
        <v>79</v>
      </c>
      <c r="O202" t="s">
        <v>74</v>
      </c>
      <c r="P202" t="s">
        <v>74</v>
      </c>
      <c r="Q202" t="s">
        <v>74</v>
      </c>
      <c r="R202" t="s">
        <v>74</v>
      </c>
      <c r="S202" t="s">
        <v>74</v>
      </c>
      <c r="T202" t="s">
        <v>4344</v>
      </c>
      <c r="U202" t="s">
        <v>4345</v>
      </c>
      <c r="V202" t="s">
        <v>4346</v>
      </c>
      <c r="W202" t="s">
        <v>4347</v>
      </c>
      <c r="X202" t="s">
        <v>4348</v>
      </c>
      <c r="Y202" t="s">
        <v>4349</v>
      </c>
      <c r="Z202" t="s">
        <v>4350</v>
      </c>
      <c r="AA202" t="s">
        <v>4351</v>
      </c>
      <c r="AB202" t="s">
        <v>4352</v>
      </c>
      <c r="AC202" t="s">
        <v>4353</v>
      </c>
      <c r="AD202" t="s">
        <v>4354</v>
      </c>
      <c r="AE202" t="s">
        <v>4355</v>
      </c>
      <c r="AF202" t="s">
        <v>74</v>
      </c>
      <c r="AG202">
        <v>31</v>
      </c>
      <c r="AH202">
        <v>3</v>
      </c>
      <c r="AI202">
        <v>3</v>
      </c>
      <c r="AJ202">
        <v>0</v>
      </c>
      <c r="AK202">
        <v>6</v>
      </c>
      <c r="AL202" t="s">
        <v>4283</v>
      </c>
      <c r="AM202" t="s">
        <v>4284</v>
      </c>
      <c r="AN202" t="s">
        <v>4285</v>
      </c>
      <c r="AO202" t="s">
        <v>74</v>
      </c>
      <c r="AP202" t="s">
        <v>4356</v>
      </c>
      <c r="AQ202" t="s">
        <v>74</v>
      </c>
      <c r="AR202" t="s">
        <v>4357</v>
      </c>
      <c r="AS202" t="s">
        <v>4358</v>
      </c>
      <c r="AT202" t="s">
        <v>3950</v>
      </c>
      <c r="AU202">
        <v>2020</v>
      </c>
      <c r="AV202">
        <v>12</v>
      </c>
      <c r="AW202">
        <v>14</v>
      </c>
      <c r="AX202" t="s">
        <v>74</v>
      </c>
      <c r="AY202" t="s">
        <v>74</v>
      </c>
      <c r="AZ202" t="s">
        <v>74</v>
      </c>
      <c r="BA202" t="s">
        <v>74</v>
      </c>
      <c r="BB202" t="s">
        <v>74</v>
      </c>
      <c r="BC202" t="s">
        <v>74</v>
      </c>
      <c r="BD202">
        <v>2197</v>
      </c>
      <c r="BE202" t="s">
        <v>4359</v>
      </c>
      <c r="BF202" t="str">
        <f>HYPERLINK("http://dx.doi.org/10.3390/rs12142197","http://dx.doi.org/10.3390/rs12142197")</f>
        <v>http://dx.doi.org/10.3390/rs12142197</v>
      </c>
      <c r="BG202" t="s">
        <v>74</v>
      </c>
      <c r="BH202" t="s">
        <v>74</v>
      </c>
      <c r="BI202">
        <v>16</v>
      </c>
      <c r="BJ202" t="s">
        <v>4360</v>
      </c>
      <c r="BK202" t="s">
        <v>102</v>
      </c>
      <c r="BL202" t="s">
        <v>4361</v>
      </c>
      <c r="BM202" t="s">
        <v>4362</v>
      </c>
      <c r="BN202" t="s">
        <v>74</v>
      </c>
      <c r="BO202" t="s">
        <v>1778</v>
      </c>
      <c r="BP202" t="s">
        <v>74</v>
      </c>
      <c r="BQ202" t="s">
        <v>74</v>
      </c>
      <c r="BR202" t="s">
        <v>106</v>
      </c>
      <c r="BS202" t="s">
        <v>4363</v>
      </c>
      <c r="BT202" t="str">
        <f>HYPERLINK("https%3A%2F%2Fwww.webofscience.com%2Fwos%2Fwoscc%2Ffull-record%2FWOS:000557524700001","View Full Record in Web of Science")</f>
        <v>View Full Record in Web of Science</v>
      </c>
    </row>
    <row r="203" spans="1:72" x14ac:dyDescent="0.15">
      <c r="A203" t="s">
        <v>72</v>
      </c>
      <c r="B203" t="s">
        <v>4364</v>
      </c>
      <c r="C203" t="s">
        <v>74</v>
      </c>
      <c r="D203" t="s">
        <v>74</v>
      </c>
      <c r="E203" t="s">
        <v>74</v>
      </c>
      <c r="F203" t="s">
        <v>4365</v>
      </c>
      <c r="G203" t="s">
        <v>74</v>
      </c>
      <c r="H203" t="s">
        <v>74</v>
      </c>
      <c r="I203" t="s">
        <v>4366</v>
      </c>
      <c r="J203" t="s">
        <v>4367</v>
      </c>
      <c r="K203" t="s">
        <v>74</v>
      </c>
      <c r="L203" t="s">
        <v>74</v>
      </c>
      <c r="M203" t="s">
        <v>78</v>
      </c>
      <c r="N203" t="s">
        <v>79</v>
      </c>
      <c r="O203" t="s">
        <v>74</v>
      </c>
      <c r="P203" t="s">
        <v>74</v>
      </c>
      <c r="Q203" t="s">
        <v>74</v>
      </c>
      <c r="R203" t="s">
        <v>74</v>
      </c>
      <c r="S203" t="s">
        <v>74</v>
      </c>
      <c r="T203" t="s">
        <v>4368</v>
      </c>
      <c r="U203" t="s">
        <v>4369</v>
      </c>
      <c r="V203" t="s">
        <v>4370</v>
      </c>
      <c r="W203" t="s">
        <v>4371</v>
      </c>
      <c r="X203" t="s">
        <v>4372</v>
      </c>
      <c r="Y203" t="s">
        <v>4373</v>
      </c>
      <c r="Z203" t="s">
        <v>4374</v>
      </c>
      <c r="AA203" t="s">
        <v>4375</v>
      </c>
      <c r="AB203" t="s">
        <v>4376</v>
      </c>
      <c r="AC203" t="s">
        <v>4377</v>
      </c>
      <c r="AD203" t="s">
        <v>4378</v>
      </c>
      <c r="AE203" t="s">
        <v>4379</v>
      </c>
      <c r="AF203" t="s">
        <v>74</v>
      </c>
      <c r="AG203">
        <v>64</v>
      </c>
      <c r="AH203">
        <v>28</v>
      </c>
      <c r="AI203">
        <v>30</v>
      </c>
      <c r="AJ203">
        <v>0</v>
      </c>
      <c r="AK203">
        <v>6</v>
      </c>
      <c r="AL203" t="s">
        <v>151</v>
      </c>
      <c r="AM203" t="s">
        <v>152</v>
      </c>
      <c r="AN203" t="s">
        <v>153</v>
      </c>
      <c r="AO203" t="s">
        <v>4380</v>
      </c>
      <c r="AP203" t="s">
        <v>4381</v>
      </c>
      <c r="AQ203" t="s">
        <v>74</v>
      </c>
      <c r="AR203" t="s">
        <v>4382</v>
      </c>
      <c r="AS203" t="s">
        <v>4383</v>
      </c>
      <c r="AT203" t="s">
        <v>3950</v>
      </c>
      <c r="AU203">
        <v>2020</v>
      </c>
      <c r="AV203">
        <v>125</v>
      </c>
      <c r="AW203">
        <v>7</v>
      </c>
      <c r="AX203" t="s">
        <v>74</v>
      </c>
      <c r="AY203" t="s">
        <v>74</v>
      </c>
      <c r="AZ203" t="s">
        <v>74</v>
      </c>
      <c r="BA203" t="s">
        <v>74</v>
      </c>
      <c r="BB203" t="s">
        <v>74</v>
      </c>
      <c r="BC203" t="s">
        <v>74</v>
      </c>
      <c r="BD203" t="s">
        <v>4384</v>
      </c>
      <c r="BE203" t="s">
        <v>4385</v>
      </c>
      <c r="BF203" t="str">
        <f>HYPERLINK("http://dx.doi.org/10.1029/2020JA027949","http://dx.doi.org/10.1029/2020JA027949")</f>
        <v>http://dx.doi.org/10.1029/2020JA027949</v>
      </c>
      <c r="BG203" t="s">
        <v>74</v>
      </c>
      <c r="BH203" t="s">
        <v>74</v>
      </c>
      <c r="BI203">
        <v>19</v>
      </c>
      <c r="BJ203" t="s">
        <v>774</v>
      </c>
      <c r="BK203" t="s">
        <v>102</v>
      </c>
      <c r="BL203" t="s">
        <v>774</v>
      </c>
      <c r="BM203" t="s">
        <v>4386</v>
      </c>
      <c r="BN203" t="s">
        <v>74</v>
      </c>
      <c r="BO203" t="s">
        <v>1181</v>
      </c>
      <c r="BP203" t="s">
        <v>74</v>
      </c>
      <c r="BQ203" t="s">
        <v>74</v>
      </c>
      <c r="BR203" t="s">
        <v>106</v>
      </c>
      <c r="BS203" t="s">
        <v>4387</v>
      </c>
      <c r="BT203" t="str">
        <f>HYPERLINK("https%3A%2F%2Fwww.webofscience.com%2Fwos%2Fwoscc%2Ffull-record%2FWOS:000556880400037","View Full Record in Web of Science")</f>
        <v>View Full Record in Web of Science</v>
      </c>
    </row>
    <row r="204" spans="1:72" x14ac:dyDescent="0.15">
      <c r="A204" t="s">
        <v>72</v>
      </c>
      <c r="B204" t="s">
        <v>4388</v>
      </c>
      <c r="C204" t="s">
        <v>74</v>
      </c>
      <c r="D204" t="s">
        <v>74</v>
      </c>
      <c r="E204" t="s">
        <v>74</v>
      </c>
      <c r="F204" t="s">
        <v>4389</v>
      </c>
      <c r="G204" t="s">
        <v>74</v>
      </c>
      <c r="H204" t="s">
        <v>74</v>
      </c>
      <c r="I204" t="s">
        <v>4390</v>
      </c>
      <c r="J204" t="s">
        <v>4367</v>
      </c>
      <c r="K204" t="s">
        <v>74</v>
      </c>
      <c r="L204" t="s">
        <v>74</v>
      </c>
      <c r="M204" t="s">
        <v>78</v>
      </c>
      <c r="N204" t="s">
        <v>79</v>
      </c>
      <c r="O204" t="s">
        <v>74</v>
      </c>
      <c r="P204" t="s">
        <v>74</v>
      </c>
      <c r="Q204" t="s">
        <v>74</v>
      </c>
      <c r="R204" t="s">
        <v>74</v>
      </c>
      <c r="S204" t="s">
        <v>74</v>
      </c>
      <c r="T204" t="s">
        <v>4391</v>
      </c>
      <c r="U204" t="s">
        <v>4392</v>
      </c>
      <c r="V204" t="s">
        <v>4393</v>
      </c>
      <c r="W204" t="s">
        <v>4394</v>
      </c>
      <c r="X204" t="s">
        <v>4395</v>
      </c>
      <c r="Y204" t="s">
        <v>4396</v>
      </c>
      <c r="Z204" t="s">
        <v>4397</v>
      </c>
      <c r="AA204" t="s">
        <v>4398</v>
      </c>
      <c r="AB204" t="s">
        <v>4399</v>
      </c>
      <c r="AC204" t="s">
        <v>4400</v>
      </c>
      <c r="AD204" t="s">
        <v>4401</v>
      </c>
      <c r="AE204" t="s">
        <v>4402</v>
      </c>
      <c r="AF204" t="s">
        <v>74</v>
      </c>
      <c r="AG204">
        <v>40</v>
      </c>
      <c r="AH204">
        <v>9</v>
      </c>
      <c r="AI204">
        <v>9</v>
      </c>
      <c r="AJ204">
        <v>0</v>
      </c>
      <c r="AK204">
        <v>2</v>
      </c>
      <c r="AL204" t="s">
        <v>151</v>
      </c>
      <c r="AM204" t="s">
        <v>152</v>
      </c>
      <c r="AN204" t="s">
        <v>153</v>
      </c>
      <c r="AO204" t="s">
        <v>4380</v>
      </c>
      <c r="AP204" t="s">
        <v>4381</v>
      </c>
      <c r="AQ204" t="s">
        <v>74</v>
      </c>
      <c r="AR204" t="s">
        <v>4382</v>
      </c>
      <c r="AS204" t="s">
        <v>4383</v>
      </c>
      <c r="AT204" t="s">
        <v>3950</v>
      </c>
      <c r="AU204">
        <v>2020</v>
      </c>
      <c r="AV204">
        <v>125</v>
      </c>
      <c r="AW204">
        <v>7</v>
      </c>
      <c r="AX204" t="s">
        <v>74</v>
      </c>
      <c r="AY204" t="s">
        <v>74</v>
      </c>
      <c r="AZ204" t="s">
        <v>74</v>
      </c>
      <c r="BA204" t="s">
        <v>74</v>
      </c>
      <c r="BB204" t="s">
        <v>74</v>
      </c>
      <c r="BC204" t="s">
        <v>74</v>
      </c>
      <c r="BD204" t="s">
        <v>4403</v>
      </c>
      <c r="BE204" t="s">
        <v>4404</v>
      </c>
      <c r="BF204" t="str">
        <f>HYPERLINK("http://dx.doi.org/10.1029/2020JA028203","http://dx.doi.org/10.1029/2020JA028203")</f>
        <v>http://dx.doi.org/10.1029/2020JA028203</v>
      </c>
      <c r="BG204" t="s">
        <v>74</v>
      </c>
      <c r="BH204" t="s">
        <v>74</v>
      </c>
      <c r="BI204">
        <v>20</v>
      </c>
      <c r="BJ204" t="s">
        <v>774</v>
      </c>
      <c r="BK204" t="s">
        <v>102</v>
      </c>
      <c r="BL204" t="s">
        <v>774</v>
      </c>
      <c r="BM204" t="s">
        <v>4386</v>
      </c>
      <c r="BN204" t="s">
        <v>74</v>
      </c>
      <c r="BO204" t="s">
        <v>976</v>
      </c>
      <c r="BP204" t="s">
        <v>74</v>
      </c>
      <c r="BQ204" t="s">
        <v>74</v>
      </c>
      <c r="BR204" t="s">
        <v>106</v>
      </c>
      <c r="BS204" t="s">
        <v>4405</v>
      </c>
      <c r="BT204" t="str">
        <f>HYPERLINK("https%3A%2F%2Fwww.webofscience.com%2Fwos%2Fwoscc%2Ffull-record%2FWOS:000556880400041","View Full Record in Web of Science")</f>
        <v>View Full Record in Web of Science</v>
      </c>
    </row>
    <row r="205" spans="1:72" x14ac:dyDescent="0.15">
      <c r="A205" t="s">
        <v>72</v>
      </c>
      <c r="B205" t="s">
        <v>4406</v>
      </c>
      <c r="C205" t="s">
        <v>74</v>
      </c>
      <c r="D205" t="s">
        <v>74</v>
      </c>
      <c r="E205" t="s">
        <v>74</v>
      </c>
      <c r="F205" t="s">
        <v>4407</v>
      </c>
      <c r="G205" t="s">
        <v>74</v>
      </c>
      <c r="H205" t="s">
        <v>74</v>
      </c>
      <c r="I205" t="s">
        <v>4408</v>
      </c>
      <c r="J205" t="s">
        <v>4367</v>
      </c>
      <c r="K205" t="s">
        <v>74</v>
      </c>
      <c r="L205" t="s">
        <v>74</v>
      </c>
      <c r="M205" t="s">
        <v>78</v>
      </c>
      <c r="N205" t="s">
        <v>79</v>
      </c>
      <c r="O205" t="s">
        <v>74</v>
      </c>
      <c r="P205" t="s">
        <v>74</v>
      </c>
      <c r="Q205" t="s">
        <v>74</v>
      </c>
      <c r="R205" t="s">
        <v>74</v>
      </c>
      <c r="S205" t="s">
        <v>74</v>
      </c>
      <c r="T205" t="s">
        <v>4409</v>
      </c>
      <c r="U205" t="s">
        <v>4410</v>
      </c>
      <c r="V205" t="s">
        <v>4411</v>
      </c>
      <c r="W205" t="s">
        <v>4412</v>
      </c>
      <c r="X205" t="s">
        <v>4413</v>
      </c>
      <c r="Y205" t="s">
        <v>4414</v>
      </c>
      <c r="Z205" t="s">
        <v>4415</v>
      </c>
      <c r="AA205" t="s">
        <v>4416</v>
      </c>
      <c r="AB205" t="s">
        <v>4417</v>
      </c>
      <c r="AC205" t="s">
        <v>4418</v>
      </c>
      <c r="AD205" t="s">
        <v>4419</v>
      </c>
      <c r="AE205" t="s">
        <v>4420</v>
      </c>
      <c r="AF205" t="s">
        <v>74</v>
      </c>
      <c r="AG205">
        <v>61</v>
      </c>
      <c r="AH205">
        <v>3</v>
      </c>
      <c r="AI205">
        <v>3</v>
      </c>
      <c r="AJ205">
        <v>0</v>
      </c>
      <c r="AK205">
        <v>8</v>
      </c>
      <c r="AL205" t="s">
        <v>151</v>
      </c>
      <c r="AM205" t="s">
        <v>152</v>
      </c>
      <c r="AN205" t="s">
        <v>153</v>
      </c>
      <c r="AO205" t="s">
        <v>4380</v>
      </c>
      <c r="AP205" t="s">
        <v>4381</v>
      </c>
      <c r="AQ205" t="s">
        <v>74</v>
      </c>
      <c r="AR205" t="s">
        <v>4382</v>
      </c>
      <c r="AS205" t="s">
        <v>4383</v>
      </c>
      <c r="AT205" t="s">
        <v>3950</v>
      </c>
      <c r="AU205">
        <v>2020</v>
      </c>
      <c r="AV205">
        <v>125</v>
      </c>
      <c r="AW205">
        <v>7</v>
      </c>
      <c r="AX205" t="s">
        <v>74</v>
      </c>
      <c r="AY205" t="s">
        <v>74</v>
      </c>
      <c r="AZ205" t="s">
        <v>74</v>
      </c>
      <c r="BA205" t="s">
        <v>74</v>
      </c>
      <c r="BB205" t="s">
        <v>74</v>
      </c>
      <c r="BC205" t="s">
        <v>74</v>
      </c>
      <c r="BD205" t="s">
        <v>4421</v>
      </c>
      <c r="BE205" t="s">
        <v>4422</v>
      </c>
      <c r="BF205" t="str">
        <f>HYPERLINK("http://dx.doi.org/10.1029/2020JA027846","http://dx.doi.org/10.1029/2020JA027846")</f>
        <v>http://dx.doi.org/10.1029/2020JA027846</v>
      </c>
      <c r="BG205" t="s">
        <v>74</v>
      </c>
      <c r="BH205" t="s">
        <v>74</v>
      </c>
      <c r="BI205">
        <v>17</v>
      </c>
      <c r="BJ205" t="s">
        <v>774</v>
      </c>
      <c r="BK205" t="s">
        <v>102</v>
      </c>
      <c r="BL205" t="s">
        <v>774</v>
      </c>
      <c r="BM205" t="s">
        <v>4386</v>
      </c>
      <c r="BN205" t="s">
        <v>74</v>
      </c>
      <c r="BO205" t="s">
        <v>4423</v>
      </c>
      <c r="BP205" t="s">
        <v>74</v>
      </c>
      <c r="BQ205" t="s">
        <v>74</v>
      </c>
      <c r="BR205" t="s">
        <v>106</v>
      </c>
      <c r="BS205" t="s">
        <v>4424</v>
      </c>
      <c r="BT205" t="str">
        <f>HYPERLINK("https%3A%2F%2Fwww.webofscience.com%2Fwos%2Fwoscc%2Ffull-record%2FWOS:000556880400023","View Full Record in Web of Science")</f>
        <v>View Full Record in Web of Science</v>
      </c>
    </row>
    <row r="206" spans="1:72" x14ac:dyDescent="0.15">
      <c r="A206" t="s">
        <v>72</v>
      </c>
      <c r="B206" t="s">
        <v>4425</v>
      </c>
      <c r="C206" t="s">
        <v>74</v>
      </c>
      <c r="D206" t="s">
        <v>74</v>
      </c>
      <c r="E206" t="s">
        <v>74</v>
      </c>
      <c r="F206" t="s">
        <v>4426</v>
      </c>
      <c r="G206" t="s">
        <v>74</v>
      </c>
      <c r="H206" t="s">
        <v>74</v>
      </c>
      <c r="I206" t="s">
        <v>4427</v>
      </c>
      <c r="J206" t="s">
        <v>4428</v>
      </c>
      <c r="K206" t="s">
        <v>74</v>
      </c>
      <c r="L206" t="s">
        <v>74</v>
      </c>
      <c r="M206" t="s">
        <v>78</v>
      </c>
      <c r="N206" t="s">
        <v>79</v>
      </c>
      <c r="O206" t="s">
        <v>74</v>
      </c>
      <c r="P206" t="s">
        <v>74</v>
      </c>
      <c r="Q206" t="s">
        <v>74</v>
      </c>
      <c r="R206" t="s">
        <v>74</v>
      </c>
      <c r="S206" t="s">
        <v>74</v>
      </c>
      <c r="T206" t="s">
        <v>4429</v>
      </c>
      <c r="U206" t="s">
        <v>4430</v>
      </c>
      <c r="V206" t="s">
        <v>4431</v>
      </c>
      <c r="W206" t="s">
        <v>4432</v>
      </c>
      <c r="X206" t="s">
        <v>4433</v>
      </c>
      <c r="Y206" t="s">
        <v>4434</v>
      </c>
      <c r="Z206" t="s">
        <v>4435</v>
      </c>
      <c r="AA206" t="s">
        <v>4436</v>
      </c>
      <c r="AB206" t="s">
        <v>4437</v>
      </c>
      <c r="AC206" t="s">
        <v>4438</v>
      </c>
      <c r="AD206" t="s">
        <v>4439</v>
      </c>
      <c r="AE206" t="s">
        <v>4440</v>
      </c>
      <c r="AF206" t="s">
        <v>74</v>
      </c>
      <c r="AG206">
        <v>96</v>
      </c>
      <c r="AH206">
        <v>9</v>
      </c>
      <c r="AI206">
        <v>9</v>
      </c>
      <c r="AJ206">
        <v>2</v>
      </c>
      <c r="AK206">
        <v>14</v>
      </c>
      <c r="AL206" t="s">
        <v>4283</v>
      </c>
      <c r="AM206" t="s">
        <v>4284</v>
      </c>
      <c r="AN206" t="s">
        <v>4285</v>
      </c>
      <c r="AO206" t="s">
        <v>74</v>
      </c>
      <c r="AP206" t="s">
        <v>4441</v>
      </c>
      <c r="AQ206" t="s">
        <v>74</v>
      </c>
      <c r="AR206" t="s">
        <v>4428</v>
      </c>
      <c r="AS206" t="s">
        <v>4442</v>
      </c>
      <c r="AT206" t="s">
        <v>3950</v>
      </c>
      <c r="AU206">
        <v>2020</v>
      </c>
      <c r="AV206">
        <v>10</v>
      </c>
      <c r="AW206">
        <v>7</v>
      </c>
      <c r="AX206" t="s">
        <v>74</v>
      </c>
      <c r="AY206" t="s">
        <v>74</v>
      </c>
      <c r="AZ206" t="s">
        <v>74</v>
      </c>
      <c r="BA206" t="s">
        <v>74</v>
      </c>
      <c r="BB206" t="s">
        <v>74</v>
      </c>
      <c r="BC206" t="s">
        <v>74</v>
      </c>
      <c r="BD206">
        <v>107</v>
      </c>
      <c r="BE206" t="s">
        <v>4443</v>
      </c>
      <c r="BF206" t="str">
        <f>HYPERLINK("http://dx.doi.org/10.3390/life10070107","http://dx.doi.org/10.3390/life10070107")</f>
        <v>http://dx.doi.org/10.3390/life10070107</v>
      </c>
      <c r="BG206" t="s">
        <v>74</v>
      </c>
      <c r="BH206" t="s">
        <v>74</v>
      </c>
      <c r="BI206">
        <v>20</v>
      </c>
      <c r="BJ206" t="s">
        <v>4444</v>
      </c>
      <c r="BK206" t="s">
        <v>102</v>
      </c>
      <c r="BL206" t="s">
        <v>4445</v>
      </c>
      <c r="BM206" t="s">
        <v>4446</v>
      </c>
      <c r="BN206">
        <v>32635627</v>
      </c>
      <c r="BO206" t="s">
        <v>1778</v>
      </c>
      <c r="BP206" t="s">
        <v>74</v>
      </c>
      <c r="BQ206" t="s">
        <v>74</v>
      </c>
      <c r="BR206" t="s">
        <v>106</v>
      </c>
      <c r="BS206" t="s">
        <v>4447</v>
      </c>
      <c r="BT206" t="str">
        <f>HYPERLINK("https%3A%2F%2Fwww.webofscience.com%2Fwos%2Fwoscc%2Ffull-record%2FWOS:000557158700001","View Full Record in Web of Science")</f>
        <v>View Full Record in Web of Science</v>
      </c>
    </row>
    <row r="207" spans="1:72" x14ac:dyDescent="0.15">
      <c r="A207" t="s">
        <v>72</v>
      </c>
      <c r="B207" t="s">
        <v>4448</v>
      </c>
      <c r="C207" t="s">
        <v>74</v>
      </c>
      <c r="D207" t="s">
        <v>74</v>
      </c>
      <c r="E207" t="s">
        <v>74</v>
      </c>
      <c r="F207" t="s">
        <v>4449</v>
      </c>
      <c r="G207" t="s">
        <v>74</v>
      </c>
      <c r="H207" t="s">
        <v>74</v>
      </c>
      <c r="I207" t="s">
        <v>4450</v>
      </c>
      <c r="J207" t="s">
        <v>4451</v>
      </c>
      <c r="K207" t="s">
        <v>74</v>
      </c>
      <c r="L207" t="s">
        <v>74</v>
      </c>
      <c r="M207" t="s">
        <v>78</v>
      </c>
      <c r="N207" t="s">
        <v>79</v>
      </c>
      <c r="O207" t="s">
        <v>74</v>
      </c>
      <c r="P207" t="s">
        <v>74</v>
      </c>
      <c r="Q207" t="s">
        <v>74</v>
      </c>
      <c r="R207" t="s">
        <v>74</v>
      </c>
      <c r="S207" t="s">
        <v>74</v>
      </c>
      <c r="T207" t="s">
        <v>74</v>
      </c>
      <c r="U207" t="s">
        <v>4452</v>
      </c>
      <c r="V207" t="s">
        <v>4453</v>
      </c>
      <c r="W207" t="s">
        <v>4454</v>
      </c>
      <c r="X207" t="s">
        <v>4455</v>
      </c>
      <c r="Y207" t="s">
        <v>4456</v>
      </c>
      <c r="Z207" t="s">
        <v>4457</v>
      </c>
      <c r="AA207" t="s">
        <v>4458</v>
      </c>
      <c r="AB207" t="s">
        <v>4459</v>
      </c>
      <c r="AC207" t="s">
        <v>4460</v>
      </c>
      <c r="AD207" t="s">
        <v>4461</v>
      </c>
      <c r="AE207" t="s">
        <v>4462</v>
      </c>
      <c r="AF207" t="s">
        <v>74</v>
      </c>
      <c r="AG207">
        <v>200</v>
      </c>
      <c r="AH207">
        <v>18</v>
      </c>
      <c r="AI207">
        <v>18</v>
      </c>
      <c r="AJ207">
        <v>9</v>
      </c>
      <c r="AK207">
        <v>39</v>
      </c>
      <c r="AL207" t="s">
        <v>151</v>
      </c>
      <c r="AM207" t="s">
        <v>152</v>
      </c>
      <c r="AN207" t="s">
        <v>153</v>
      </c>
      <c r="AO207" t="s">
        <v>4463</v>
      </c>
      <c r="AP207" t="s">
        <v>4464</v>
      </c>
      <c r="AQ207" t="s">
        <v>74</v>
      </c>
      <c r="AR207" t="s">
        <v>4465</v>
      </c>
      <c r="AS207" t="s">
        <v>4466</v>
      </c>
      <c r="AT207" t="s">
        <v>3950</v>
      </c>
      <c r="AU207">
        <v>2020</v>
      </c>
      <c r="AV207">
        <v>34</v>
      </c>
      <c r="AW207">
        <v>7</v>
      </c>
      <c r="AX207" t="s">
        <v>74</v>
      </c>
      <c r="AY207" t="s">
        <v>74</v>
      </c>
      <c r="AZ207" t="s">
        <v>74</v>
      </c>
      <c r="BA207" t="s">
        <v>74</v>
      </c>
      <c r="BB207" t="s">
        <v>74</v>
      </c>
      <c r="BC207" t="s">
        <v>74</v>
      </c>
      <c r="BD207" t="s">
        <v>4467</v>
      </c>
      <c r="BE207" t="s">
        <v>4468</v>
      </c>
      <c r="BF207" t="str">
        <f>HYPERLINK("http://dx.doi.org/10.1029/2019GB006363","http://dx.doi.org/10.1029/2019GB006363")</f>
        <v>http://dx.doi.org/10.1029/2019GB006363</v>
      </c>
      <c r="BG207" t="s">
        <v>74</v>
      </c>
      <c r="BH207" t="s">
        <v>74</v>
      </c>
      <c r="BI207">
        <v>29</v>
      </c>
      <c r="BJ207" t="s">
        <v>3953</v>
      </c>
      <c r="BK207" t="s">
        <v>102</v>
      </c>
      <c r="BL207" t="s">
        <v>3954</v>
      </c>
      <c r="BM207" t="s">
        <v>4469</v>
      </c>
      <c r="BN207" t="s">
        <v>74</v>
      </c>
      <c r="BO207" t="s">
        <v>74</v>
      </c>
      <c r="BP207" t="s">
        <v>74</v>
      </c>
      <c r="BQ207" t="s">
        <v>74</v>
      </c>
      <c r="BR207" t="s">
        <v>106</v>
      </c>
      <c r="BS207" t="s">
        <v>4470</v>
      </c>
      <c r="BT207" t="str">
        <f>HYPERLINK("https%3A%2F%2Fwww.webofscience.com%2Fwos%2Fwoscc%2Ffull-record%2FWOS:000556596500003","View Full Record in Web of Science")</f>
        <v>View Full Record in Web of Science</v>
      </c>
    </row>
    <row r="208" spans="1:72" x14ac:dyDescent="0.15">
      <c r="A208" t="s">
        <v>72</v>
      </c>
      <c r="B208" t="s">
        <v>4471</v>
      </c>
      <c r="C208" t="s">
        <v>74</v>
      </c>
      <c r="D208" t="s">
        <v>74</v>
      </c>
      <c r="E208" t="s">
        <v>74</v>
      </c>
      <c r="F208" t="s">
        <v>4472</v>
      </c>
      <c r="G208" t="s">
        <v>74</v>
      </c>
      <c r="H208" t="s">
        <v>74</v>
      </c>
      <c r="I208" t="s">
        <v>4473</v>
      </c>
      <c r="J208" t="s">
        <v>138</v>
      </c>
      <c r="K208" t="s">
        <v>74</v>
      </c>
      <c r="L208" t="s">
        <v>74</v>
      </c>
      <c r="M208" t="s">
        <v>78</v>
      </c>
      <c r="N208" t="s">
        <v>79</v>
      </c>
      <c r="O208" t="s">
        <v>74</v>
      </c>
      <c r="P208" t="s">
        <v>74</v>
      </c>
      <c r="Q208" t="s">
        <v>74</v>
      </c>
      <c r="R208" t="s">
        <v>74</v>
      </c>
      <c r="S208" t="s">
        <v>74</v>
      </c>
      <c r="T208" t="s">
        <v>4474</v>
      </c>
      <c r="U208" t="s">
        <v>4475</v>
      </c>
      <c r="V208" t="s">
        <v>4476</v>
      </c>
      <c r="W208" t="s">
        <v>4477</v>
      </c>
      <c r="X208" t="s">
        <v>4478</v>
      </c>
      <c r="Y208" t="s">
        <v>4479</v>
      </c>
      <c r="Z208" t="s">
        <v>4480</v>
      </c>
      <c r="AA208" t="s">
        <v>4481</v>
      </c>
      <c r="AB208" t="s">
        <v>4482</v>
      </c>
      <c r="AC208" t="s">
        <v>4483</v>
      </c>
      <c r="AD208" t="s">
        <v>4484</v>
      </c>
      <c r="AE208" t="s">
        <v>4485</v>
      </c>
      <c r="AF208" t="s">
        <v>74</v>
      </c>
      <c r="AG208">
        <v>55</v>
      </c>
      <c r="AH208">
        <v>14</v>
      </c>
      <c r="AI208">
        <v>14</v>
      </c>
      <c r="AJ208">
        <v>2</v>
      </c>
      <c r="AK208">
        <v>6</v>
      </c>
      <c r="AL208" t="s">
        <v>151</v>
      </c>
      <c r="AM208" t="s">
        <v>152</v>
      </c>
      <c r="AN208" t="s">
        <v>153</v>
      </c>
      <c r="AO208" t="s">
        <v>74</v>
      </c>
      <c r="AP208" t="s">
        <v>154</v>
      </c>
      <c r="AQ208" t="s">
        <v>74</v>
      </c>
      <c r="AR208" t="s">
        <v>155</v>
      </c>
      <c r="AS208" t="s">
        <v>156</v>
      </c>
      <c r="AT208" t="s">
        <v>3950</v>
      </c>
      <c r="AU208">
        <v>2020</v>
      </c>
      <c r="AV208">
        <v>12</v>
      </c>
      <c r="AW208">
        <v>7</v>
      </c>
      <c r="AX208" t="s">
        <v>74</v>
      </c>
      <c r="AY208" t="s">
        <v>74</v>
      </c>
      <c r="AZ208" t="s">
        <v>74</v>
      </c>
      <c r="BA208" t="s">
        <v>74</v>
      </c>
      <c r="BB208" t="s">
        <v>74</v>
      </c>
      <c r="BC208" t="s">
        <v>74</v>
      </c>
      <c r="BD208" t="s">
        <v>4486</v>
      </c>
      <c r="BE208" t="s">
        <v>4487</v>
      </c>
      <c r="BF208" t="str">
        <f>HYPERLINK("http://dx.doi.org/10.1029/2019MS001996","http://dx.doi.org/10.1029/2019MS001996")</f>
        <v>http://dx.doi.org/10.1029/2019MS001996</v>
      </c>
      <c r="BG208" t="s">
        <v>74</v>
      </c>
      <c r="BH208" t="s">
        <v>74</v>
      </c>
      <c r="BI208">
        <v>18</v>
      </c>
      <c r="BJ208" t="s">
        <v>159</v>
      </c>
      <c r="BK208" t="s">
        <v>102</v>
      </c>
      <c r="BL208" t="s">
        <v>159</v>
      </c>
      <c r="BM208" t="s">
        <v>4488</v>
      </c>
      <c r="BN208" t="s">
        <v>74</v>
      </c>
      <c r="BO208" t="s">
        <v>1352</v>
      </c>
      <c r="BP208" t="s">
        <v>74</v>
      </c>
      <c r="BQ208" t="s">
        <v>74</v>
      </c>
      <c r="BR208" t="s">
        <v>106</v>
      </c>
      <c r="BS208" t="s">
        <v>4489</v>
      </c>
      <c r="BT208" t="str">
        <f>HYPERLINK("https%3A%2F%2Fwww.webofscience.com%2Fwos%2Fwoscc%2Ffull-record%2FWOS:000556744300014","View Full Record in Web of Science")</f>
        <v>View Full Record in Web of Science</v>
      </c>
    </row>
    <row r="209" spans="1:72" x14ac:dyDescent="0.15">
      <c r="A209" t="s">
        <v>72</v>
      </c>
      <c r="B209" t="s">
        <v>4490</v>
      </c>
      <c r="C209" t="s">
        <v>74</v>
      </c>
      <c r="D209" t="s">
        <v>74</v>
      </c>
      <c r="E209" t="s">
        <v>74</v>
      </c>
      <c r="F209" t="s">
        <v>4491</v>
      </c>
      <c r="G209" t="s">
        <v>74</v>
      </c>
      <c r="H209" t="s">
        <v>74</v>
      </c>
      <c r="I209" t="s">
        <v>4492</v>
      </c>
      <c r="J209" t="s">
        <v>4493</v>
      </c>
      <c r="K209" t="s">
        <v>74</v>
      </c>
      <c r="L209" t="s">
        <v>74</v>
      </c>
      <c r="M209" t="s">
        <v>78</v>
      </c>
      <c r="N209" t="s">
        <v>79</v>
      </c>
      <c r="O209" t="s">
        <v>74</v>
      </c>
      <c r="P209" t="s">
        <v>74</v>
      </c>
      <c r="Q209" t="s">
        <v>74</v>
      </c>
      <c r="R209" t="s">
        <v>74</v>
      </c>
      <c r="S209" t="s">
        <v>74</v>
      </c>
      <c r="T209" t="s">
        <v>4494</v>
      </c>
      <c r="U209" t="s">
        <v>4495</v>
      </c>
      <c r="V209" t="s">
        <v>4496</v>
      </c>
      <c r="W209" t="s">
        <v>4497</v>
      </c>
      <c r="X209" t="s">
        <v>4498</v>
      </c>
      <c r="Y209" t="s">
        <v>4499</v>
      </c>
      <c r="Z209" t="s">
        <v>4500</v>
      </c>
      <c r="AA209" t="s">
        <v>4501</v>
      </c>
      <c r="AB209" t="s">
        <v>4502</v>
      </c>
      <c r="AC209" t="s">
        <v>4503</v>
      </c>
      <c r="AD209" t="s">
        <v>4504</v>
      </c>
      <c r="AE209" t="s">
        <v>4505</v>
      </c>
      <c r="AF209" t="s">
        <v>74</v>
      </c>
      <c r="AG209">
        <v>47</v>
      </c>
      <c r="AH209">
        <v>1</v>
      </c>
      <c r="AI209">
        <v>1</v>
      </c>
      <c r="AJ209">
        <v>0</v>
      </c>
      <c r="AK209">
        <v>7</v>
      </c>
      <c r="AL209" t="s">
        <v>151</v>
      </c>
      <c r="AM209" t="s">
        <v>152</v>
      </c>
      <c r="AN209" t="s">
        <v>153</v>
      </c>
      <c r="AO209" t="s">
        <v>4506</v>
      </c>
      <c r="AP209" t="s">
        <v>4507</v>
      </c>
      <c r="AQ209" t="s">
        <v>74</v>
      </c>
      <c r="AR209" t="s">
        <v>4508</v>
      </c>
      <c r="AS209" t="s">
        <v>4509</v>
      </c>
      <c r="AT209" t="s">
        <v>3950</v>
      </c>
      <c r="AU209">
        <v>2020</v>
      </c>
      <c r="AV209">
        <v>35</v>
      </c>
      <c r="AW209">
        <v>7</v>
      </c>
      <c r="AX209" t="s">
        <v>74</v>
      </c>
      <c r="AY209" t="s">
        <v>74</v>
      </c>
      <c r="AZ209" t="s">
        <v>74</v>
      </c>
      <c r="BA209" t="s">
        <v>74</v>
      </c>
      <c r="BB209" t="s">
        <v>74</v>
      </c>
      <c r="BC209" t="s">
        <v>74</v>
      </c>
      <c r="BD209" t="s">
        <v>4510</v>
      </c>
      <c r="BE209" t="s">
        <v>4511</v>
      </c>
      <c r="BF209" t="str">
        <f>HYPERLINK("http://dx.doi.org/10.1029/2019PA003810","http://dx.doi.org/10.1029/2019PA003810")</f>
        <v>http://dx.doi.org/10.1029/2019PA003810</v>
      </c>
      <c r="BG209" t="s">
        <v>74</v>
      </c>
      <c r="BH209" t="s">
        <v>74</v>
      </c>
      <c r="BI209">
        <v>13</v>
      </c>
      <c r="BJ209" t="s">
        <v>4512</v>
      </c>
      <c r="BK209" t="s">
        <v>102</v>
      </c>
      <c r="BL209" t="s">
        <v>4513</v>
      </c>
      <c r="BM209" t="s">
        <v>4514</v>
      </c>
      <c r="BN209" t="s">
        <v>74</v>
      </c>
      <c r="BO209" t="s">
        <v>4515</v>
      </c>
      <c r="BP209" t="s">
        <v>74</v>
      </c>
      <c r="BQ209" t="s">
        <v>74</v>
      </c>
      <c r="BR209" t="s">
        <v>106</v>
      </c>
      <c r="BS209" t="s">
        <v>4516</v>
      </c>
      <c r="BT209" t="str">
        <f>HYPERLINK("https%3A%2F%2Fwww.webofscience.com%2Fwos%2Fwoscc%2Ffull-record%2FWOS:000556646600002","View Full Record in Web of Science")</f>
        <v>View Full Record in Web of Science</v>
      </c>
    </row>
    <row r="210" spans="1:72" x14ac:dyDescent="0.15">
      <c r="A210" t="s">
        <v>72</v>
      </c>
      <c r="B210" t="s">
        <v>4517</v>
      </c>
      <c r="C210" t="s">
        <v>74</v>
      </c>
      <c r="D210" t="s">
        <v>74</v>
      </c>
      <c r="E210" t="s">
        <v>74</v>
      </c>
      <c r="F210" t="s">
        <v>4518</v>
      </c>
      <c r="G210" t="s">
        <v>74</v>
      </c>
      <c r="H210" t="s">
        <v>74</v>
      </c>
      <c r="I210" t="s">
        <v>4519</v>
      </c>
      <c r="J210" t="s">
        <v>4493</v>
      </c>
      <c r="K210" t="s">
        <v>74</v>
      </c>
      <c r="L210" t="s">
        <v>74</v>
      </c>
      <c r="M210" t="s">
        <v>78</v>
      </c>
      <c r="N210" t="s">
        <v>79</v>
      </c>
      <c r="O210" t="s">
        <v>74</v>
      </c>
      <c r="P210" t="s">
        <v>74</v>
      </c>
      <c r="Q210" t="s">
        <v>74</v>
      </c>
      <c r="R210" t="s">
        <v>74</v>
      </c>
      <c r="S210" t="s">
        <v>74</v>
      </c>
      <c r="T210" t="s">
        <v>4520</v>
      </c>
      <c r="U210" t="s">
        <v>4521</v>
      </c>
      <c r="V210" t="s">
        <v>4522</v>
      </c>
      <c r="W210" t="s">
        <v>4523</v>
      </c>
      <c r="X210" t="s">
        <v>4524</v>
      </c>
      <c r="Y210" t="s">
        <v>4525</v>
      </c>
      <c r="Z210" t="s">
        <v>4526</v>
      </c>
      <c r="AA210" t="s">
        <v>4527</v>
      </c>
      <c r="AB210" t="s">
        <v>4528</v>
      </c>
      <c r="AC210" t="s">
        <v>4529</v>
      </c>
      <c r="AD210" t="s">
        <v>4530</v>
      </c>
      <c r="AE210" t="s">
        <v>4531</v>
      </c>
      <c r="AF210" t="s">
        <v>74</v>
      </c>
      <c r="AG210">
        <v>93</v>
      </c>
      <c r="AH210">
        <v>19</v>
      </c>
      <c r="AI210">
        <v>20</v>
      </c>
      <c r="AJ210">
        <v>2</v>
      </c>
      <c r="AK210">
        <v>16</v>
      </c>
      <c r="AL210" t="s">
        <v>151</v>
      </c>
      <c r="AM210" t="s">
        <v>152</v>
      </c>
      <c r="AN210" t="s">
        <v>153</v>
      </c>
      <c r="AO210" t="s">
        <v>4506</v>
      </c>
      <c r="AP210" t="s">
        <v>4507</v>
      </c>
      <c r="AQ210" t="s">
        <v>74</v>
      </c>
      <c r="AR210" t="s">
        <v>4508</v>
      </c>
      <c r="AS210" t="s">
        <v>4509</v>
      </c>
      <c r="AT210" t="s">
        <v>3950</v>
      </c>
      <c r="AU210">
        <v>2020</v>
      </c>
      <c r="AV210">
        <v>35</v>
      </c>
      <c r="AW210">
        <v>7</v>
      </c>
      <c r="AX210" t="s">
        <v>74</v>
      </c>
      <c r="AY210" t="s">
        <v>74</v>
      </c>
      <c r="AZ210" t="s">
        <v>74</v>
      </c>
      <c r="BA210" t="s">
        <v>74</v>
      </c>
      <c r="BB210" t="s">
        <v>74</v>
      </c>
      <c r="BC210" t="s">
        <v>74</v>
      </c>
      <c r="BD210" t="s">
        <v>4532</v>
      </c>
      <c r="BE210" t="s">
        <v>4533</v>
      </c>
      <c r="BF210" t="str">
        <f>HYPERLINK("http://dx.doi.org/10.1029/2019PA003773","http://dx.doi.org/10.1029/2019PA003773")</f>
        <v>http://dx.doi.org/10.1029/2019PA003773</v>
      </c>
      <c r="BG210" t="s">
        <v>74</v>
      </c>
      <c r="BH210" t="s">
        <v>74</v>
      </c>
      <c r="BI210">
        <v>20</v>
      </c>
      <c r="BJ210" t="s">
        <v>4512</v>
      </c>
      <c r="BK210" t="s">
        <v>102</v>
      </c>
      <c r="BL210" t="s">
        <v>4513</v>
      </c>
      <c r="BM210" t="s">
        <v>4514</v>
      </c>
      <c r="BN210" t="s">
        <v>74</v>
      </c>
      <c r="BO210" t="s">
        <v>294</v>
      </c>
      <c r="BP210" t="s">
        <v>74</v>
      </c>
      <c r="BQ210" t="s">
        <v>74</v>
      </c>
      <c r="BR210" t="s">
        <v>106</v>
      </c>
      <c r="BS210" t="s">
        <v>4534</v>
      </c>
      <c r="BT210" t="str">
        <f>HYPERLINK("https%3A%2F%2Fwww.webofscience.com%2Fwos%2Fwoscc%2Ffull-record%2FWOS:000556646600003","View Full Record in Web of Science")</f>
        <v>View Full Record in Web of Science</v>
      </c>
    </row>
    <row r="211" spans="1:72" x14ac:dyDescent="0.15">
      <c r="A211" t="s">
        <v>72</v>
      </c>
      <c r="B211" t="s">
        <v>4535</v>
      </c>
      <c r="C211" t="s">
        <v>74</v>
      </c>
      <c r="D211" t="s">
        <v>74</v>
      </c>
      <c r="E211" t="s">
        <v>74</v>
      </c>
      <c r="F211" t="s">
        <v>4536</v>
      </c>
      <c r="G211" t="s">
        <v>74</v>
      </c>
      <c r="H211" t="s">
        <v>74</v>
      </c>
      <c r="I211" t="s">
        <v>4537</v>
      </c>
      <c r="J211" t="s">
        <v>4538</v>
      </c>
      <c r="K211" t="s">
        <v>74</v>
      </c>
      <c r="L211" t="s">
        <v>74</v>
      </c>
      <c r="M211" t="s">
        <v>78</v>
      </c>
      <c r="N211" t="s">
        <v>79</v>
      </c>
      <c r="O211" t="s">
        <v>74</v>
      </c>
      <c r="P211" t="s">
        <v>74</v>
      </c>
      <c r="Q211" t="s">
        <v>74</v>
      </c>
      <c r="R211" t="s">
        <v>74</v>
      </c>
      <c r="S211" t="s">
        <v>74</v>
      </c>
      <c r="T211" t="s">
        <v>4539</v>
      </c>
      <c r="U211" t="s">
        <v>4540</v>
      </c>
      <c r="V211" t="s">
        <v>4541</v>
      </c>
      <c r="W211" t="s">
        <v>4542</v>
      </c>
      <c r="X211" t="s">
        <v>4543</v>
      </c>
      <c r="Y211" t="s">
        <v>4544</v>
      </c>
      <c r="Z211" t="s">
        <v>4545</v>
      </c>
      <c r="AA211" t="s">
        <v>4546</v>
      </c>
      <c r="AB211" t="s">
        <v>4547</v>
      </c>
      <c r="AC211" t="s">
        <v>4548</v>
      </c>
      <c r="AD211" t="s">
        <v>4549</v>
      </c>
      <c r="AE211" t="s">
        <v>4550</v>
      </c>
      <c r="AF211" t="s">
        <v>74</v>
      </c>
      <c r="AG211">
        <v>58</v>
      </c>
      <c r="AH211">
        <v>10</v>
      </c>
      <c r="AI211">
        <v>11</v>
      </c>
      <c r="AJ211">
        <v>0</v>
      </c>
      <c r="AK211">
        <v>6</v>
      </c>
      <c r="AL211" t="s">
        <v>151</v>
      </c>
      <c r="AM211" t="s">
        <v>152</v>
      </c>
      <c r="AN211" t="s">
        <v>153</v>
      </c>
      <c r="AO211" t="s">
        <v>4551</v>
      </c>
      <c r="AP211" t="s">
        <v>4552</v>
      </c>
      <c r="AQ211" t="s">
        <v>74</v>
      </c>
      <c r="AR211" t="s">
        <v>4553</v>
      </c>
      <c r="AS211" t="s">
        <v>4554</v>
      </c>
      <c r="AT211" t="s">
        <v>3950</v>
      </c>
      <c r="AU211">
        <v>2020</v>
      </c>
      <c r="AV211">
        <v>125</v>
      </c>
      <c r="AW211">
        <v>7</v>
      </c>
      <c r="AX211" t="s">
        <v>74</v>
      </c>
      <c r="AY211" t="s">
        <v>74</v>
      </c>
      <c r="AZ211" t="s">
        <v>74</v>
      </c>
      <c r="BA211" t="s">
        <v>74</v>
      </c>
      <c r="BB211" t="s">
        <v>74</v>
      </c>
      <c r="BC211" t="s">
        <v>74</v>
      </c>
      <c r="BD211" t="s">
        <v>4555</v>
      </c>
      <c r="BE211" t="s">
        <v>4556</v>
      </c>
      <c r="BF211" t="str">
        <f>HYPERLINK("http://dx.doi.org/10.1029/2020JF005587","http://dx.doi.org/10.1029/2020JF005587")</f>
        <v>http://dx.doi.org/10.1029/2020JF005587</v>
      </c>
      <c r="BG211" t="s">
        <v>74</v>
      </c>
      <c r="BH211" t="s">
        <v>74</v>
      </c>
      <c r="BI211">
        <v>19</v>
      </c>
      <c r="BJ211" t="s">
        <v>471</v>
      </c>
      <c r="BK211" t="s">
        <v>102</v>
      </c>
      <c r="BL211" t="s">
        <v>472</v>
      </c>
      <c r="BM211" t="s">
        <v>4557</v>
      </c>
      <c r="BN211" t="s">
        <v>74</v>
      </c>
      <c r="BO211" t="s">
        <v>294</v>
      </c>
      <c r="BP211" t="s">
        <v>74</v>
      </c>
      <c r="BQ211" t="s">
        <v>74</v>
      </c>
      <c r="BR211" t="s">
        <v>106</v>
      </c>
      <c r="BS211" t="s">
        <v>4558</v>
      </c>
      <c r="BT211" t="str">
        <f>HYPERLINK("https%3A%2F%2Fwww.webofscience.com%2Fwos%2Fwoscc%2Ffull-record%2FWOS:000555444100019","View Full Record in Web of Science")</f>
        <v>View Full Record in Web of Science</v>
      </c>
    </row>
    <row r="212" spans="1:72" x14ac:dyDescent="0.15">
      <c r="A212" t="s">
        <v>72</v>
      </c>
      <c r="B212" t="s">
        <v>4559</v>
      </c>
      <c r="C212" t="s">
        <v>74</v>
      </c>
      <c r="D212" t="s">
        <v>74</v>
      </c>
      <c r="E212" t="s">
        <v>74</v>
      </c>
      <c r="F212" t="s">
        <v>4560</v>
      </c>
      <c r="G212" t="s">
        <v>74</v>
      </c>
      <c r="H212" t="s">
        <v>74</v>
      </c>
      <c r="I212" t="s">
        <v>4561</v>
      </c>
      <c r="J212" t="s">
        <v>4343</v>
      </c>
      <c r="K212" t="s">
        <v>74</v>
      </c>
      <c r="L212" t="s">
        <v>74</v>
      </c>
      <c r="M212" t="s">
        <v>78</v>
      </c>
      <c r="N212" t="s">
        <v>79</v>
      </c>
      <c r="O212" t="s">
        <v>74</v>
      </c>
      <c r="P212" t="s">
        <v>74</v>
      </c>
      <c r="Q212" t="s">
        <v>74</v>
      </c>
      <c r="R212" t="s">
        <v>74</v>
      </c>
      <c r="S212" t="s">
        <v>74</v>
      </c>
      <c r="T212" t="s">
        <v>4562</v>
      </c>
      <c r="U212" t="s">
        <v>4563</v>
      </c>
      <c r="V212" t="s">
        <v>4564</v>
      </c>
      <c r="W212" t="s">
        <v>4565</v>
      </c>
      <c r="X212" t="s">
        <v>4566</v>
      </c>
      <c r="Y212" t="s">
        <v>4567</v>
      </c>
      <c r="Z212" t="s">
        <v>4568</v>
      </c>
      <c r="AA212" t="s">
        <v>4569</v>
      </c>
      <c r="AB212" t="s">
        <v>4570</v>
      </c>
      <c r="AC212" t="s">
        <v>4571</v>
      </c>
      <c r="AD212" t="s">
        <v>4572</v>
      </c>
      <c r="AE212" t="s">
        <v>4573</v>
      </c>
      <c r="AF212" t="s">
        <v>74</v>
      </c>
      <c r="AG212">
        <v>44</v>
      </c>
      <c r="AH212">
        <v>3</v>
      </c>
      <c r="AI212">
        <v>3</v>
      </c>
      <c r="AJ212">
        <v>0</v>
      </c>
      <c r="AK212">
        <v>7</v>
      </c>
      <c r="AL212" t="s">
        <v>4283</v>
      </c>
      <c r="AM212" t="s">
        <v>4284</v>
      </c>
      <c r="AN212" t="s">
        <v>4285</v>
      </c>
      <c r="AO212" t="s">
        <v>74</v>
      </c>
      <c r="AP212" t="s">
        <v>4356</v>
      </c>
      <c r="AQ212" t="s">
        <v>74</v>
      </c>
      <c r="AR212" t="s">
        <v>4357</v>
      </c>
      <c r="AS212" t="s">
        <v>4358</v>
      </c>
      <c r="AT212" t="s">
        <v>3950</v>
      </c>
      <c r="AU212">
        <v>2020</v>
      </c>
      <c r="AV212">
        <v>12</v>
      </c>
      <c r="AW212">
        <v>14</v>
      </c>
      <c r="AX212" t="s">
        <v>74</v>
      </c>
      <c r="AY212" t="s">
        <v>74</v>
      </c>
      <c r="AZ212" t="s">
        <v>74</v>
      </c>
      <c r="BA212" t="s">
        <v>74</v>
      </c>
      <c r="BB212" t="s">
        <v>74</v>
      </c>
      <c r="BC212" t="s">
        <v>74</v>
      </c>
      <c r="BD212">
        <v>2226</v>
      </c>
      <c r="BE212" t="s">
        <v>4574</v>
      </c>
      <c r="BF212" t="str">
        <f>HYPERLINK("http://dx.doi.org/10.3390/rs12142226","http://dx.doi.org/10.3390/rs12142226")</f>
        <v>http://dx.doi.org/10.3390/rs12142226</v>
      </c>
      <c r="BG212" t="s">
        <v>74</v>
      </c>
      <c r="BH212" t="s">
        <v>74</v>
      </c>
      <c r="BI212">
        <v>11</v>
      </c>
      <c r="BJ212" t="s">
        <v>4360</v>
      </c>
      <c r="BK212" t="s">
        <v>102</v>
      </c>
      <c r="BL212" t="s">
        <v>4361</v>
      </c>
      <c r="BM212" t="s">
        <v>4575</v>
      </c>
      <c r="BN212" t="s">
        <v>74</v>
      </c>
      <c r="BO212" t="s">
        <v>1778</v>
      </c>
      <c r="BP212" t="s">
        <v>74</v>
      </c>
      <c r="BQ212" t="s">
        <v>74</v>
      </c>
      <c r="BR212" t="s">
        <v>106</v>
      </c>
      <c r="BS212" t="s">
        <v>4576</v>
      </c>
      <c r="BT212" t="str">
        <f>HYPERLINK("https%3A%2F%2Fwww.webofscience.com%2Fwos%2Fwoscc%2Ffull-record%2FWOS:000554784400001","View Full Record in Web of Science")</f>
        <v>View Full Record in Web of Science</v>
      </c>
    </row>
    <row r="213" spans="1:72" x14ac:dyDescent="0.15">
      <c r="A213" t="s">
        <v>72</v>
      </c>
      <c r="B213" t="s">
        <v>4577</v>
      </c>
      <c r="C213" t="s">
        <v>74</v>
      </c>
      <c r="D213" t="s">
        <v>74</v>
      </c>
      <c r="E213" t="s">
        <v>74</v>
      </c>
      <c r="F213" t="s">
        <v>4578</v>
      </c>
      <c r="G213" t="s">
        <v>74</v>
      </c>
      <c r="H213" t="s">
        <v>74</v>
      </c>
      <c r="I213" t="s">
        <v>4579</v>
      </c>
      <c r="J213" t="s">
        <v>4580</v>
      </c>
      <c r="K213" t="s">
        <v>74</v>
      </c>
      <c r="L213" t="s">
        <v>74</v>
      </c>
      <c r="M213" t="s">
        <v>78</v>
      </c>
      <c r="N213" t="s">
        <v>79</v>
      </c>
      <c r="O213" t="s">
        <v>74</v>
      </c>
      <c r="P213" t="s">
        <v>74</v>
      </c>
      <c r="Q213" t="s">
        <v>74</v>
      </c>
      <c r="R213" t="s">
        <v>74</v>
      </c>
      <c r="S213" t="s">
        <v>74</v>
      </c>
      <c r="T213" t="s">
        <v>4581</v>
      </c>
      <c r="U213" t="s">
        <v>4582</v>
      </c>
      <c r="V213" t="s">
        <v>4583</v>
      </c>
      <c r="W213" t="s">
        <v>4584</v>
      </c>
      <c r="X213" t="s">
        <v>4585</v>
      </c>
      <c r="Y213" t="s">
        <v>4586</v>
      </c>
      <c r="Z213" t="s">
        <v>4587</v>
      </c>
      <c r="AA213" t="s">
        <v>4588</v>
      </c>
      <c r="AB213" t="s">
        <v>4589</v>
      </c>
      <c r="AC213" t="s">
        <v>4590</v>
      </c>
      <c r="AD213" t="s">
        <v>4591</v>
      </c>
      <c r="AE213" t="s">
        <v>4592</v>
      </c>
      <c r="AF213" t="s">
        <v>74</v>
      </c>
      <c r="AG213">
        <v>63</v>
      </c>
      <c r="AH213">
        <v>17</v>
      </c>
      <c r="AI213">
        <v>18</v>
      </c>
      <c r="AJ213">
        <v>3</v>
      </c>
      <c r="AK213">
        <v>24</v>
      </c>
      <c r="AL213" t="s">
        <v>4283</v>
      </c>
      <c r="AM213" t="s">
        <v>4284</v>
      </c>
      <c r="AN213" t="s">
        <v>4285</v>
      </c>
      <c r="AO213" t="s">
        <v>74</v>
      </c>
      <c r="AP213" t="s">
        <v>4593</v>
      </c>
      <c r="AQ213" t="s">
        <v>74</v>
      </c>
      <c r="AR213" t="s">
        <v>4594</v>
      </c>
      <c r="AS213" t="s">
        <v>4595</v>
      </c>
      <c r="AT213" t="s">
        <v>3950</v>
      </c>
      <c r="AU213">
        <v>2020</v>
      </c>
      <c r="AV213">
        <v>20</v>
      </c>
      <c r="AW213">
        <v>14</v>
      </c>
      <c r="AX213" t="s">
        <v>74</v>
      </c>
      <c r="AY213" t="s">
        <v>74</v>
      </c>
      <c r="AZ213" t="s">
        <v>74</v>
      </c>
      <c r="BA213" t="s">
        <v>74</v>
      </c>
      <c r="BB213" t="s">
        <v>74</v>
      </c>
      <c r="BC213" t="s">
        <v>74</v>
      </c>
      <c r="BD213">
        <v>3909</v>
      </c>
      <c r="BE213" t="s">
        <v>4596</v>
      </c>
      <c r="BF213" t="str">
        <f>HYPERLINK("http://dx.doi.org/10.3390/s20143909","http://dx.doi.org/10.3390/s20143909")</f>
        <v>http://dx.doi.org/10.3390/s20143909</v>
      </c>
      <c r="BG213" t="s">
        <v>74</v>
      </c>
      <c r="BH213" t="s">
        <v>74</v>
      </c>
      <c r="BI213">
        <v>28</v>
      </c>
      <c r="BJ213" t="s">
        <v>4597</v>
      </c>
      <c r="BK213" t="s">
        <v>102</v>
      </c>
      <c r="BL213" t="s">
        <v>4598</v>
      </c>
      <c r="BM213" t="s">
        <v>4599</v>
      </c>
      <c r="BN213">
        <v>32674328</v>
      </c>
      <c r="BO213" t="s">
        <v>1778</v>
      </c>
      <c r="BP213" t="s">
        <v>74</v>
      </c>
      <c r="BQ213" t="s">
        <v>74</v>
      </c>
      <c r="BR213" t="s">
        <v>106</v>
      </c>
      <c r="BS213" t="s">
        <v>4600</v>
      </c>
      <c r="BT213" t="str">
        <f>HYPERLINK("https%3A%2F%2Fwww.webofscience.com%2Fwos%2Fwoscc%2Ffull-record%2FWOS:000554796600001","View Full Record in Web of Science")</f>
        <v>View Full Record in Web of Science</v>
      </c>
    </row>
    <row r="214" spans="1:72" x14ac:dyDescent="0.15">
      <c r="A214" t="s">
        <v>72</v>
      </c>
      <c r="B214" t="s">
        <v>4601</v>
      </c>
      <c r="C214" t="s">
        <v>74</v>
      </c>
      <c r="D214" t="s">
        <v>74</v>
      </c>
      <c r="E214" t="s">
        <v>74</v>
      </c>
      <c r="F214" t="s">
        <v>4602</v>
      </c>
      <c r="G214" t="s">
        <v>74</v>
      </c>
      <c r="H214" t="s">
        <v>74</v>
      </c>
      <c r="I214" t="s">
        <v>4603</v>
      </c>
      <c r="J214" t="s">
        <v>4604</v>
      </c>
      <c r="K214" t="s">
        <v>74</v>
      </c>
      <c r="L214" t="s">
        <v>74</v>
      </c>
      <c r="M214" t="s">
        <v>78</v>
      </c>
      <c r="N214" t="s">
        <v>79</v>
      </c>
      <c r="O214" t="s">
        <v>74</v>
      </c>
      <c r="P214" t="s">
        <v>74</v>
      </c>
      <c r="Q214" t="s">
        <v>74</v>
      </c>
      <c r="R214" t="s">
        <v>74</v>
      </c>
      <c r="S214" t="s">
        <v>74</v>
      </c>
      <c r="T214" t="s">
        <v>4605</v>
      </c>
      <c r="U214" t="s">
        <v>4606</v>
      </c>
      <c r="V214" t="s">
        <v>4607</v>
      </c>
      <c r="W214" t="s">
        <v>4608</v>
      </c>
      <c r="X214" t="s">
        <v>4609</v>
      </c>
      <c r="Y214" t="s">
        <v>4610</v>
      </c>
      <c r="Z214" t="s">
        <v>4611</v>
      </c>
      <c r="AA214" t="s">
        <v>4612</v>
      </c>
      <c r="AB214" t="s">
        <v>4613</v>
      </c>
      <c r="AC214" t="s">
        <v>4614</v>
      </c>
      <c r="AD214" t="s">
        <v>4615</v>
      </c>
      <c r="AE214" t="s">
        <v>4616</v>
      </c>
      <c r="AF214" t="s">
        <v>74</v>
      </c>
      <c r="AG214">
        <v>60</v>
      </c>
      <c r="AH214">
        <v>3</v>
      </c>
      <c r="AI214">
        <v>4</v>
      </c>
      <c r="AJ214">
        <v>0</v>
      </c>
      <c r="AK214">
        <v>1</v>
      </c>
      <c r="AL214" t="s">
        <v>4283</v>
      </c>
      <c r="AM214" t="s">
        <v>4284</v>
      </c>
      <c r="AN214" t="s">
        <v>4285</v>
      </c>
      <c r="AO214" t="s">
        <v>74</v>
      </c>
      <c r="AP214" t="s">
        <v>4617</v>
      </c>
      <c r="AQ214" t="s">
        <v>74</v>
      </c>
      <c r="AR214" t="s">
        <v>4604</v>
      </c>
      <c r="AS214" t="s">
        <v>4618</v>
      </c>
      <c r="AT214" t="s">
        <v>3950</v>
      </c>
      <c r="AU214">
        <v>2020</v>
      </c>
      <c r="AV214">
        <v>11</v>
      </c>
      <c r="AW214">
        <v>7</v>
      </c>
      <c r="AX214" t="s">
        <v>74</v>
      </c>
      <c r="AY214" t="s">
        <v>74</v>
      </c>
      <c r="AZ214" t="s">
        <v>74</v>
      </c>
      <c r="BA214" t="s">
        <v>74</v>
      </c>
      <c r="BB214" t="s">
        <v>74</v>
      </c>
      <c r="BC214" t="s">
        <v>74</v>
      </c>
      <c r="BD214">
        <v>442</v>
      </c>
      <c r="BE214" t="s">
        <v>4619</v>
      </c>
      <c r="BF214" t="str">
        <f>HYPERLINK("http://dx.doi.org/10.3390/insects11070442","http://dx.doi.org/10.3390/insects11070442")</f>
        <v>http://dx.doi.org/10.3390/insects11070442</v>
      </c>
      <c r="BG214" t="s">
        <v>74</v>
      </c>
      <c r="BH214" t="s">
        <v>74</v>
      </c>
      <c r="BI214">
        <v>15</v>
      </c>
      <c r="BJ214" t="s">
        <v>4620</v>
      </c>
      <c r="BK214" t="s">
        <v>102</v>
      </c>
      <c r="BL214" t="s">
        <v>4620</v>
      </c>
      <c r="BM214" t="s">
        <v>4621</v>
      </c>
      <c r="BN214">
        <v>32674412</v>
      </c>
      <c r="BO214" t="s">
        <v>2956</v>
      </c>
      <c r="BP214" t="s">
        <v>74</v>
      </c>
      <c r="BQ214" t="s">
        <v>74</v>
      </c>
      <c r="BR214" t="s">
        <v>106</v>
      </c>
      <c r="BS214" t="s">
        <v>4622</v>
      </c>
      <c r="BT214" t="str">
        <f>HYPERLINK("https%3A%2F%2Fwww.webofscience.com%2Fwos%2Fwoscc%2Ffull-record%2FWOS:000554271300001","View Full Record in Web of Science")</f>
        <v>View Full Record in Web of Science</v>
      </c>
    </row>
    <row r="215" spans="1:72" x14ac:dyDescent="0.15">
      <c r="A215" t="s">
        <v>72</v>
      </c>
      <c r="B215" t="s">
        <v>4623</v>
      </c>
      <c r="C215" t="s">
        <v>74</v>
      </c>
      <c r="D215" t="s">
        <v>74</v>
      </c>
      <c r="E215" t="s">
        <v>74</v>
      </c>
      <c r="F215" t="s">
        <v>4624</v>
      </c>
      <c r="G215" t="s">
        <v>74</v>
      </c>
      <c r="H215" t="s">
        <v>74</v>
      </c>
      <c r="I215" t="s">
        <v>4625</v>
      </c>
      <c r="J215" t="s">
        <v>4626</v>
      </c>
      <c r="K215" t="s">
        <v>74</v>
      </c>
      <c r="L215" t="s">
        <v>74</v>
      </c>
      <c r="M215" t="s">
        <v>78</v>
      </c>
      <c r="N215" t="s">
        <v>79</v>
      </c>
      <c r="O215" t="s">
        <v>74</v>
      </c>
      <c r="P215" t="s">
        <v>74</v>
      </c>
      <c r="Q215" t="s">
        <v>74</v>
      </c>
      <c r="R215" t="s">
        <v>74</v>
      </c>
      <c r="S215" t="s">
        <v>74</v>
      </c>
      <c r="T215" t="s">
        <v>4627</v>
      </c>
      <c r="U215" t="s">
        <v>4628</v>
      </c>
      <c r="V215" t="s">
        <v>4629</v>
      </c>
      <c r="W215" t="s">
        <v>4630</v>
      </c>
      <c r="X215" t="s">
        <v>4631</v>
      </c>
      <c r="Y215" t="s">
        <v>4632</v>
      </c>
      <c r="Z215" t="s">
        <v>4633</v>
      </c>
      <c r="AA215" t="s">
        <v>74</v>
      </c>
      <c r="AB215" t="s">
        <v>4634</v>
      </c>
      <c r="AC215" t="s">
        <v>4635</v>
      </c>
      <c r="AD215" t="s">
        <v>4636</v>
      </c>
      <c r="AE215" t="s">
        <v>4637</v>
      </c>
      <c r="AF215" t="s">
        <v>74</v>
      </c>
      <c r="AG215">
        <v>93</v>
      </c>
      <c r="AH215">
        <v>18</v>
      </c>
      <c r="AI215">
        <v>19</v>
      </c>
      <c r="AJ215">
        <v>0</v>
      </c>
      <c r="AK215">
        <v>5</v>
      </c>
      <c r="AL215" t="s">
        <v>4638</v>
      </c>
      <c r="AM215" t="s">
        <v>1744</v>
      </c>
      <c r="AN215" t="s">
        <v>4639</v>
      </c>
      <c r="AO215" t="s">
        <v>4640</v>
      </c>
      <c r="AP215" t="s">
        <v>4641</v>
      </c>
      <c r="AQ215" t="s">
        <v>74</v>
      </c>
      <c r="AR215" t="s">
        <v>4626</v>
      </c>
      <c r="AS215" t="s">
        <v>4642</v>
      </c>
      <c r="AT215" t="s">
        <v>3950</v>
      </c>
      <c r="AU215">
        <v>2020</v>
      </c>
      <c r="AV215">
        <v>52</v>
      </c>
      <c r="AW215">
        <v>4</v>
      </c>
      <c r="AX215" t="s">
        <v>74</v>
      </c>
      <c r="AY215" t="s">
        <v>74</v>
      </c>
      <c r="AZ215" t="s">
        <v>74</v>
      </c>
      <c r="BA215" t="s">
        <v>74</v>
      </c>
      <c r="BB215">
        <v>287</v>
      </c>
      <c r="BC215">
        <v>303</v>
      </c>
      <c r="BD215" t="s">
        <v>4643</v>
      </c>
      <c r="BE215" t="s">
        <v>4644</v>
      </c>
      <c r="BF215" t="str">
        <f>HYPERLINK("http://dx.doi.org/10.1017/S0024282920000225","http://dx.doi.org/10.1017/S0024282920000225")</f>
        <v>http://dx.doi.org/10.1017/S0024282920000225</v>
      </c>
      <c r="BG215" t="s">
        <v>74</v>
      </c>
      <c r="BH215" t="s">
        <v>74</v>
      </c>
      <c r="BI215">
        <v>17</v>
      </c>
      <c r="BJ215" t="s">
        <v>4645</v>
      </c>
      <c r="BK215" t="s">
        <v>102</v>
      </c>
      <c r="BL215" t="s">
        <v>4645</v>
      </c>
      <c r="BM215" t="s">
        <v>4646</v>
      </c>
      <c r="BN215">
        <v>32788813</v>
      </c>
      <c r="BO215" t="s">
        <v>4647</v>
      </c>
      <c r="BP215" t="s">
        <v>74</v>
      </c>
      <c r="BQ215" t="s">
        <v>74</v>
      </c>
      <c r="BR215" t="s">
        <v>106</v>
      </c>
      <c r="BS215" t="s">
        <v>4648</v>
      </c>
      <c r="BT215" t="str">
        <f>HYPERLINK("https%3A%2F%2Fwww.webofscience.com%2Fwos%2Fwoscc%2Ffull-record%2FWOS:000553078100004","View Full Record in Web of Science")</f>
        <v>View Full Record in Web of Science</v>
      </c>
    </row>
    <row r="216" spans="1:72" x14ac:dyDescent="0.15">
      <c r="A216" t="s">
        <v>72</v>
      </c>
      <c r="B216" t="s">
        <v>4649</v>
      </c>
      <c r="C216" t="s">
        <v>74</v>
      </c>
      <c r="D216" t="s">
        <v>74</v>
      </c>
      <c r="E216" t="s">
        <v>74</v>
      </c>
      <c r="F216" t="s">
        <v>4650</v>
      </c>
      <c r="G216" t="s">
        <v>74</v>
      </c>
      <c r="H216" t="s">
        <v>74</v>
      </c>
      <c r="I216" t="s">
        <v>4651</v>
      </c>
      <c r="J216" t="s">
        <v>4652</v>
      </c>
      <c r="K216" t="s">
        <v>74</v>
      </c>
      <c r="L216" t="s">
        <v>74</v>
      </c>
      <c r="M216" t="s">
        <v>78</v>
      </c>
      <c r="N216" t="s">
        <v>79</v>
      </c>
      <c r="O216" t="s">
        <v>74</v>
      </c>
      <c r="P216" t="s">
        <v>74</v>
      </c>
      <c r="Q216" t="s">
        <v>74</v>
      </c>
      <c r="R216" t="s">
        <v>74</v>
      </c>
      <c r="S216" t="s">
        <v>74</v>
      </c>
      <c r="T216" t="s">
        <v>4653</v>
      </c>
      <c r="U216" t="s">
        <v>4654</v>
      </c>
      <c r="V216" t="s">
        <v>4655</v>
      </c>
      <c r="W216" t="s">
        <v>4656</v>
      </c>
      <c r="X216" t="s">
        <v>4657</v>
      </c>
      <c r="Y216" t="s">
        <v>4658</v>
      </c>
      <c r="Z216" t="s">
        <v>4659</v>
      </c>
      <c r="AA216" t="s">
        <v>4660</v>
      </c>
      <c r="AB216" t="s">
        <v>4661</v>
      </c>
      <c r="AC216" t="s">
        <v>4662</v>
      </c>
      <c r="AD216" t="s">
        <v>4663</v>
      </c>
      <c r="AE216" t="s">
        <v>4664</v>
      </c>
      <c r="AF216" t="s">
        <v>74</v>
      </c>
      <c r="AG216">
        <v>27</v>
      </c>
      <c r="AH216">
        <v>2</v>
      </c>
      <c r="AI216">
        <v>2</v>
      </c>
      <c r="AJ216">
        <v>0</v>
      </c>
      <c r="AK216">
        <v>13</v>
      </c>
      <c r="AL216" t="s">
        <v>4283</v>
      </c>
      <c r="AM216" t="s">
        <v>4284</v>
      </c>
      <c r="AN216" t="s">
        <v>4285</v>
      </c>
      <c r="AO216" t="s">
        <v>74</v>
      </c>
      <c r="AP216" t="s">
        <v>4665</v>
      </c>
      <c r="AQ216" t="s">
        <v>74</v>
      </c>
      <c r="AR216" t="s">
        <v>4666</v>
      </c>
      <c r="AS216" t="s">
        <v>4667</v>
      </c>
      <c r="AT216" t="s">
        <v>3950</v>
      </c>
      <c r="AU216">
        <v>2020</v>
      </c>
      <c r="AV216">
        <v>12</v>
      </c>
      <c r="AW216">
        <v>14</v>
      </c>
      <c r="AX216" t="s">
        <v>74</v>
      </c>
      <c r="AY216" t="s">
        <v>74</v>
      </c>
      <c r="AZ216" t="s">
        <v>74</v>
      </c>
      <c r="BA216" t="s">
        <v>74</v>
      </c>
      <c r="BB216" t="s">
        <v>74</v>
      </c>
      <c r="BC216" t="s">
        <v>74</v>
      </c>
      <c r="BD216">
        <v>5701</v>
      </c>
      <c r="BE216" t="s">
        <v>4668</v>
      </c>
      <c r="BF216" t="str">
        <f>HYPERLINK("http://dx.doi.org/10.3390/su12145701","http://dx.doi.org/10.3390/su12145701")</f>
        <v>http://dx.doi.org/10.3390/su12145701</v>
      </c>
      <c r="BG216" t="s">
        <v>74</v>
      </c>
      <c r="BH216" t="s">
        <v>74</v>
      </c>
      <c r="BI216">
        <v>14</v>
      </c>
      <c r="BJ216" t="s">
        <v>1751</v>
      </c>
      <c r="BK216" t="s">
        <v>925</v>
      </c>
      <c r="BL216" t="s">
        <v>1752</v>
      </c>
      <c r="BM216" t="s">
        <v>4669</v>
      </c>
      <c r="BN216" t="s">
        <v>74</v>
      </c>
      <c r="BO216" t="s">
        <v>161</v>
      </c>
      <c r="BP216" t="s">
        <v>74</v>
      </c>
      <c r="BQ216" t="s">
        <v>74</v>
      </c>
      <c r="BR216" t="s">
        <v>106</v>
      </c>
      <c r="BS216" t="s">
        <v>4670</v>
      </c>
      <c r="BT216" t="str">
        <f>HYPERLINK("https%3A%2F%2Fwww.webofscience.com%2Fwos%2Fwoscc%2Ffull-record%2FWOS:000554170800001","View Full Record in Web of Science")</f>
        <v>View Full Record in Web of Science</v>
      </c>
    </row>
    <row r="217" spans="1:72" x14ac:dyDescent="0.15">
      <c r="A217" t="s">
        <v>72</v>
      </c>
      <c r="B217" t="s">
        <v>4671</v>
      </c>
      <c r="C217" t="s">
        <v>74</v>
      </c>
      <c r="D217" t="s">
        <v>74</v>
      </c>
      <c r="E217" t="s">
        <v>74</v>
      </c>
      <c r="F217" t="s">
        <v>4672</v>
      </c>
      <c r="G217" t="s">
        <v>74</v>
      </c>
      <c r="H217" t="s">
        <v>74</v>
      </c>
      <c r="I217" t="s">
        <v>4673</v>
      </c>
      <c r="J217" t="s">
        <v>4674</v>
      </c>
      <c r="K217" t="s">
        <v>74</v>
      </c>
      <c r="L217" t="s">
        <v>74</v>
      </c>
      <c r="M217" t="s">
        <v>78</v>
      </c>
      <c r="N217" t="s">
        <v>2846</v>
      </c>
      <c r="O217" t="s">
        <v>74</v>
      </c>
      <c r="P217" t="s">
        <v>74</v>
      </c>
      <c r="Q217" t="s">
        <v>74</v>
      </c>
      <c r="R217" t="s">
        <v>74</v>
      </c>
      <c r="S217" t="s">
        <v>74</v>
      </c>
      <c r="T217" t="s">
        <v>74</v>
      </c>
      <c r="U217" t="s">
        <v>74</v>
      </c>
      <c r="V217" t="s">
        <v>74</v>
      </c>
      <c r="W217" t="s">
        <v>4675</v>
      </c>
      <c r="X217" t="s">
        <v>4676</v>
      </c>
      <c r="Y217" t="s">
        <v>4677</v>
      </c>
      <c r="Z217" t="s">
        <v>4678</v>
      </c>
      <c r="AA217" t="s">
        <v>74</v>
      </c>
      <c r="AB217" t="s">
        <v>74</v>
      </c>
      <c r="AC217" t="s">
        <v>74</v>
      </c>
      <c r="AD217" t="s">
        <v>74</v>
      </c>
      <c r="AE217" t="s">
        <v>74</v>
      </c>
      <c r="AF217" t="s">
        <v>74</v>
      </c>
      <c r="AG217">
        <v>1</v>
      </c>
      <c r="AH217">
        <v>1</v>
      </c>
      <c r="AI217">
        <v>2</v>
      </c>
      <c r="AJ217">
        <v>0</v>
      </c>
      <c r="AK217">
        <v>3</v>
      </c>
      <c r="AL217" t="s">
        <v>92</v>
      </c>
      <c r="AM217" t="s">
        <v>93</v>
      </c>
      <c r="AN217" t="s">
        <v>94</v>
      </c>
      <c r="AO217" t="s">
        <v>4679</v>
      </c>
      <c r="AP217" t="s">
        <v>74</v>
      </c>
      <c r="AQ217" t="s">
        <v>74</v>
      </c>
      <c r="AR217" t="s">
        <v>4680</v>
      </c>
      <c r="AS217" t="s">
        <v>4681</v>
      </c>
      <c r="AT217" t="s">
        <v>3950</v>
      </c>
      <c r="AU217">
        <v>2020</v>
      </c>
      <c r="AV217">
        <v>186</v>
      </c>
      <c r="AW217" t="s">
        <v>74</v>
      </c>
      <c r="AX217" t="s">
        <v>74</v>
      </c>
      <c r="AY217" t="s">
        <v>74</v>
      </c>
      <c r="AZ217" t="s">
        <v>74</v>
      </c>
      <c r="BA217" t="s">
        <v>74</v>
      </c>
      <c r="BB217" t="s">
        <v>74</v>
      </c>
      <c r="BC217" t="s">
        <v>74</v>
      </c>
      <c r="BD217">
        <v>102350</v>
      </c>
      <c r="BE217" t="s">
        <v>4682</v>
      </c>
      <c r="BF217" t="str">
        <f>HYPERLINK("http://dx.doi.org/10.1016/j.pocean.2020.102350","http://dx.doi.org/10.1016/j.pocean.2020.102350")</f>
        <v>http://dx.doi.org/10.1016/j.pocean.2020.102350</v>
      </c>
      <c r="BG217" t="s">
        <v>74</v>
      </c>
      <c r="BH217" t="s">
        <v>74</v>
      </c>
      <c r="BI217">
        <v>1</v>
      </c>
      <c r="BJ217" t="s">
        <v>213</v>
      </c>
      <c r="BK217" t="s">
        <v>102</v>
      </c>
      <c r="BL217" t="s">
        <v>213</v>
      </c>
      <c r="BM217" t="s">
        <v>4683</v>
      </c>
      <c r="BN217" t="s">
        <v>74</v>
      </c>
      <c r="BO217" t="s">
        <v>74</v>
      </c>
      <c r="BP217" t="s">
        <v>74</v>
      </c>
      <c r="BQ217" t="s">
        <v>74</v>
      </c>
      <c r="BR217" t="s">
        <v>106</v>
      </c>
      <c r="BS217" t="s">
        <v>4684</v>
      </c>
      <c r="BT217" t="str">
        <f>HYPERLINK("https%3A%2F%2Fwww.webofscience.com%2Fwos%2Fwoscc%2Ffull-record%2FWOS:000552124300007","View Full Record in Web of Science")</f>
        <v>View Full Record in Web of Science</v>
      </c>
    </row>
    <row r="218" spans="1:72" x14ac:dyDescent="0.15">
      <c r="A218" t="s">
        <v>72</v>
      </c>
      <c r="B218" t="s">
        <v>4685</v>
      </c>
      <c r="C218" t="s">
        <v>74</v>
      </c>
      <c r="D218" t="s">
        <v>74</v>
      </c>
      <c r="E218" t="s">
        <v>74</v>
      </c>
      <c r="F218" t="s">
        <v>4686</v>
      </c>
      <c r="G218" t="s">
        <v>74</v>
      </c>
      <c r="H218" t="s">
        <v>74</v>
      </c>
      <c r="I218" t="s">
        <v>4687</v>
      </c>
      <c r="J218" t="s">
        <v>4674</v>
      </c>
      <c r="K218" t="s">
        <v>74</v>
      </c>
      <c r="L218" t="s">
        <v>74</v>
      </c>
      <c r="M218" t="s">
        <v>78</v>
      </c>
      <c r="N218" t="s">
        <v>79</v>
      </c>
      <c r="O218" t="s">
        <v>74</v>
      </c>
      <c r="P218" t="s">
        <v>74</v>
      </c>
      <c r="Q218" t="s">
        <v>74</v>
      </c>
      <c r="R218" t="s">
        <v>74</v>
      </c>
      <c r="S218" t="s">
        <v>74</v>
      </c>
      <c r="T218" t="s">
        <v>4688</v>
      </c>
      <c r="U218" t="s">
        <v>4689</v>
      </c>
      <c r="V218" t="s">
        <v>4690</v>
      </c>
      <c r="W218" t="s">
        <v>4691</v>
      </c>
      <c r="X218" t="s">
        <v>4692</v>
      </c>
      <c r="Y218" t="s">
        <v>4693</v>
      </c>
      <c r="Z218" t="s">
        <v>4694</v>
      </c>
      <c r="AA218" t="s">
        <v>4695</v>
      </c>
      <c r="AB218" t="s">
        <v>4696</v>
      </c>
      <c r="AC218" t="s">
        <v>4697</v>
      </c>
      <c r="AD218" t="s">
        <v>4698</v>
      </c>
      <c r="AE218" t="s">
        <v>4699</v>
      </c>
      <c r="AF218" t="s">
        <v>74</v>
      </c>
      <c r="AG218">
        <v>55</v>
      </c>
      <c r="AH218">
        <v>13</v>
      </c>
      <c r="AI218">
        <v>14</v>
      </c>
      <c r="AJ218">
        <v>4</v>
      </c>
      <c r="AK218">
        <v>40</v>
      </c>
      <c r="AL218" t="s">
        <v>92</v>
      </c>
      <c r="AM218" t="s">
        <v>93</v>
      </c>
      <c r="AN218" t="s">
        <v>94</v>
      </c>
      <c r="AO218" t="s">
        <v>4679</v>
      </c>
      <c r="AP218" t="s">
        <v>74</v>
      </c>
      <c r="AQ218" t="s">
        <v>74</v>
      </c>
      <c r="AR218" t="s">
        <v>4680</v>
      </c>
      <c r="AS218" t="s">
        <v>4681</v>
      </c>
      <c r="AT218" t="s">
        <v>3950</v>
      </c>
      <c r="AU218">
        <v>2020</v>
      </c>
      <c r="AV218">
        <v>186</v>
      </c>
      <c r="AW218" t="s">
        <v>74</v>
      </c>
      <c r="AX218" t="s">
        <v>74</v>
      </c>
      <c r="AY218" t="s">
        <v>74</v>
      </c>
      <c r="AZ218" t="s">
        <v>74</v>
      </c>
      <c r="BA218" t="s">
        <v>74</v>
      </c>
      <c r="BB218" t="s">
        <v>74</v>
      </c>
      <c r="BC218" t="s">
        <v>74</v>
      </c>
      <c r="BD218">
        <v>102392</v>
      </c>
      <c r="BE218" t="s">
        <v>4700</v>
      </c>
      <c r="BF218" t="str">
        <f>HYPERLINK("http://dx.doi.org/10.1016/j.pocean.2020.102392","http://dx.doi.org/10.1016/j.pocean.2020.102392")</f>
        <v>http://dx.doi.org/10.1016/j.pocean.2020.102392</v>
      </c>
      <c r="BG218" t="s">
        <v>74</v>
      </c>
      <c r="BH218" t="s">
        <v>74</v>
      </c>
      <c r="BI218">
        <v>9</v>
      </c>
      <c r="BJ218" t="s">
        <v>213</v>
      </c>
      <c r="BK218" t="s">
        <v>102</v>
      </c>
      <c r="BL218" t="s">
        <v>213</v>
      </c>
      <c r="BM218" t="s">
        <v>4683</v>
      </c>
      <c r="BN218" t="s">
        <v>74</v>
      </c>
      <c r="BO218" t="s">
        <v>74</v>
      </c>
      <c r="BP218" t="s">
        <v>74</v>
      </c>
      <c r="BQ218" t="s">
        <v>74</v>
      </c>
      <c r="BR218" t="s">
        <v>106</v>
      </c>
      <c r="BS218" t="s">
        <v>4701</v>
      </c>
      <c r="BT218" t="str">
        <f>HYPERLINK("https%3A%2F%2Fwww.webofscience.com%2Fwos%2Fwoscc%2Ffull-record%2FWOS:000552124300023","View Full Record in Web of Science")</f>
        <v>View Full Record in Web of Science</v>
      </c>
    </row>
    <row r="219" spans="1:72" x14ac:dyDescent="0.15">
      <c r="A219" t="s">
        <v>72</v>
      </c>
      <c r="B219" t="s">
        <v>4702</v>
      </c>
      <c r="C219" t="s">
        <v>74</v>
      </c>
      <c r="D219" t="s">
        <v>74</v>
      </c>
      <c r="E219" t="s">
        <v>74</v>
      </c>
      <c r="F219" t="s">
        <v>4703</v>
      </c>
      <c r="G219" t="s">
        <v>74</v>
      </c>
      <c r="H219" t="s">
        <v>74</v>
      </c>
      <c r="I219" t="s">
        <v>4704</v>
      </c>
      <c r="J219" t="s">
        <v>4705</v>
      </c>
      <c r="K219" t="s">
        <v>74</v>
      </c>
      <c r="L219" t="s">
        <v>74</v>
      </c>
      <c r="M219" t="s">
        <v>78</v>
      </c>
      <c r="N219" t="s">
        <v>79</v>
      </c>
      <c r="O219" t="s">
        <v>74</v>
      </c>
      <c r="P219" t="s">
        <v>74</v>
      </c>
      <c r="Q219" t="s">
        <v>74</v>
      </c>
      <c r="R219" t="s">
        <v>74</v>
      </c>
      <c r="S219" t="s">
        <v>74</v>
      </c>
      <c r="T219" t="s">
        <v>4706</v>
      </c>
      <c r="U219" t="s">
        <v>4707</v>
      </c>
      <c r="V219" t="s">
        <v>4708</v>
      </c>
      <c r="W219" t="s">
        <v>4709</v>
      </c>
      <c r="X219" t="s">
        <v>4710</v>
      </c>
      <c r="Y219" t="s">
        <v>4711</v>
      </c>
      <c r="Z219" t="s">
        <v>4712</v>
      </c>
      <c r="AA219" t="s">
        <v>4713</v>
      </c>
      <c r="AB219" t="s">
        <v>4714</v>
      </c>
      <c r="AC219" t="s">
        <v>4715</v>
      </c>
      <c r="AD219" t="s">
        <v>4716</v>
      </c>
      <c r="AE219" t="s">
        <v>4717</v>
      </c>
      <c r="AF219" t="s">
        <v>74</v>
      </c>
      <c r="AG219">
        <v>82</v>
      </c>
      <c r="AH219">
        <v>16</v>
      </c>
      <c r="AI219">
        <v>17</v>
      </c>
      <c r="AJ219">
        <v>1</v>
      </c>
      <c r="AK219">
        <v>36</v>
      </c>
      <c r="AL219" t="s">
        <v>4718</v>
      </c>
      <c r="AM219" t="s">
        <v>4719</v>
      </c>
      <c r="AN219" t="s">
        <v>4720</v>
      </c>
      <c r="AO219" t="s">
        <v>4721</v>
      </c>
      <c r="AP219" t="s">
        <v>4722</v>
      </c>
      <c r="AQ219" t="s">
        <v>74</v>
      </c>
      <c r="AR219" t="s">
        <v>4723</v>
      </c>
      <c r="AS219" t="s">
        <v>4724</v>
      </c>
      <c r="AT219" t="s">
        <v>3950</v>
      </c>
      <c r="AU219">
        <v>2020</v>
      </c>
      <c r="AV219">
        <v>897</v>
      </c>
      <c r="AW219">
        <v>2</v>
      </c>
      <c r="AX219" t="s">
        <v>74</v>
      </c>
      <c r="AY219" t="s">
        <v>74</v>
      </c>
      <c r="AZ219" t="s">
        <v>74</v>
      </c>
      <c r="BA219" t="s">
        <v>74</v>
      </c>
      <c r="BB219" t="s">
        <v>74</v>
      </c>
      <c r="BC219" t="s">
        <v>74</v>
      </c>
      <c r="BD219">
        <v>137</v>
      </c>
      <c r="BE219" t="s">
        <v>4725</v>
      </c>
      <c r="BF219" t="str">
        <f>HYPERLINK("http://dx.doi.org/10.3847/1538-4357/ab9620","http://dx.doi.org/10.3847/1538-4357/ab9620")</f>
        <v>http://dx.doi.org/10.3847/1538-4357/ab9620</v>
      </c>
      <c r="BG219" t="s">
        <v>74</v>
      </c>
      <c r="BH219" t="s">
        <v>74</v>
      </c>
      <c r="BI219">
        <v>12</v>
      </c>
      <c r="BJ219" t="s">
        <v>774</v>
      </c>
      <c r="BK219" t="s">
        <v>102</v>
      </c>
      <c r="BL219" t="s">
        <v>774</v>
      </c>
      <c r="BM219" t="s">
        <v>4726</v>
      </c>
      <c r="BN219" t="s">
        <v>74</v>
      </c>
      <c r="BO219" t="s">
        <v>1657</v>
      </c>
      <c r="BP219" t="s">
        <v>74</v>
      </c>
      <c r="BQ219" t="s">
        <v>74</v>
      </c>
      <c r="BR219" t="s">
        <v>106</v>
      </c>
      <c r="BS219" t="s">
        <v>4727</v>
      </c>
      <c r="BT219" t="str">
        <f>HYPERLINK("https%3A%2F%2Fwww.webofscience.com%2Fwos%2Fwoscc%2Ffull-record%2FWOS:000551687100001","View Full Record in Web of Science")</f>
        <v>View Full Record in Web of Science</v>
      </c>
    </row>
    <row r="220" spans="1:72" x14ac:dyDescent="0.15">
      <c r="A220" t="s">
        <v>72</v>
      </c>
      <c r="B220" t="s">
        <v>4728</v>
      </c>
      <c r="C220" t="s">
        <v>74</v>
      </c>
      <c r="D220" t="s">
        <v>74</v>
      </c>
      <c r="E220" t="s">
        <v>74</v>
      </c>
      <c r="F220" t="s">
        <v>4729</v>
      </c>
      <c r="G220" t="s">
        <v>74</v>
      </c>
      <c r="H220" t="s">
        <v>74</v>
      </c>
      <c r="I220" t="s">
        <v>4730</v>
      </c>
      <c r="J220" t="s">
        <v>4731</v>
      </c>
      <c r="K220" t="s">
        <v>74</v>
      </c>
      <c r="L220" t="s">
        <v>74</v>
      </c>
      <c r="M220" t="s">
        <v>78</v>
      </c>
      <c r="N220" t="s">
        <v>245</v>
      </c>
      <c r="O220" t="s">
        <v>74</v>
      </c>
      <c r="P220" t="s">
        <v>74</v>
      </c>
      <c r="Q220" t="s">
        <v>74</v>
      </c>
      <c r="R220" t="s">
        <v>74</v>
      </c>
      <c r="S220" t="s">
        <v>74</v>
      </c>
      <c r="T220" t="s">
        <v>74</v>
      </c>
      <c r="U220" t="s">
        <v>4732</v>
      </c>
      <c r="V220" t="s">
        <v>4733</v>
      </c>
      <c r="W220" t="s">
        <v>4734</v>
      </c>
      <c r="X220" t="s">
        <v>4735</v>
      </c>
      <c r="Y220" t="s">
        <v>4736</v>
      </c>
      <c r="Z220" t="s">
        <v>4737</v>
      </c>
      <c r="AA220" t="s">
        <v>74</v>
      </c>
      <c r="AB220" t="s">
        <v>74</v>
      </c>
      <c r="AC220" t="s">
        <v>4738</v>
      </c>
      <c r="AD220" t="s">
        <v>4739</v>
      </c>
      <c r="AE220" t="s">
        <v>4740</v>
      </c>
      <c r="AF220" t="s">
        <v>74</v>
      </c>
      <c r="AG220">
        <v>198</v>
      </c>
      <c r="AH220">
        <v>18</v>
      </c>
      <c r="AI220">
        <v>20</v>
      </c>
      <c r="AJ220">
        <v>2</v>
      </c>
      <c r="AK220">
        <v>16</v>
      </c>
      <c r="AL220" t="s">
        <v>4741</v>
      </c>
      <c r="AM220" t="s">
        <v>4742</v>
      </c>
      <c r="AN220" t="s">
        <v>4743</v>
      </c>
      <c r="AO220" t="s">
        <v>4744</v>
      </c>
      <c r="AP220" t="s">
        <v>4745</v>
      </c>
      <c r="AQ220" t="s">
        <v>74</v>
      </c>
      <c r="AR220" t="s">
        <v>4746</v>
      </c>
      <c r="AS220" t="s">
        <v>4747</v>
      </c>
      <c r="AT220" t="s">
        <v>3950</v>
      </c>
      <c r="AU220">
        <v>2020</v>
      </c>
      <c r="AV220">
        <v>183</v>
      </c>
      <c r="AW220">
        <v>3</v>
      </c>
      <c r="AX220" t="s">
        <v>74</v>
      </c>
      <c r="AY220" t="s">
        <v>74</v>
      </c>
      <c r="AZ220" t="s">
        <v>74</v>
      </c>
      <c r="BA220" t="s">
        <v>74</v>
      </c>
      <c r="BB220">
        <v>822</v>
      </c>
      <c r="BC220">
        <v>839</v>
      </c>
      <c r="BD220" t="s">
        <v>74</v>
      </c>
      <c r="BE220" t="s">
        <v>4748</v>
      </c>
      <c r="BF220" t="str">
        <f>HYPERLINK("http://dx.doi.org/10.1104/pp.20.00100","http://dx.doi.org/10.1104/pp.20.00100")</f>
        <v>http://dx.doi.org/10.1104/pp.20.00100</v>
      </c>
      <c r="BG220" t="s">
        <v>74</v>
      </c>
      <c r="BH220" t="s">
        <v>74</v>
      </c>
      <c r="BI220">
        <v>18</v>
      </c>
      <c r="BJ220" t="s">
        <v>1635</v>
      </c>
      <c r="BK220" t="s">
        <v>102</v>
      </c>
      <c r="BL220" t="s">
        <v>1635</v>
      </c>
      <c r="BM220" t="s">
        <v>4749</v>
      </c>
      <c r="BN220">
        <v>32404414</v>
      </c>
      <c r="BO220" t="s">
        <v>1474</v>
      </c>
      <c r="BP220" t="s">
        <v>74</v>
      </c>
      <c r="BQ220" t="s">
        <v>74</v>
      </c>
      <c r="BR220" t="s">
        <v>106</v>
      </c>
      <c r="BS220" t="s">
        <v>4750</v>
      </c>
      <c r="BT220" t="str">
        <f>HYPERLINK("https%3A%2F%2Fwww.webofscience.com%2Fwos%2Fwoscc%2Ffull-record%2FWOS:000550682000007","View Full Record in Web of Science")</f>
        <v>View Full Record in Web of Science</v>
      </c>
    </row>
    <row r="221" spans="1:72" x14ac:dyDescent="0.15">
      <c r="A221" t="s">
        <v>72</v>
      </c>
      <c r="B221" t="s">
        <v>4751</v>
      </c>
      <c r="C221" t="s">
        <v>74</v>
      </c>
      <c r="D221" t="s">
        <v>74</v>
      </c>
      <c r="E221" t="s">
        <v>74</v>
      </c>
      <c r="F221" t="s">
        <v>4752</v>
      </c>
      <c r="G221" t="s">
        <v>74</v>
      </c>
      <c r="H221" t="s">
        <v>74</v>
      </c>
      <c r="I221" t="s">
        <v>4753</v>
      </c>
      <c r="J221" t="s">
        <v>4754</v>
      </c>
      <c r="K221" t="s">
        <v>74</v>
      </c>
      <c r="L221" t="s">
        <v>74</v>
      </c>
      <c r="M221" t="s">
        <v>78</v>
      </c>
      <c r="N221" t="s">
        <v>79</v>
      </c>
      <c r="O221" t="s">
        <v>74</v>
      </c>
      <c r="P221" t="s">
        <v>74</v>
      </c>
      <c r="Q221" t="s">
        <v>74</v>
      </c>
      <c r="R221" t="s">
        <v>74</v>
      </c>
      <c r="S221" t="s">
        <v>74</v>
      </c>
      <c r="T221" t="s">
        <v>4755</v>
      </c>
      <c r="U221" t="s">
        <v>4756</v>
      </c>
      <c r="V221" t="s">
        <v>4757</v>
      </c>
      <c r="W221" t="s">
        <v>4758</v>
      </c>
      <c r="X221" t="s">
        <v>4759</v>
      </c>
      <c r="Y221" t="s">
        <v>4760</v>
      </c>
      <c r="Z221" t="s">
        <v>74</v>
      </c>
      <c r="AA221" t="s">
        <v>4761</v>
      </c>
      <c r="AB221" t="s">
        <v>4762</v>
      </c>
      <c r="AC221" t="s">
        <v>4763</v>
      </c>
      <c r="AD221" t="s">
        <v>4764</v>
      </c>
      <c r="AE221" t="s">
        <v>4765</v>
      </c>
      <c r="AF221" t="s">
        <v>74</v>
      </c>
      <c r="AG221">
        <v>198</v>
      </c>
      <c r="AH221">
        <v>115</v>
      </c>
      <c r="AI221">
        <v>129</v>
      </c>
      <c r="AJ221">
        <v>10</v>
      </c>
      <c r="AK221">
        <v>148</v>
      </c>
      <c r="AL221" t="s">
        <v>4766</v>
      </c>
      <c r="AM221" t="s">
        <v>4767</v>
      </c>
      <c r="AN221" t="s">
        <v>4768</v>
      </c>
      <c r="AO221" t="s">
        <v>4769</v>
      </c>
      <c r="AP221" t="s">
        <v>74</v>
      </c>
      <c r="AQ221" t="s">
        <v>74</v>
      </c>
      <c r="AR221" t="s">
        <v>4754</v>
      </c>
      <c r="AS221" t="s">
        <v>4770</v>
      </c>
      <c r="AT221" t="s">
        <v>3950</v>
      </c>
      <c r="AU221">
        <v>2020</v>
      </c>
      <c r="AV221">
        <v>44</v>
      </c>
      <c r="AW221" t="s">
        <v>74</v>
      </c>
      <c r="AX221" t="s">
        <v>74</v>
      </c>
      <c r="AY221" t="s">
        <v>74</v>
      </c>
      <c r="AZ221" t="s">
        <v>74</v>
      </c>
      <c r="BA221" t="s">
        <v>74</v>
      </c>
      <c r="BB221">
        <v>301</v>
      </c>
      <c r="BC221">
        <v>459</v>
      </c>
      <c r="BD221" t="s">
        <v>74</v>
      </c>
      <c r="BE221" t="s">
        <v>4771</v>
      </c>
      <c r="BF221" t="str">
        <f>HYPERLINK("http://dx.doi.org/10.3767/persoonia.2020.44.11","http://dx.doi.org/10.3767/persoonia.2020.44.11")</f>
        <v>http://dx.doi.org/10.3767/persoonia.2020.44.11</v>
      </c>
      <c r="BG221" t="s">
        <v>74</v>
      </c>
      <c r="BH221" t="s">
        <v>74</v>
      </c>
      <c r="BI221">
        <v>159</v>
      </c>
      <c r="BJ221" t="s">
        <v>4772</v>
      </c>
      <c r="BK221" t="s">
        <v>102</v>
      </c>
      <c r="BL221" t="s">
        <v>4772</v>
      </c>
      <c r="BM221" t="s">
        <v>4773</v>
      </c>
      <c r="BN221">
        <v>33116344</v>
      </c>
      <c r="BO221" t="s">
        <v>4774</v>
      </c>
      <c r="BP221" t="s">
        <v>162</v>
      </c>
      <c r="BQ221" t="s">
        <v>163</v>
      </c>
      <c r="BR221" t="s">
        <v>106</v>
      </c>
      <c r="BS221" t="s">
        <v>4775</v>
      </c>
      <c r="BT221" t="str">
        <f>HYPERLINK("https%3A%2F%2Fwww.webofscience.com%2Fwos%2Fwoscc%2Ffull-record%2FWOS:000550058100011","View Full Record in Web of Science")</f>
        <v>View Full Record in Web of Science</v>
      </c>
    </row>
    <row r="222" spans="1:72" x14ac:dyDescent="0.15">
      <c r="A222" t="s">
        <v>72</v>
      </c>
      <c r="B222" t="s">
        <v>4776</v>
      </c>
      <c r="C222" t="s">
        <v>74</v>
      </c>
      <c r="D222" t="s">
        <v>74</v>
      </c>
      <c r="E222" t="s">
        <v>74</v>
      </c>
      <c r="F222" t="s">
        <v>4777</v>
      </c>
      <c r="G222" t="s">
        <v>74</v>
      </c>
      <c r="H222" t="s">
        <v>74</v>
      </c>
      <c r="I222" t="s">
        <v>4778</v>
      </c>
      <c r="J222" t="s">
        <v>4779</v>
      </c>
      <c r="K222" t="s">
        <v>74</v>
      </c>
      <c r="L222" t="s">
        <v>74</v>
      </c>
      <c r="M222" t="s">
        <v>78</v>
      </c>
      <c r="N222" t="s">
        <v>79</v>
      </c>
      <c r="O222" t="s">
        <v>74</v>
      </c>
      <c r="P222" t="s">
        <v>74</v>
      </c>
      <c r="Q222" t="s">
        <v>74</v>
      </c>
      <c r="R222" t="s">
        <v>74</v>
      </c>
      <c r="S222" t="s">
        <v>74</v>
      </c>
      <c r="T222" t="s">
        <v>4780</v>
      </c>
      <c r="U222" t="s">
        <v>74</v>
      </c>
      <c r="V222" t="s">
        <v>4781</v>
      </c>
      <c r="W222" t="s">
        <v>4782</v>
      </c>
      <c r="X222" t="s">
        <v>4783</v>
      </c>
      <c r="Y222" t="s">
        <v>4784</v>
      </c>
      <c r="Z222" t="s">
        <v>4785</v>
      </c>
      <c r="AA222" t="s">
        <v>4786</v>
      </c>
      <c r="AB222" t="s">
        <v>4787</v>
      </c>
      <c r="AC222" t="s">
        <v>4788</v>
      </c>
      <c r="AD222" t="s">
        <v>4789</v>
      </c>
      <c r="AE222" t="s">
        <v>4790</v>
      </c>
      <c r="AF222" t="s">
        <v>74</v>
      </c>
      <c r="AG222">
        <v>30</v>
      </c>
      <c r="AH222">
        <v>2</v>
      </c>
      <c r="AI222">
        <v>2</v>
      </c>
      <c r="AJ222">
        <v>5</v>
      </c>
      <c r="AK222">
        <v>17</v>
      </c>
      <c r="AL222" t="s">
        <v>4791</v>
      </c>
      <c r="AM222" t="s">
        <v>4792</v>
      </c>
      <c r="AN222" t="s">
        <v>4793</v>
      </c>
      <c r="AO222" t="s">
        <v>4794</v>
      </c>
      <c r="AP222" t="s">
        <v>74</v>
      </c>
      <c r="AQ222" t="s">
        <v>74</v>
      </c>
      <c r="AR222" t="s">
        <v>4795</v>
      </c>
      <c r="AS222" t="s">
        <v>4796</v>
      </c>
      <c r="AT222" t="s">
        <v>3950</v>
      </c>
      <c r="AU222">
        <v>2020</v>
      </c>
      <c r="AV222">
        <v>41</v>
      </c>
      <c r="AW222">
        <v>4</v>
      </c>
      <c r="AX222" t="s">
        <v>74</v>
      </c>
      <c r="AY222" t="s">
        <v>74</v>
      </c>
      <c r="AZ222" t="s">
        <v>74</v>
      </c>
      <c r="BA222" t="s">
        <v>74</v>
      </c>
      <c r="BB222">
        <v>687</v>
      </c>
      <c r="BC222">
        <v>694</v>
      </c>
      <c r="BD222" t="s">
        <v>74</v>
      </c>
      <c r="BE222" t="s">
        <v>4797</v>
      </c>
      <c r="BF222" t="str">
        <f>HYPERLINK("http://dx.doi.org/10.22438/jeb/41/4/MRN-1305","http://dx.doi.org/10.22438/jeb/41/4/MRN-1305")</f>
        <v>http://dx.doi.org/10.22438/jeb/41/4/MRN-1305</v>
      </c>
      <c r="BG222" t="s">
        <v>74</v>
      </c>
      <c r="BH222" t="s">
        <v>74</v>
      </c>
      <c r="BI222">
        <v>8</v>
      </c>
      <c r="BJ222" t="s">
        <v>101</v>
      </c>
      <c r="BK222" t="s">
        <v>102</v>
      </c>
      <c r="BL222" t="s">
        <v>103</v>
      </c>
      <c r="BM222" t="s">
        <v>4798</v>
      </c>
      <c r="BN222" t="s">
        <v>74</v>
      </c>
      <c r="BO222" t="s">
        <v>4799</v>
      </c>
      <c r="BP222" t="s">
        <v>74</v>
      </c>
      <c r="BQ222" t="s">
        <v>74</v>
      </c>
      <c r="BR222" t="s">
        <v>106</v>
      </c>
      <c r="BS222" t="s">
        <v>4800</v>
      </c>
      <c r="BT222" t="str">
        <f>HYPERLINK("https%3A%2F%2Fwww.webofscience.com%2Fwos%2Fwoscc%2Ffull-record%2FWOS:000548278200005","View Full Record in Web of Science")</f>
        <v>View Full Record in Web of Science</v>
      </c>
    </row>
    <row r="223" spans="1:72" x14ac:dyDescent="0.15">
      <c r="A223" t="s">
        <v>72</v>
      </c>
      <c r="B223" t="s">
        <v>4801</v>
      </c>
      <c r="C223" t="s">
        <v>74</v>
      </c>
      <c r="D223" t="s">
        <v>74</v>
      </c>
      <c r="E223" t="s">
        <v>74</v>
      </c>
      <c r="F223" t="s">
        <v>4802</v>
      </c>
      <c r="G223" t="s">
        <v>74</v>
      </c>
      <c r="H223" t="s">
        <v>74</v>
      </c>
      <c r="I223" t="s">
        <v>4803</v>
      </c>
      <c r="J223" t="s">
        <v>4804</v>
      </c>
      <c r="K223" t="s">
        <v>74</v>
      </c>
      <c r="L223" t="s">
        <v>74</v>
      </c>
      <c r="M223" t="s">
        <v>78</v>
      </c>
      <c r="N223" t="s">
        <v>79</v>
      </c>
      <c r="O223" t="s">
        <v>74</v>
      </c>
      <c r="P223" t="s">
        <v>74</v>
      </c>
      <c r="Q223" t="s">
        <v>74</v>
      </c>
      <c r="R223" t="s">
        <v>74</v>
      </c>
      <c r="S223" t="s">
        <v>74</v>
      </c>
      <c r="T223" t="s">
        <v>4805</v>
      </c>
      <c r="U223" t="s">
        <v>4806</v>
      </c>
      <c r="V223" t="s">
        <v>4807</v>
      </c>
      <c r="W223" t="s">
        <v>4808</v>
      </c>
      <c r="X223" t="s">
        <v>4809</v>
      </c>
      <c r="Y223" t="s">
        <v>4810</v>
      </c>
      <c r="Z223" t="s">
        <v>4811</v>
      </c>
      <c r="AA223" t="s">
        <v>4812</v>
      </c>
      <c r="AB223" t="s">
        <v>4813</v>
      </c>
      <c r="AC223" t="s">
        <v>4814</v>
      </c>
      <c r="AD223" t="s">
        <v>4815</v>
      </c>
      <c r="AE223" t="s">
        <v>4816</v>
      </c>
      <c r="AF223" t="s">
        <v>74</v>
      </c>
      <c r="AG223">
        <v>116</v>
      </c>
      <c r="AH223">
        <v>9</v>
      </c>
      <c r="AI223">
        <v>9</v>
      </c>
      <c r="AJ223">
        <v>1</v>
      </c>
      <c r="AK223">
        <v>11</v>
      </c>
      <c r="AL223" t="s">
        <v>578</v>
      </c>
      <c r="AM223" t="s">
        <v>93</v>
      </c>
      <c r="AN223" t="s">
        <v>579</v>
      </c>
      <c r="AO223" t="s">
        <v>4817</v>
      </c>
      <c r="AP223" t="s">
        <v>4818</v>
      </c>
      <c r="AQ223" t="s">
        <v>74</v>
      </c>
      <c r="AR223" t="s">
        <v>4819</v>
      </c>
      <c r="AS223" t="s">
        <v>4820</v>
      </c>
      <c r="AT223" t="s">
        <v>3950</v>
      </c>
      <c r="AU223">
        <v>2020</v>
      </c>
      <c r="AV223">
        <v>159</v>
      </c>
      <c r="AW223" t="s">
        <v>74</v>
      </c>
      <c r="AX223" t="s">
        <v>74</v>
      </c>
      <c r="AY223" t="s">
        <v>74</v>
      </c>
      <c r="AZ223" t="s">
        <v>74</v>
      </c>
      <c r="BA223" t="s">
        <v>74</v>
      </c>
      <c r="BB223" t="s">
        <v>74</v>
      </c>
      <c r="BC223" t="s">
        <v>74</v>
      </c>
      <c r="BD223">
        <v>104976</v>
      </c>
      <c r="BE223" t="s">
        <v>4821</v>
      </c>
      <c r="BF223" t="str">
        <f>HYPERLINK("http://dx.doi.org/10.1016/j.marenvres.2020.104976","http://dx.doi.org/10.1016/j.marenvres.2020.104976")</f>
        <v>http://dx.doi.org/10.1016/j.marenvres.2020.104976</v>
      </c>
      <c r="BG223" t="s">
        <v>74</v>
      </c>
      <c r="BH223" t="s">
        <v>74</v>
      </c>
      <c r="BI223">
        <v>9</v>
      </c>
      <c r="BJ223" t="s">
        <v>4822</v>
      </c>
      <c r="BK223" t="s">
        <v>102</v>
      </c>
      <c r="BL223" t="s">
        <v>4823</v>
      </c>
      <c r="BM223" t="s">
        <v>4824</v>
      </c>
      <c r="BN223">
        <v>32662429</v>
      </c>
      <c r="BO223" t="s">
        <v>976</v>
      </c>
      <c r="BP223" t="s">
        <v>74</v>
      </c>
      <c r="BQ223" t="s">
        <v>74</v>
      </c>
      <c r="BR223" t="s">
        <v>106</v>
      </c>
      <c r="BS223" t="s">
        <v>4825</v>
      </c>
      <c r="BT223" t="str">
        <f>HYPERLINK("https%3A%2F%2Fwww.webofscience.com%2Fwos%2Fwoscc%2Ffull-record%2FWOS:000549328000011","View Full Record in Web of Science")</f>
        <v>View Full Record in Web of Science</v>
      </c>
    </row>
    <row r="224" spans="1:72" x14ac:dyDescent="0.15">
      <c r="A224" t="s">
        <v>72</v>
      </c>
      <c r="B224" t="s">
        <v>4826</v>
      </c>
      <c r="C224" t="s">
        <v>74</v>
      </c>
      <c r="D224" t="s">
        <v>74</v>
      </c>
      <c r="E224" t="s">
        <v>74</v>
      </c>
      <c r="F224" t="s">
        <v>4827</v>
      </c>
      <c r="G224" t="s">
        <v>74</v>
      </c>
      <c r="H224" t="s">
        <v>74</v>
      </c>
      <c r="I224" t="s">
        <v>4828</v>
      </c>
      <c r="J224" t="s">
        <v>4829</v>
      </c>
      <c r="K224" t="s">
        <v>74</v>
      </c>
      <c r="L224" t="s">
        <v>74</v>
      </c>
      <c r="M224" t="s">
        <v>78</v>
      </c>
      <c r="N224" t="s">
        <v>79</v>
      </c>
      <c r="O224" t="s">
        <v>74</v>
      </c>
      <c r="P224" t="s">
        <v>74</v>
      </c>
      <c r="Q224" t="s">
        <v>74</v>
      </c>
      <c r="R224" t="s">
        <v>74</v>
      </c>
      <c r="S224" t="s">
        <v>74</v>
      </c>
      <c r="T224" t="s">
        <v>4830</v>
      </c>
      <c r="U224" t="s">
        <v>4831</v>
      </c>
      <c r="V224" t="s">
        <v>4832</v>
      </c>
      <c r="W224" t="s">
        <v>4833</v>
      </c>
      <c r="X224" t="s">
        <v>4834</v>
      </c>
      <c r="Y224" t="s">
        <v>4835</v>
      </c>
      <c r="Z224" t="s">
        <v>4836</v>
      </c>
      <c r="AA224" t="s">
        <v>4837</v>
      </c>
      <c r="AB224" t="s">
        <v>74</v>
      </c>
      <c r="AC224" t="s">
        <v>4838</v>
      </c>
      <c r="AD224" t="s">
        <v>4839</v>
      </c>
      <c r="AE224" t="s">
        <v>4840</v>
      </c>
      <c r="AF224" t="s">
        <v>74</v>
      </c>
      <c r="AG224">
        <v>59</v>
      </c>
      <c r="AH224">
        <v>1</v>
      </c>
      <c r="AI224">
        <v>1</v>
      </c>
      <c r="AJ224">
        <v>1</v>
      </c>
      <c r="AK224">
        <v>10</v>
      </c>
      <c r="AL224" t="s">
        <v>4841</v>
      </c>
      <c r="AM224" t="s">
        <v>4842</v>
      </c>
      <c r="AN224" t="s">
        <v>4843</v>
      </c>
      <c r="AO224" t="s">
        <v>4844</v>
      </c>
      <c r="AP224" t="s">
        <v>4845</v>
      </c>
      <c r="AQ224" t="s">
        <v>74</v>
      </c>
      <c r="AR224" t="s">
        <v>4846</v>
      </c>
      <c r="AS224" t="s">
        <v>4847</v>
      </c>
      <c r="AT224" t="s">
        <v>3950</v>
      </c>
      <c r="AU224">
        <v>2020</v>
      </c>
      <c r="AV224">
        <v>73</v>
      </c>
      <c r="AW224">
        <v>4</v>
      </c>
      <c r="AX224" t="s">
        <v>74</v>
      </c>
      <c r="AY224" t="s">
        <v>74</v>
      </c>
      <c r="AZ224" t="s">
        <v>74</v>
      </c>
      <c r="BA224" t="s">
        <v>74</v>
      </c>
      <c r="BB224">
        <v>552</v>
      </c>
      <c r="BC224">
        <v>559</v>
      </c>
      <c r="BD224" t="s">
        <v>74</v>
      </c>
      <c r="BE224" t="s">
        <v>4848</v>
      </c>
      <c r="BF224" t="str">
        <f>HYPERLINK("http://dx.doi.org/10.1016/j.rama.2020.03.004","http://dx.doi.org/10.1016/j.rama.2020.03.004")</f>
        <v>http://dx.doi.org/10.1016/j.rama.2020.03.004</v>
      </c>
      <c r="BG224" t="s">
        <v>74</v>
      </c>
      <c r="BH224" t="s">
        <v>74</v>
      </c>
      <c r="BI224">
        <v>8</v>
      </c>
      <c r="BJ224" t="s">
        <v>4849</v>
      </c>
      <c r="BK224" t="s">
        <v>102</v>
      </c>
      <c r="BL224" t="s">
        <v>103</v>
      </c>
      <c r="BM224" t="s">
        <v>4850</v>
      </c>
      <c r="BN224" t="s">
        <v>74</v>
      </c>
      <c r="BO224" t="s">
        <v>74</v>
      </c>
      <c r="BP224" t="s">
        <v>74</v>
      </c>
      <c r="BQ224" t="s">
        <v>74</v>
      </c>
      <c r="BR224" t="s">
        <v>106</v>
      </c>
      <c r="BS224" t="s">
        <v>4851</v>
      </c>
      <c r="BT224" t="str">
        <f>HYPERLINK("https%3A%2F%2Fwww.webofscience.com%2Fwos%2Fwoscc%2Ffull-record%2FWOS:000547491400011","View Full Record in Web of Science")</f>
        <v>View Full Record in Web of Science</v>
      </c>
    </row>
    <row r="225" spans="1:72" x14ac:dyDescent="0.15">
      <c r="A225" t="s">
        <v>72</v>
      </c>
      <c r="B225" t="s">
        <v>4852</v>
      </c>
      <c r="C225" t="s">
        <v>74</v>
      </c>
      <c r="D225" t="s">
        <v>74</v>
      </c>
      <c r="E225" t="s">
        <v>74</v>
      </c>
      <c r="F225" t="s">
        <v>4853</v>
      </c>
      <c r="G225" t="s">
        <v>74</v>
      </c>
      <c r="H225" t="s">
        <v>74</v>
      </c>
      <c r="I225" t="s">
        <v>4854</v>
      </c>
      <c r="J225" t="s">
        <v>4855</v>
      </c>
      <c r="K225" t="s">
        <v>74</v>
      </c>
      <c r="L225" t="s">
        <v>74</v>
      </c>
      <c r="M225" t="s">
        <v>78</v>
      </c>
      <c r="N225" t="s">
        <v>79</v>
      </c>
      <c r="O225" t="s">
        <v>74</v>
      </c>
      <c r="P225" t="s">
        <v>74</v>
      </c>
      <c r="Q225" t="s">
        <v>74</v>
      </c>
      <c r="R225" t="s">
        <v>74</v>
      </c>
      <c r="S225" t="s">
        <v>74</v>
      </c>
      <c r="T225" t="s">
        <v>4856</v>
      </c>
      <c r="U225" t="s">
        <v>4857</v>
      </c>
      <c r="V225" t="s">
        <v>4858</v>
      </c>
      <c r="W225" t="s">
        <v>4859</v>
      </c>
      <c r="X225" t="s">
        <v>4860</v>
      </c>
      <c r="Y225" t="s">
        <v>4861</v>
      </c>
      <c r="Z225" t="s">
        <v>4862</v>
      </c>
      <c r="AA225" t="s">
        <v>74</v>
      </c>
      <c r="AB225" t="s">
        <v>4863</v>
      </c>
      <c r="AC225" t="s">
        <v>4864</v>
      </c>
      <c r="AD225" t="s">
        <v>4865</v>
      </c>
      <c r="AE225" t="s">
        <v>4866</v>
      </c>
      <c r="AF225" t="s">
        <v>74</v>
      </c>
      <c r="AG225">
        <v>78</v>
      </c>
      <c r="AH225">
        <v>3</v>
      </c>
      <c r="AI225">
        <v>3</v>
      </c>
      <c r="AJ225">
        <v>0</v>
      </c>
      <c r="AK225">
        <v>3</v>
      </c>
      <c r="AL225" t="s">
        <v>4638</v>
      </c>
      <c r="AM225" t="s">
        <v>399</v>
      </c>
      <c r="AN225" t="s">
        <v>4867</v>
      </c>
      <c r="AO225" t="s">
        <v>4868</v>
      </c>
      <c r="AP225" t="s">
        <v>4869</v>
      </c>
      <c r="AQ225" t="s">
        <v>74</v>
      </c>
      <c r="AR225" t="s">
        <v>4870</v>
      </c>
      <c r="AS225" t="s">
        <v>4871</v>
      </c>
      <c r="AT225" t="s">
        <v>3950</v>
      </c>
      <c r="AU225">
        <v>2020</v>
      </c>
      <c r="AV225">
        <v>157</v>
      </c>
      <c r="AW225">
        <v>7</v>
      </c>
      <c r="AX225" t="s">
        <v>74</v>
      </c>
      <c r="AY225" t="s">
        <v>74</v>
      </c>
      <c r="AZ225" t="s">
        <v>74</v>
      </c>
      <c r="BA225" t="s">
        <v>74</v>
      </c>
      <c r="BB225">
        <v>1023</v>
      </c>
      <c r="BC225">
        <v>1030</v>
      </c>
      <c r="BD225" t="s">
        <v>4872</v>
      </c>
      <c r="BE225" t="s">
        <v>4873</v>
      </c>
      <c r="BF225" t="str">
        <f>HYPERLINK("http://dx.doi.org/10.1017/S0016756819001092","http://dx.doi.org/10.1017/S0016756819001092")</f>
        <v>http://dx.doi.org/10.1017/S0016756819001092</v>
      </c>
      <c r="BG225" t="s">
        <v>74</v>
      </c>
      <c r="BH225" t="s">
        <v>74</v>
      </c>
      <c r="BI225">
        <v>8</v>
      </c>
      <c r="BJ225" t="s">
        <v>471</v>
      </c>
      <c r="BK225" t="s">
        <v>102</v>
      </c>
      <c r="BL225" t="s">
        <v>472</v>
      </c>
      <c r="BM225" t="s">
        <v>4874</v>
      </c>
      <c r="BN225" t="s">
        <v>74</v>
      </c>
      <c r="BO225" t="s">
        <v>74</v>
      </c>
      <c r="BP225" t="s">
        <v>74</v>
      </c>
      <c r="BQ225" t="s">
        <v>74</v>
      </c>
      <c r="BR225" t="s">
        <v>106</v>
      </c>
      <c r="BS225" t="s">
        <v>4875</v>
      </c>
      <c r="BT225" t="str">
        <f>HYPERLINK("https%3A%2F%2Fwww.webofscience.com%2Fwos%2Fwoscc%2Ffull-record%2FWOS:000546620700001","View Full Record in Web of Science")</f>
        <v>View Full Record in Web of Science</v>
      </c>
    </row>
    <row r="226" spans="1:72" x14ac:dyDescent="0.15">
      <c r="A226" t="s">
        <v>72</v>
      </c>
      <c r="B226" t="s">
        <v>4876</v>
      </c>
      <c r="C226" t="s">
        <v>74</v>
      </c>
      <c r="D226" t="s">
        <v>74</v>
      </c>
      <c r="E226" t="s">
        <v>74</v>
      </c>
      <c r="F226" t="s">
        <v>4877</v>
      </c>
      <c r="G226" t="s">
        <v>74</v>
      </c>
      <c r="H226" t="s">
        <v>74</v>
      </c>
      <c r="I226" t="s">
        <v>4878</v>
      </c>
      <c r="J226" t="s">
        <v>4879</v>
      </c>
      <c r="K226" t="s">
        <v>74</v>
      </c>
      <c r="L226" t="s">
        <v>74</v>
      </c>
      <c r="M226" t="s">
        <v>78</v>
      </c>
      <c r="N226" t="s">
        <v>79</v>
      </c>
      <c r="O226" t="s">
        <v>74</v>
      </c>
      <c r="P226" t="s">
        <v>74</v>
      </c>
      <c r="Q226" t="s">
        <v>74</v>
      </c>
      <c r="R226" t="s">
        <v>74</v>
      </c>
      <c r="S226" t="s">
        <v>74</v>
      </c>
      <c r="T226" t="s">
        <v>4880</v>
      </c>
      <c r="U226" t="s">
        <v>4881</v>
      </c>
      <c r="V226" t="s">
        <v>4882</v>
      </c>
      <c r="W226" t="s">
        <v>4883</v>
      </c>
      <c r="X226" t="s">
        <v>4884</v>
      </c>
      <c r="Y226" t="s">
        <v>4885</v>
      </c>
      <c r="Z226" t="s">
        <v>4886</v>
      </c>
      <c r="AA226" t="s">
        <v>4887</v>
      </c>
      <c r="AB226" t="s">
        <v>4888</v>
      </c>
      <c r="AC226" t="s">
        <v>4889</v>
      </c>
      <c r="AD226" t="s">
        <v>4889</v>
      </c>
      <c r="AE226" t="s">
        <v>4890</v>
      </c>
      <c r="AF226" t="s">
        <v>74</v>
      </c>
      <c r="AG226">
        <v>33</v>
      </c>
      <c r="AH226">
        <v>4</v>
      </c>
      <c r="AI226">
        <v>4</v>
      </c>
      <c r="AJ226">
        <v>1</v>
      </c>
      <c r="AK226">
        <v>10</v>
      </c>
      <c r="AL226" t="s">
        <v>4891</v>
      </c>
      <c r="AM226" t="s">
        <v>4892</v>
      </c>
      <c r="AN226" t="s">
        <v>4893</v>
      </c>
      <c r="AO226" t="s">
        <v>4894</v>
      </c>
      <c r="AP226" t="s">
        <v>4895</v>
      </c>
      <c r="AQ226" t="s">
        <v>74</v>
      </c>
      <c r="AR226" t="s">
        <v>4879</v>
      </c>
      <c r="AS226" t="s">
        <v>4896</v>
      </c>
      <c r="AT226" t="s">
        <v>4897</v>
      </c>
      <c r="AU226">
        <v>2020</v>
      </c>
      <c r="AV226">
        <v>62</v>
      </c>
      <c r="AW226">
        <v>3</v>
      </c>
      <c r="AX226" t="s">
        <v>74</v>
      </c>
      <c r="AY226" t="s">
        <v>74</v>
      </c>
      <c r="AZ226" t="s">
        <v>74</v>
      </c>
      <c r="BA226" t="s">
        <v>74</v>
      </c>
      <c r="BB226">
        <v>387</v>
      </c>
      <c r="BC226">
        <v>394</v>
      </c>
      <c r="BD226" t="s">
        <v>74</v>
      </c>
      <c r="BE226" t="s">
        <v>4898</v>
      </c>
      <c r="BF226" t="str">
        <f>HYPERLINK("http://dx.doi.org/10.1016/j.oceano.2020.04.005","http://dx.doi.org/10.1016/j.oceano.2020.04.005")</f>
        <v>http://dx.doi.org/10.1016/j.oceano.2020.04.005</v>
      </c>
      <c r="BG226" t="s">
        <v>74</v>
      </c>
      <c r="BH226" t="s">
        <v>74</v>
      </c>
      <c r="BI226">
        <v>8</v>
      </c>
      <c r="BJ226" t="s">
        <v>213</v>
      </c>
      <c r="BK226" t="s">
        <v>102</v>
      </c>
      <c r="BL226" t="s">
        <v>213</v>
      </c>
      <c r="BM226" t="s">
        <v>4899</v>
      </c>
      <c r="BN226" t="s">
        <v>74</v>
      </c>
      <c r="BO226" t="s">
        <v>105</v>
      </c>
      <c r="BP226" t="s">
        <v>74</v>
      </c>
      <c r="BQ226" t="s">
        <v>74</v>
      </c>
      <c r="BR226" t="s">
        <v>106</v>
      </c>
      <c r="BS226" t="s">
        <v>4900</v>
      </c>
      <c r="BT226" t="str">
        <f>HYPERLINK("https%3A%2F%2Fwww.webofscience.com%2Fwos%2Fwoscc%2Ffull-record%2FWOS:000547336400010","View Full Record in Web of Science")</f>
        <v>View Full Record in Web of Science</v>
      </c>
    </row>
    <row r="227" spans="1:72" x14ac:dyDescent="0.15">
      <c r="A227" t="s">
        <v>72</v>
      </c>
      <c r="B227" t="s">
        <v>4901</v>
      </c>
      <c r="C227" t="s">
        <v>74</v>
      </c>
      <c r="D227" t="s">
        <v>74</v>
      </c>
      <c r="E227" t="s">
        <v>74</v>
      </c>
      <c r="F227" t="s">
        <v>4902</v>
      </c>
      <c r="G227" t="s">
        <v>74</v>
      </c>
      <c r="H227" t="s">
        <v>74</v>
      </c>
      <c r="I227" t="s">
        <v>4903</v>
      </c>
      <c r="J227" t="s">
        <v>4904</v>
      </c>
      <c r="K227" t="s">
        <v>74</v>
      </c>
      <c r="L227" t="s">
        <v>74</v>
      </c>
      <c r="M227" t="s">
        <v>78</v>
      </c>
      <c r="N227" t="s">
        <v>79</v>
      </c>
      <c r="O227" t="s">
        <v>74</v>
      </c>
      <c r="P227" t="s">
        <v>74</v>
      </c>
      <c r="Q227" t="s">
        <v>74</v>
      </c>
      <c r="R227" t="s">
        <v>74</v>
      </c>
      <c r="S227" t="s">
        <v>74</v>
      </c>
      <c r="T227" t="s">
        <v>4905</v>
      </c>
      <c r="U227" t="s">
        <v>4906</v>
      </c>
      <c r="V227" t="s">
        <v>4907</v>
      </c>
      <c r="W227" t="s">
        <v>4908</v>
      </c>
      <c r="X227" t="s">
        <v>4909</v>
      </c>
      <c r="Y227" t="s">
        <v>4910</v>
      </c>
      <c r="Z227" t="s">
        <v>4911</v>
      </c>
      <c r="AA227" t="s">
        <v>4912</v>
      </c>
      <c r="AB227" t="s">
        <v>4913</v>
      </c>
      <c r="AC227" t="s">
        <v>4914</v>
      </c>
      <c r="AD227" t="s">
        <v>4915</v>
      </c>
      <c r="AE227" t="s">
        <v>4916</v>
      </c>
      <c r="AF227" t="s">
        <v>74</v>
      </c>
      <c r="AG227">
        <v>93</v>
      </c>
      <c r="AH227">
        <v>14</v>
      </c>
      <c r="AI227">
        <v>17</v>
      </c>
      <c r="AJ227">
        <v>3</v>
      </c>
      <c r="AK227">
        <v>38</v>
      </c>
      <c r="AL227" t="s">
        <v>124</v>
      </c>
      <c r="AM227" t="s">
        <v>93</v>
      </c>
      <c r="AN227" t="s">
        <v>125</v>
      </c>
      <c r="AO227" t="s">
        <v>4917</v>
      </c>
      <c r="AP227" t="s">
        <v>4918</v>
      </c>
      <c r="AQ227" t="s">
        <v>74</v>
      </c>
      <c r="AR227" t="s">
        <v>4919</v>
      </c>
      <c r="AS227" t="s">
        <v>4920</v>
      </c>
      <c r="AT227" t="s">
        <v>3950</v>
      </c>
      <c r="AU227">
        <v>2020</v>
      </c>
      <c r="AV227">
        <v>37</v>
      </c>
      <c r="AW227">
        <v>7</v>
      </c>
      <c r="AX227" t="s">
        <v>74</v>
      </c>
      <c r="AY227" t="s">
        <v>74</v>
      </c>
      <c r="AZ227" t="s">
        <v>74</v>
      </c>
      <c r="BA227" t="s">
        <v>74</v>
      </c>
      <c r="BB227">
        <v>2069</v>
      </c>
      <c r="BC227">
        <v>2083</v>
      </c>
      <c r="BD227" t="s">
        <v>74</v>
      </c>
      <c r="BE227" t="s">
        <v>4921</v>
      </c>
      <c r="BF227" t="str">
        <f>HYPERLINK("http://dx.doi.org/10.1093/molbev/msaa070","http://dx.doi.org/10.1093/molbev/msaa070")</f>
        <v>http://dx.doi.org/10.1093/molbev/msaa070</v>
      </c>
      <c r="BG227" t="s">
        <v>74</v>
      </c>
      <c r="BH227" t="s">
        <v>74</v>
      </c>
      <c r="BI227">
        <v>15</v>
      </c>
      <c r="BJ227" t="s">
        <v>4922</v>
      </c>
      <c r="BK227" t="s">
        <v>102</v>
      </c>
      <c r="BL227" t="s">
        <v>4922</v>
      </c>
      <c r="BM227" t="s">
        <v>4923</v>
      </c>
      <c r="BN227">
        <v>32170943</v>
      </c>
      <c r="BO227" t="s">
        <v>4924</v>
      </c>
      <c r="BP227" t="s">
        <v>74</v>
      </c>
      <c r="BQ227" t="s">
        <v>74</v>
      </c>
      <c r="BR227" t="s">
        <v>106</v>
      </c>
      <c r="BS227" t="s">
        <v>4925</v>
      </c>
      <c r="BT227" t="str">
        <f>HYPERLINK("https%3A%2F%2Fwww.webofscience.com%2Fwos%2Fwoscc%2Ffull-record%2FWOS:000546250500019","View Full Record in Web of Science")</f>
        <v>View Full Record in Web of Science</v>
      </c>
    </row>
    <row r="228" spans="1:72" x14ac:dyDescent="0.15">
      <c r="A228" t="s">
        <v>72</v>
      </c>
      <c r="B228" t="s">
        <v>4926</v>
      </c>
      <c r="C228" t="s">
        <v>74</v>
      </c>
      <c r="D228" t="s">
        <v>74</v>
      </c>
      <c r="E228" t="s">
        <v>74</v>
      </c>
      <c r="F228" t="s">
        <v>4927</v>
      </c>
      <c r="G228" t="s">
        <v>74</v>
      </c>
      <c r="H228" t="s">
        <v>74</v>
      </c>
      <c r="I228" t="s">
        <v>4928</v>
      </c>
      <c r="J228" t="s">
        <v>4929</v>
      </c>
      <c r="K228" t="s">
        <v>74</v>
      </c>
      <c r="L228" t="s">
        <v>74</v>
      </c>
      <c r="M228" t="s">
        <v>78</v>
      </c>
      <c r="N228" t="s">
        <v>79</v>
      </c>
      <c r="O228" t="s">
        <v>74</v>
      </c>
      <c r="P228" t="s">
        <v>74</v>
      </c>
      <c r="Q228" t="s">
        <v>74</v>
      </c>
      <c r="R228" t="s">
        <v>74</v>
      </c>
      <c r="S228" t="s">
        <v>74</v>
      </c>
      <c r="T228" t="s">
        <v>4930</v>
      </c>
      <c r="U228" t="s">
        <v>4931</v>
      </c>
      <c r="V228" t="s">
        <v>4932</v>
      </c>
      <c r="W228" t="s">
        <v>4933</v>
      </c>
      <c r="X228" t="s">
        <v>4934</v>
      </c>
      <c r="Y228" t="s">
        <v>4935</v>
      </c>
      <c r="Z228" t="s">
        <v>4936</v>
      </c>
      <c r="AA228" t="s">
        <v>4937</v>
      </c>
      <c r="AB228" t="s">
        <v>4938</v>
      </c>
      <c r="AC228" t="s">
        <v>74</v>
      </c>
      <c r="AD228" t="s">
        <v>74</v>
      </c>
      <c r="AE228" t="s">
        <v>74</v>
      </c>
      <c r="AF228" t="s">
        <v>74</v>
      </c>
      <c r="AG228">
        <v>49</v>
      </c>
      <c r="AH228">
        <v>13</v>
      </c>
      <c r="AI228">
        <v>15</v>
      </c>
      <c r="AJ228">
        <v>3</v>
      </c>
      <c r="AK228">
        <v>18</v>
      </c>
      <c r="AL228" t="s">
        <v>284</v>
      </c>
      <c r="AM228" t="s">
        <v>285</v>
      </c>
      <c r="AN228" t="s">
        <v>286</v>
      </c>
      <c r="AO228" t="s">
        <v>4939</v>
      </c>
      <c r="AP228" t="s">
        <v>74</v>
      </c>
      <c r="AQ228" t="s">
        <v>74</v>
      </c>
      <c r="AR228" t="s">
        <v>4940</v>
      </c>
      <c r="AS228" t="s">
        <v>4941</v>
      </c>
      <c r="AT228" t="s">
        <v>3950</v>
      </c>
      <c r="AU228">
        <v>2020</v>
      </c>
      <c r="AV228">
        <v>17</v>
      </c>
      <c r="AW228" t="s">
        <v>74</v>
      </c>
      <c r="AX228" t="s">
        <v>74</v>
      </c>
      <c r="AY228" t="s">
        <v>74</v>
      </c>
      <c r="AZ228" t="s">
        <v>74</v>
      </c>
      <c r="BA228" t="s">
        <v>74</v>
      </c>
      <c r="BB228" t="s">
        <v>74</v>
      </c>
      <c r="BC228" t="s">
        <v>74</v>
      </c>
      <c r="BD228">
        <v>100378</v>
      </c>
      <c r="BE228" t="s">
        <v>4942</v>
      </c>
      <c r="BF228" t="str">
        <f>HYPERLINK("http://dx.doi.org/10.1016/j.aqrep.2020.100378","http://dx.doi.org/10.1016/j.aqrep.2020.100378")</f>
        <v>http://dx.doi.org/10.1016/j.aqrep.2020.100378</v>
      </c>
      <c r="BG228" t="s">
        <v>74</v>
      </c>
      <c r="BH228" t="s">
        <v>74</v>
      </c>
      <c r="BI228">
        <v>8</v>
      </c>
      <c r="BJ228" t="s">
        <v>4943</v>
      </c>
      <c r="BK228" t="s">
        <v>102</v>
      </c>
      <c r="BL228" t="s">
        <v>4943</v>
      </c>
      <c r="BM228" t="s">
        <v>4944</v>
      </c>
      <c r="BN228" t="s">
        <v>74</v>
      </c>
      <c r="BO228" t="s">
        <v>4945</v>
      </c>
      <c r="BP228" t="s">
        <v>74</v>
      </c>
      <c r="BQ228" t="s">
        <v>74</v>
      </c>
      <c r="BR228" t="s">
        <v>106</v>
      </c>
      <c r="BS228" t="s">
        <v>4946</v>
      </c>
      <c r="BT228" t="str">
        <f>HYPERLINK("https%3A%2F%2Fwww.webofscience.com%2Fwos%2Fwoscc%2Ffull-record%2FWOS:000544614500017","View Full Record in Web of Science")</f>
        <v>View Full Record in Web of Science</v>
      </c>
    </row>
    <row r="229" spans="1:72" x14ac:dyDescent="0.15">
      <c r="A229" t="s">
        <v>72</v>
      </c>
      <c r="B229" t="s">
        <v>4947</v>
      </c>
      <c r="C229" t="s">
        <v>74</v>
      </c>
      <c r="D229" t="s">
        <v>74</v>
      </c>
      <c r="E229" t="s">
        <v>74</v>
      </c>
      <c r="F229" t="s">
        <v>4948</v>
      </c>
      <c r="G229" t="s">
        <v>74</v>
      </c>
      <c r="H229" t="s">
        <v>74</v>
      </c>
      <c r="I229" t="s">
        <v>4949</v>
      </c>
      <c r="J229" t="s">
        <v>4929</v>
      </c>
      <c r="K229" t="s">
        <v>74</v>
      </c>
      <c r="L229" t="s">
        <v>74</v>
      </c>
      <c r="M229" t="s">
        <v>78</v>
      </c>
      <c r="N229" t="s">
        <v>79</v>
      </c>
      <c r="O229" t="s">
        <v>74</v>
      </c>
      <c r="P229" t="s">
        <v>74</v>
      </c>
      <c r="Q229" t="s">
        <v>74</v>
      </c>
      <c r="R229" t="s">
        <v>74</v>
      </c>
      <c r="S229" t="s">
        <v>74</v>
      </c>
      <c r="T229" t="s">
        <v>4950</v>
      </c>
      <c r="U229" t="s">
        <v>4951</v>
      </c>
      <c r="V229" t="s">
        <v>4952</v>
      </c>
      <c r="W229" t="s">
        <v>4953</v>
      </c>
      <c r="X229" t="s">
        <v>4954</v>
      </c>
      <c r="Y229" t="s">
        <v>4955</v>
      </c>
      <c r="Z229" t="s">
        <v>4956</v>
      </c>
      <c r="AA229" t="s">
        <v>74</v>
      </c>
      <c r="AB229" t="s">
        <v>74</v>
      </c>
      <c r="AC229" t="s">
        <v>4957</v>
      </c>
      <c r="AD229" t="s">
        <v>4958</v>
      </c>
      <c r="AE229" t="s">
        <v>4959</v>
      </c>
      <c r="AF229" t="s">
        <v>74</v>
      </c>
      <c r="AG229">
        <v>57</v>
      </c>
      <c r="AH229">
        <v>7</v>
      </c>
      <c r="AI229">
        <v>10</v>
      </c>
      <c r="AJ229">
        <v>1</v>
      </c>
      <c r="AK229">
        <v>8</v>
      </c>
      <c r="AL229" t="s">
        <v>284</v>
      </c>
      <c r="AM229" t="s">
        <v>285</v>
      </c>
      <c r="AN229" t="s">
        <v>286</v>
      </c>
      <c r="AO229" t="s">
        <v>4939</v>
      </c>
      <c r="AP229" t="s">
        <v>74</v>
      </c>
      <c r="AQ229" t="s">
        <v>74</v>
      </c>
      <c r="AR229" t="s">
        <v>4940</v>
      </c>
      <c r="AS229" t="s">
        <v>4941</v>
      </c>
      <c r="AT229" t="s">
        <v>3950</v>
      </c>
      <c r="AU229">
        <v>2020</v>
      </c>
      <c r="AV229">
        <v>17</v>
      </c>
      <c r="AW229" t="s">
        <v>74</v>
      </c>
      <c r="AX229" t="s">
        <v>74</v>
      </c>
      <c r="AY229" t="s">
        <v>74</v>
      </c>
      <c r="AZ229" t="s">
        <v>74</v>
      </c>
      <c r="BA229" t="s">
        <v>74</v>
      </c>
      <c r="BB229" t="s">
        <v>74</v>
      </c>
      <c r="BC229" t="s">
        <v>74</v>
      </c>
      <c r="BD229">
        <v>100331</v>
      </c>
      <c r="BE229" t="s">
        <v>4960</v>
      </c>
      <c r="BF229" t="str">
        <f>HYPERLINK("http://dx.doi.org/10.1016/j.aqrep.2020.100331","http://dx.doi.org/10.1016/j.aqrep.2020.100331")</f>
        <v>http://dx.doi.org/10.1016/j.aqrep.2020.100331</v>
      </c>
      <c r="BG229" t="s">
        <v>74</v>
      </c>
      <c r="BH229" t="s">
        <v>74</v>
      </c>
      <c r="BI229">
        <v>7</v>
      </c>
      <c r="BJ229" t="s">
        <v>4943</v>
      </c>
      <c r="BK229" t="s">
        <v>102</v>
      </c>
      <c r="BL229" t="s">
        <v>4943</v>
      </c>
      <c r="BM229" t="s">
        <v>4961</v>
      </c>
      <c r="BN229" t="s">
        <v>74</v>
      </c>
      <c r="BO229" t="s">
        <v>105</v>
      </c>
      <c r="BP229" t="s">
        <v>74</v>
      </c>
      <c r="BQ229" t="s">
        <v>74</v>
      </c>
      <c r="BR229" t="s">
        <v>106</v>
      </c>
      <c r="BS229" t="s">
        <v>4962</v>
      </c>
      <c r="BT229" t="str">
        <f>HYPERLINK("https%3A%2F%2Fwww.webofscience.com%2Fwos%2Fwoscc%2Ffull-record%2FWOS:000544612200002","View Full Record in Web of Science")</f>
        <v>View Full Record in Web of Science</v>
      </c>
    </row>
    <row r="230" spans="1:72" x14ac:dyDescent="0.15">
      <c r="A230" t="s">
        <v>72</v>
      </c>
      <c r="B230" t="s">
        <v>4963</v>
      </c>
      <c r="C230" t="s">
        <v>74</v>
      </c>
      <c r="D230" t="s">
        <v>74</v>
      </c>
      <c r="E230" t="s">
        <v>74</v>
      </c>
      <c r="F230" t="s">
        <v>4964</v>
      </c>
      <c r="G230" t="s">
        <v>74</v>
      </c>
      <c r="H230" t="s">
        <v>74</v>
      </c>
      <c r="I230" t="s">
        <v>4965</v>
      </c>
      <c r="J230" t="s">
        <v>2200</v>
      </c>
      <c r="K230" t="s">
        <v>74</v>
      </c>
      <c r="L230" t="s">
        <v>74</v>
      </c>
      <c r="M230" t="s">
        <v>78</v>
      </c>
      <c r="N230" t="s">
        <v>79</v>
      </c>
      <c r="O230" t="s">
        <v>74</v>
      </c>
      <c r="P230" t="s">
        <v>74</v>
      </c>
      <c r="Q230" t="s">
        <v>74</v>
      </c>
      <c r="R230" t="s">
        <v>74</v>
      </c>
      <c r="S230" t="s">
        <v>74</v>
      </c>
      <c r="T230" t="s">
        <v>4966</v>
      </c>
      <c r="U230" t="s">
        <v>4967</v>
      </c>
      <c r="V230" t="s">
        <v>4968</v>
      </c>
      <c r="W230" t="s">
        <v>4969</v>
      </c>
      <c r="X230" t="s">
        <v>4970</v>
      </c>
      <c r="Y230" t="s">
        <v>4971</v>
      </c>
      <c r="Z230" t="s">
        <v>4972</v>
      </c>
      <c r="AA230" t="s">
        <v>4973</v>
      </c>
      <c r="AB230" t="s">
        <v>4974</v>
      </c>
      <c r="AC230" t="s">
        <v>74</v>
      </c>
      <c r="AD230" t="s">
        <v>74</v>
      </c>
      <c r="AE230" t="s">
        <v>74</v>
      </c>
      <c r="AF230" t="s">
        <v>74</v>
      </c>
      <c r="AG230">
        <v>91</v>
      </c>
      <c r="AH230">
        <v>16</v>
      </c>
      <c r="AI230">
        <v>18</v>
      </c>
      <c r="AJ230">
        <v>1</v>
      </c>
      <c r="AK230">
        <v>10</v>
      </c>
      <c r="AL230" t="s">
        <v>994</v>
      </c>
      <c r="AM230" t="s">
        <v>995</v>
      </c>
      <c r="AN230" t="s">
        <v>996</v>
      </c>
      <c r="AO230" t="s">
        <v>2213</v>
      </c>
      <c r="AP230" t="s">
        <v>2214</v>
      </c>
      <c r="AQ230" t="s">
        <v>74</v>
      </c>
      <c r="AR230" t="s">
        <v>2200</v>
      </c>
      <c r="AS230" t="s">
        <v>2215</v>
      </c>
      <c r="AT230" t="s">
        <v>3950</v>
      </c>
      <c r="AU230">
        <v>2020</v>
      </c>
      <c r="AV230">
        <v>43</v>
      </c>
      <c r="AW230">
        <v>7</v>
      </c>
      <c r="AX230" t="s">
        <v>74</v>
      </c>
      <c r="AY230" t="s">
        <v>74</v>
      </c>
      <c r="AZ230" t="s">
        <v>74</v>
      </c>
      <c r="BA230" t="s">
        <v>74</v>
      </c>
      <c r="BB230">
        <v>1014</v>
      </c>
      <c r="BC230">
        <v>1026</v>
      </c>
      <c r="BD230" t="s">
        <v>74</v>
      </c>
      <c r="BE230" t="s">
        <v>4975</v>
      </c>
      <c r="BF230" t="str">
        <f>HYPERLINK("http://dx.doi.org/10.1111/ecog.04939","http://dx.doi.org/10.1111/ecog.04939")</f>
        <v>http://dx.doi.org/10.1111/ecog.04939</v>
      </c>
      <c r="BG230" t="s">
        <v>74</v>
      </c>
      <c r="BH230" t="s">
        <v>74</v>
      </c>
      <c r="BI230">
        <v>13</v>
      </c>
      <c r="BJ230" t="s">
        <v>1004</v>
      </c>
      <c r="BK230" t="s">
        <v>102</v>
      </c>
      <c r="BL230" t="s">
        <v>1005</v>
      </c>
      <c r="BM230" t="s">
        <v>4976</v>
      </c>
      <c r="BN230" t="s">
        <v>74</v>
      </c>
      <c r="BO230" t="s">
        <v>4945</v>
      </c>
      <c r="BP230" t="s">
        <v>74</v>
      </c>
      <c r="BQ230" t="s">
        <v>74</v>
      </c>
      <c r="BR230" t="s">
        <v>106</v>
      </c>
      <c r="BS230" t="s">
        <v>4977</v>
      </c>
      <c r="BT230" t="str">
        <f>HYPERLINK("https%3A%2F%2Fwww.webofscience.com%2Fwos%2Fwoscc%2Ffull-record%2FWOS:000544487400007","View Full Record in Web of Science")</f>
        <v>View Full Record in Web of Science</v>
      </c>
    </row>
    <row r="231" spans="1:72" x14ac:dyDescent="0.15">
      <c r="A231" t="s">
        <v>72</v>
      </c>
      <c r="B231" t="s">
        <v>4978</v>
      </c>
      <c r="C231" t="s">
        <v>74</v>
      </c>
      <c r="D231" t="s">
        <v>74</v>
      </c>
      <c r="E231" t="s">
        <v>74</v>
      </c>
      <c r="F231" t="s">
        <v>4979</v>
      </c>
      <c r="G231" t="s">
        <v>74</v>
      </c>
      <c r="H231" t="s">
        <v>74</v>
      </c>
      <c r="I231" t="s">
        <v>4980</v>
      </c>
      <c r="J231" t="s">
        <v>4981</v>
      </c>
      <c r="K231" t="s">
        <v>74</v>
      </c>
      <c r="L231" t="s">
        <v>74</v>
      </c>
      <c r="M231" t="s">
        <v>78</v>
      </c>
      <c r="N231" t="s">
        <v>79</v>
      </c>
      <c r="O231" t="s">
        <v>74</v>
      </c>
      <c r="P231" t="s">
        <v>74</v>
      </c>
      <c r="Q231" t="s">
        <v>74</v>
      </c>
      <c r="R231" t="s">
        <v>74</v>
      </c>
      <c r="S231" t="s">
        <v>74</v>
      </c>
      <c r="T231" t="s">
        <v>4982</v>
      </c>
      <c r="U231" t="s">
        <v>4983</v>
      </c>
      <c r="V231" t="s">
        <v>4984</v>
      </c>
      <c r="W231" t="s">
        <v>4985</v>
      </c>
      <c r="X231" t="s">
        <v>4986</v>
      </c>
      <c r="Y231" t="s">
        <v>4987</v>
      </c>
      <c r="Z231" t="s">
        <v>4988</v>
      </c>
      <c r="AA231" t="s">
        <v>4989</v>
      </c>
      <c r="AB231" t="s">
        <v>4990</v>
      </c>
      <c r="AC231" t="s">
        <v>74</v>
      </c>
      <c r="AD231" t="s">
        <v>74</v>
      </c>
      <c r="AE231" t="s">
        <v>74</v>
      </c>
      <c r="AF231" t="s">
        <v>74</v>
      </c>
      <c r="AG231">
        <v>153</v>
      </c>
      <c r="AH231">
        <v>34</v>
      </c>
      <c r="AI231">
        <v>35</v>
      </c>
      <c r="AJ231">
        <v>2</v>
      </c>
      <c r="AK231">
        <v>23</v>
      </c>
      <c r="AL231" t="s">
        <v>4638</v>
      </c>
      <c r="AM231" t="s">
        <v>399</v>
      </c>
      <c r="AN231" t="s">
        <v>4867</v>
      </c>
      <c r="AO231" t="s">
        <v>4991</v>
      </c>
      <c r="AP231" t="s">
        <v>4992</v>
      </c>
      <c r="AQ231" t="s">
        <v>74</v>
      </c>
      <c r="AR231" t="s">
        <v>4993</v>
      </c>
      <c r="AS231" t="s">
        <v>4994</v>
      </c>
      <c r="AT231" t="s">
        <v>3950</v>
      </c>
      <c r="AU231">
        <v>2020</v>
      </c>
      <c r="AV231">
        <v>96</v>
      </c>
      <c r="AW231" t="s">
        <v>74</v>
      </c>
      <c r="AX231" t="s">
        <v>74</v>
      </c>
      <c r="AY231" t="s">
        <v>74</v>
      </c>
      <c r="AZ231" t="s">
        <v>74</v>
      </c>
      <c r="BA231" t="s">
        <v>74</v>
      </c>
      <c r="BB231">
        <v>161</v>
      </c>
      <c r="BC231">
        <v>183</v>
      </c>
      <c r="BD231" t="s">
        <v>74</v>
      </c>
      <c r="BE231" t="s">
        <v>4995</v>
      </c>
      <c r="BF231" t="str">
        <f>HYPERLINK("http://dx.doi.org/10.1017/qua.2019.76","http://dx.doi.org/10.1017/qua.2019.76")</f>
        <v>http://dx.doi.org/10.1017/qua.2019.76</v>
      </c>
      <c r="BG231" t="s">
        <v>74</v>
      </c>
      <c r="BH231" t="s">
        <v>74</v>
      </c>
      <c r="BI231">
        <v>23</v>
      </c>
      <c r="BJ231" t="s">
        <v>694</v>
      </c>
      <c r="BK231" t="s">
        <v>102</v>
      </c>
      <c r="BL231" t="s">
        <v>695</v>
      </c>
      <c r="BM231" t="s">
        <v>4996</v>
      </c>
      <c r="BN231" t="s">
        <v>74</v>
      </c>
      <c r="BO231" t="s">
        <v>976</v>
      </c>
      <c r="BP231" t="s">
        <v>74</v>
      </c>
      <c r="BQ231" t="s">
        <v>74</v>
      </c>
      <c r="BR231" t="s">
        <v>106</v>
      </c>
      <c r="BS231" t="s">
        <v>4997</v>
      </c>
      <c r="BT231" t="str">
        <f>HYPERLINK("https%3A%2F%2Fwww.webofscience.com%2Fwos%2Fwoscc%2Ffull-record%2FWOS:000544214200012","View Full Record in Web of Science")</f>
        <v>View Full Record in Web of Science</v>
      </c>
    </row>
    <row r="232" spans="1:72" x14ac:dyDescent="0.15">
      <c r="A232" t="s">
        <v>72</v>
      </c>
      <c r="B232" t="s">
        <v>4998</v>
      </c>
      <c r="C232" t="s">
        <v>74</v>
      </c>
      <c r="D232" t="s">
        <v>74</v>
      </c>
      <c r="E232" t="s">
        <v>74</v>
      </c>
      <c r="F232" t="s">
        <v>4999</v>
      </c>
      <c r="G232" t="s">
        <v>74</v>
      </c>
      <c r="H232" t="s">
        <v>74</v>
      </c>
      <c r="I232" t="s">
        <v>5000</v>
      </c>
      <c r="J232" t="s">
        <v>5001</v>
      </c>
      <c r="K232" t="s">
        <v>74</v>
      </c>
      <c r="L232" t="s">
        <v>74</v>
      </c>
      <c r="M232" t="s">
        <v>78</v>
      </c>
      <c r="N232" t="s">
        <v>79</v>
      </c>
      <c r="O232" t="s">
        <v>74</v>
      </c>
      <c r="P232" t="s">
        <v>74</v>
      </c>
      <c r="Q232" t="s">
        <v>74</v>
      </c>
      <c r="R232" t="s">
        <v>74</v>
      </c>
      <c r="S232" t="s">
        <v>74</v>
      </c>
      <c r="T232" t="s">
        <v>74</v>
      </c>
      <c r="U232" t="s">
        <v>5002</v>
      </c>
      <c r="V232" t="s">
        <v>5003</v>
      </c>
      <c r="W232" t="s">
        <v>5004</v>
      </c>
      <c r="X232" t="s">
        <v>5005</v>
      </c>
      <c r="Y232" t="s">
        <v>5006</v>
      </c>
      <c r="Z232" t="s">
        <v>74</v>
      </c>
      <c r="AA232" t="s">
        <v>5007</v>
      </c>
      <c r="AB232" t="s">
        <v>5008</v>
      </c>
      <c r="AC232" t="s">
        <v>5009</v>
      </c>
      <c r="AD232" t="s">
        <v>5010</v>
      </c>
      <c r="AE232" t="s">
        <v>5011</v>
      </c>
      <c r="AF232" t="s">
        <v>74</v>
      </c>
      <c r="AG232">
        <v>33</v>
      </c>
      <c r="AH232">
        <v>15</v>
      </c>
      <c r="AI232">
        <v>15</v>
      </c>
      <c r="AJ232">
        <v>0</v>
      </c>
      <c r="AK232">
        <v>2</v>
      </c>
      <c r="AL232" t="s">
        <v>5012</v>
      </c>
      <c r="AM232" t="s">
        <v>5013</v>
      </c>
      <c r="AN232" t="s">
        <v>5014</v>
      </c>
      <c r="AO232" t="s">
        <v>5015</v>
      </c>
      <c r="AP232" t="s">
        <v>5016</v>
      </c>
      <c r="AQ232" t="s">
        <v>74</v>
      </c>
      <c r="AR232" t="s">
        <v>5001</v>
      </c>
      <c r="AS232" t="s">
        <v>472</v>
      </c>
      <c r="AT232" t="s">
        <v>3950</v>
      </c>
      <c r="AU232">
        <v>2020</v>
      </c>
      <c r="AV232">
        <v>48</v>
      </c>
      <c r="AW232">
        <v>7</v>
      </c>
      <c r="AX232" t="s">
        <v>74</v>
      </c>
      <c r="AY232" t="s">
        <v>74</v>
      </c>
      <c r="AZ232" t="s">
        <v>74</v>
      </c>
      <c r="BA232" t="s">
        <v>74</v>
      </c>
      <c r="BB232">
        <v>683</v>
      </c>
      <c r="BC232">
        <v>687</v>
      </c>
      <c r="BD232" t="s">
        <v>74</v>
      </c>
      <c r="BE232" t="s">
        <v>5017</v>
      </c>
      <c r="BF232" t="str">
        <f>HYPERLINK("http://dx.doi.org/10.1130/G46733.1","http://dx.doi.org/10.1130/G46733.1")</f>
        <v>http://dx.doi.org/10.1130/G46733.1</v>
      </c>
      <c r="BG232" t="s">
        <v>74</v>
      </c>
      <c r="BH232" t="s">
        <v>74</v>
      </c>
      <c r="BI232">
        <v>5</v>
      </c>
      <c r="BJ232" t="s">
        <v>472</v>
      </c>
      <c r="BK232" t="s">
        <v>102</v>
      </c>
      <c r="BL232" t="s">
        <v>472</v>
      </c>
      <c r="BM232" t="s">
        <v>5018</v>
      </c>
      <c r="BN232" t="s">
        <v>74</v>
      </c>
      <c r="BO232" t="s">
        <v>1802</v>
      </c>
      <c r="BP232" t="s">
        <v>74</v>
      </c>
      <c r="BQ232" t="s">
        <v>74</v>
      </c>
      <c r="BR232" t="s">
        <v>106</v>
      </c>
      <c r="BS232" t="s">
        <v>5019</v>
      </c>
      <c r="BT232" t="str">
        <f>HYPERLINK("https%3A%2F%2Fwww.webofscience.com%2Fwos%2Fwoscc%2Ffull-record%2FWOS:000541883600011","View Full Record in Web of Science")</f>
        <v>View Full Record in Web of Science</v>
      </c>
    </row>
    <row r="233" spans="1:72" x14ac:dyDescent="0.15">
      <c r="A233" t="s">
        <v>72</v>
      </c>
      <c r="B233" t="s">
        <v>5020</v>
      </c>
      <c r="C233" t="s">
        <v>74</v>
      </c>
      <c r="D233" t="s">
        <v>74</v>
      </c>
      <c r="E233" t="s">
        <v>74</v>
      </c>
      <c r="F233" t="s">
        <v>5021</v>
      </c>
      <c r="G233" t="s">
        <v>74</v>
      </c>
      <c r="H233" t="s">
        <v>74</v>
      </c>
      <c r="I233" t="s">
        <v>5022</v>
      </c>
      <c r="J233" t="s">
        <v>5023</v>
      </c>
      <c r="K233" t="s">
        <v>74</v>
      </c>
      <c r="L233" t="s">
        <v>74</v>
      </c>
      <c r="M233" t="s">
        <v>78</v>
      </c>
      <c r="N233" t="s">
        <v>79</v>
      </c>
      <c r="O233" t="s">
        <v>74</v>
      </c>
      <c r="P233" t="s">
        <v>74</v>
      </c>
      <c r="Q233" t="s">
        <v>74</v>
      </c>
      <c r="R233" t="s">
        <v>74</v>
      </c>
      <c r="S233" t="s">
        <v>74</v>
      </c>
      <c r="T233" t="s">
        <v>5024</v>
      </c>
      <c r="U233" t="s">
        <v>5025</v>
      </c>
      <c r="V233" t="s">
        <v>5026</v>
      </c>
      <c r="W233" t="s">
        <v>5027</v>
      </c>
      <c r="X233" t="s">
        <v>5028</v>
      </c>
      <c r="Y233" t="s">
        <v>5029</v>
      </c>
      <c r="Z233" t="s">
        <v>5030</v>
      </c>
      <c r="AA233" t="s">
        <v>5031</v>
      </c>
      <c r="AB233" t="s">
        <v>74</v>
      </c>
      <c r="AC233" t="s">
        <v>5032</v>
      </c>
      <c r="AD233" t="s">
        <v>5033</v>
      </c>
      <c r="AE233" t="s">
        <v>5034</v>
      </c>
      <c r="AF233" t="s">
        <v>74</v>
      </c>
      <c r="AG233">
        <v>44</v>
      </c>
      <c r="AH233">
        <v>2</v>
      </c>
      <c r="AI233">
        <v>2</v>
      </c>
      <c r="AJ233">
        <v>0</v>
      </c>
      <c r="AK233">
        <v>5</v>
      </c>
      <c r="AL233" t="s">
        <v>178</v>
      </c>
      <c r="AM233" t="s">
        <v>179</v>
      </c>
      <c r="AN233" t="s">
        <v>180</v>
      </c>
      <c r="AO233" t="s">
        <v>5035</v>
      </c>
      <c r="AP233" t="s">
        <v>5036</v>
      </c>
      <c r="AQ233" t="s">
        <v>74</v>
      </c>
      <c r="AR233" t="s">
        <v>5037</v>
      </c>
      <c r="AS233" t="s">
        <v>5038</v>
      </c>
      <c r="AT233" t="s">
        <v>3950</v>
      </c>
      <c r="AU233">
        <v>2020</v>
      </c>
      <c r="AV233">
        <v>33</v>
      </c>
      <c r="AW233">
        <v>13</v>
      </c>
      <c r="AX233" t="s">
        <v>74</v>
      </c>
      <c r="AY233" t="s">
        <v>74</v>
      </c>
      <c r="AZ233" t="s">
        <v>74</v>
      </c>
      <c r="BA233" t="s">
        <v>74</v>
      </c>
      <c r="BB233">
        <v>5713</v>
      </c>
      <c r="BC233">
        <v>5725</v>
      </c>
      <c r="BD233" t="s">
        <v>74</v>
      </c>
      <c r="BE233" t="s">
        <v>5039</v>
      </c>
      <c r="BF233" t="str">
        <f>HYPERLINK("http://dx.doi.org/10.1175/JCLI-D-19-0531.1","http://dx.doi.org/10.1175/JCLI-D-19-0531.1")</f>
        <v>http://dx.doi.org/10.1175/JCLI-D-19-0531.1</v>
      </c>
      <c r="BG233" t="s">
        <v>74</v>
      </c>
      <c r="BH233" t="s">
        <v>74</v>
      </c>
      <c r="BI233">
        <v>13</v>
      </c>
      <c r="BJ233" t="s">
        <v>159</v>
      </c>
      <c r="BK233" t="s">
        <v>102</v>
      </c>
      <c r="BL233" t="s">
        <v>159</v>
      </c>
      <c r="BM233" t="s">
        <v>5040</v>
      </c>
      <c r="BN233" t="s">
        <v>74</v>
      </c>
      <c r="BO233" t="s">
        <v>1657</v>
      </c>
      <c r="BP233" t="s">
        <v>74</v>
      </c>
      <c r="BQ233" t="s">
        <v>74</v>
      </c>
      <c r="BR233" t="s">
        <v>106</v>
      </c>
      <c r="BS233" t="s">
        <v>5041</v>
      </c>
      <c r="BT233" t="str">
        <f>HYPERLINK("https%3A%2F%2Fwww.webofscience.com%2Fwos%2Fwoscc%2Ffull-record%2FWOS:000541589400019","View Full Record in Web of Science")</f>
        <v>View Full Record in Web of Science</v>
      </c>
    </row>
    <row r="234" spans="1:72" x14ac:dyDescent="0.15">
      <c r="A234" t="s">
        <v>72</v>
      </c>
      <c r="B234" t="s">
        <v>5042</v>
      </c>
      <c r="C234" t="s">
        <v>74</v>
      </c>
      <c r="D234" t="s">
        <v>74</v>
      </c>
      <c r="E234" t="s">
        <v>74</v>
      </c>
      <c r="F234" t="s">
        <v>5043</v>
      </c>
      <c r="G234" t="s">
        <v>74</v>
      </c>
      <c r="H234" t="s">
        <v>74</v>
      </c>
      <c r="I234" t="s">
        <v>5044</v>
      </c>
      <c r="J234" t="s">
        <v>5023</v>
      </c>
      <c r="K234" t="s">
        <v>74</v>
      </c>
      <c r="L234" t="s">
        <v>74</v>
      </c>
      <c r="M234" t="s">
        <v>78</v>
      </c>
      <c r="N234" t="s">
        <v>79</v>
      </c>
      <c r="O234" t="s">
        <v>74</v>
      </c>
      <c r="P234" t="s">
        <v>74</v>
      </c>
      <c r="Q234" t="s">
        <v>74</v>
      </c>
      <c r="R234" t="s">
        <v>74</v>
      </c>
      <c r="S234" t="s">
        <v>74</v>
      </c>
      <c r="T234" t="s">
        <v>5045</v>
      </c>
      <c r="U234" t="s">
        <v>5046</v>
      </c>
      <c r="V234" t="s">
        <v>5047</v>
      </c>
      <c r="W234" t="s">
        <v>5048</v>
      </c>
      <c r="X234" t="s">
        <v>5049</v>
      </c>
      <c r="Y234" t="s">
        <v>5050</v>
      </c>
      <c r="Z234" t="s">
        <v>5051</v>
      </c>
      <c r="AA234" t="s">
        <v>5052</v>
      </c>
      <c r="AB234" t="s">
        <v>5053</v>
      </c>
      <c r="AC234" t="s">
        <v>5054</v>
      </c>
      <c r="AD234" t="s">
        <v>5055</v>
      </c>
      <c r="AE234" t="s">
        <v>5056</v>
      </c>
      <c r="AF234" t="s">
        <v>74</v>
      </c>
      <c r="AG234">
        <v>57</v>
      </c>
      <c r="AH234">
        <v>12</v>
      </c>
      <c r="AI234">
        <v>15</v>
      </c>
      <c r="AJ234">
        <v>1</v>
      </c>
      <c r="AK234">
        <v>19</v>
      </c>
      <c r="AL234" t="s">
        <v>178</v>
      </c>
      <c r="AM234" t="s">
        <v>179</v>
      </c>
      <c r="AN234" t="s">
        <v>5057</v>
      </c>
      <c r="AO234" t="s">
        <v>5035</v>
      </c>
      <c r="AP234" t="s">
        <v>5036</v>
      </c>
      <c r="AQ234" t="s">
        <v>74</v>
      </c>
      <c r="AR234" t="s">
        <v>5037</v>
      </c>
      <c r="AS234" t="s">
        <v>5038</v>
      </c>
      <c r="AT234" t="s">
        <v>3950</v>
      </c>
      <c r="AU234">
        <v>2020</v>
      </c>
      <c r="AV234">
        <v>33</v>
      </c>
      <c r="AW234">
        <v>13</v>
      </c>
      <c r="AX234" t="s">
        <v>74</v>
      </c>
      <c r="AY234" t="s">
        <v>74</v>
      </c>
      <c r="AZ234" t="s">
        <v>74</v>
      </c>
      <c r="BA234" t="s">
        <v>74</v>
      </c>
      <c r="BB234">
        <v>5743</v>
      </c>
      <c r="BC234">
        <v>5765</v>
      </c>
      <c r="BD234" t="s">
        <v>74</v>
      </c>
      <c r="BE234" t="s">
        <v>5058</v>
      </c>
      <c r="BF234" t="str">
        <f>HYPERLINK("http://dx.doi.org/10.1175/JCLI-D-19-0674.1","http://dx.doi.org/10.1175/JCLI-D-19-0674.1")</f>
        <v>http://dx.doi.org/10.1175/JCLI-D-19-0674.1</v>
      </c>
      <c r="BG234" t="s">
        <v>74</v>
      </c>
      <c r="BH234" t="s">
        <v>74</v>
      </c>
      <c r="BI234">
        <v>23</v>
      </c>
      <c r="BJ234" t="s">
        <v>159</v>
      </c>
      <c r="BK234" t="s">
        <v>102</v>
      </c>
      <c r="BL234" t="s">
        <v>159</v>
      </c>
      <c r="BM234" t="s">
        <v>5040</v>
      </c>
      <c r="BN234" t="s">
        <v>74</v>
      </c>
      <c r="BO234" t="s">
        <v>1657</v>
      </c>
      <c r="BP234" t="s">
        <v>74</v>
      </c>
      <c r="BQ234" t="s">
        <v>74</v>
      </c>
      <c r="BR234" t="s">
        <v>106</v>
      </c>
      <c r="BS234" t="s">
        <v>5059</v>
      </c>
      <c r="BT234" t="str">
        <f>HYPERLINK("https%3A%2F%2Fwww.webofscience.com%2Fwos%2Fwoscc%2Ffull-record%2FWOS:000541589400021","View Full Record in Web of Science")</f>
        <v>View Full Record in Web of Science</v>
      </c>
    </row>
    <row r="235" spans="1:72" x14ac:dyDescent="0.15">
      <c r="A235" t="s">
        <v>72</v>
      </c>
      <c r="B235" t="s">
        <v>5060</v>
      </c>
      <c r="C235" t="s">
        <v>74</v>
      </c>
      <c r="D235" t="s">
        <v>74</v>
      </c>
      <c r="E235" t="s">
        <v>74</v>
      </c>
      <c r="F235" t="s">
        <v>5061</v>
      </c>
      <c r="G235" t="s">
        <v>74</v>
      </c>
      <c r="H235" t="s">
        <v>74</v>
      </c>
      <c r="I235" t="s">
        <v>5062</v>
      </c>
      <c r="J235" t="s">
        <v>591</v>
      </c>
      <c r="K235" t="s">
        <v>74</v>
      </c>
      <c r="L235" t="s">
        <v>74</v>
      </c>
      <c r="M235" t="s">
        <v>78</v>
      </c>
      <c r="N235" t="s">
        <v>79</v>
      </c>
      <c r="O235" t="s">
        <v>74</v>
      </c>
      <c r="P235" t="s">
        <v>74</v>
      </c>
      <c r="Q235" t="s">
        <v>74</v>
      </c>
      <c r="R235" t="s">
        <v>74</v>
      </c>
      <c r="S235" t="s">
        <v>74</v>
      </c>
      <c r="T235" t="s">
        <v>5063</v>
      </c>
      <c r="U235" t="s">
        <v>74</v>
      </c>
      <c r="V235" t="s">
        <v>5064</v>
      </c>
      <c r="W235" t="s">
        <v>5065</v>
      </c>
      <c r="X235" t="s">
        <v>5066</v>
      </c>
      <c r="Y235" t="s">
        <v>5067</v>
      </c>
      <c r="Z235" t="s">
        <v>5068</v>
      </c>
      <c r="AA235" t="s">
        <v>74</v>
      </c>
      <c r="AB235" t="s">
        <v>74</v>
      </c>
      <c r="AC235" t="s">
        <v>5069</v>
      </c>
      <c r="AD235" t="s">
        <v>5070</v>
      </c>
      <c r="AE235" t="s">
        <v>5071</v>
      </c>
      <c r="AF235" t="s">
        <v>74</v>
      </c>
      <c r="AG235">
        <v>25</v>
      </c>
      <c r="AH235">
        <v>3</v>
      </c>
      <c r="AI235">
        <v>3</v>
      </c>
      <c r="AJ235">
        <v>1</v>
      </c>
      <c r="AK235">
        <v>3</v>
      </c>
      <c r="AL235" t="s">
        <v>578</v>
      </c>
      <c r="AM235" t="s">
        <v>93</v>
      </c>
      <c r="AN235" t="s">
        <v>579</v>
      </c>
      <c r="AO235" t="s">
        <v>601</v>
      </c>
      <c r="AP235" t="s">
        <v>602</v>
      </c>
      <c r="AQ235" t="s">
        <v>74</v>
      </c>
      <c r="AR235" t="s">
        <v>603</v>
      </c>
      <c r="AS235" t="s">
        <v>604</v>
      </c>
      <c r="AT235" t="s">
        <v>3950</v>
      </c>
      <c r="AU235">
        <v>2020</v>
      </c>
      <c r="AV235">
        <v>117</v>
      </c>
      <c r="AW235" t="s">
        <v>74</v>
      </c>
      <c r="AX235" t="s">
        <v>74</v>
      </c>
      <c r="AY235" t="s">
        <v>74</v>
      </c>
      <c r="AZ235" t="s">
        <v>74</v>
      </c>
      <c r="BA235" t="s">
        <v>74</v>
      </c>
      <c r="BB235" t="s">
        <v>74</v>
      </c>
      <c r="BC235" t="s">
        <v>74</v>
      </c>
      <c r="BD235">
        <v>103880</v>
      </c>
      <c r="BE235" t="s">
        <v>5072</v>
      </c>
      <c r="BF235" t="str">
        <f>HYPERLINK("http://dx.doi.org/10.1016/j.marpol.2020.103880","http://dx.doi.org/10.1016/j.marpol.2020.103880")</f>
        <v>http://dx.doi.org/10.1016/j.marpol.2020.103880</v>
      </c>
      <c r="BG235" t="s">
        <v>74</v>
      </c>
      <c r="BH235" t="s">
        <v>74</v>
      </c>
      <c r="BI235">
        <v>11</v>
      </c>
      <c r="BJ235" t="s">
        <v>606</v>
      </c>
      <c r="BK235" t="s">
        <v>607</v>
      </c>
      <c r="BL235" t="s">
        <v>608</v>
      </c>
      <c r="BM235" t="s">
        <v>5073</v>
      </c>
      <c r="BN235" t="s">
        <v>74</v>
      </c>
      <c r="BO235" t="s">
        <v>189</v>
      </c>
      <c r="BP235" t="s">
        <v>74</v>
      </c>
      <c r="BQ235" t="s">
        <v>74</v>
      </c>
      <c r="BR235" t="s">
        <v>106</v>
      </c>
      <c r="BS235" t="s">
        <v>5074</v>
      </c>
      <c r="BT235" t="str">
        <f>HYPERLINK("https%3A%2F%2Fwww.webofscience.com%2Fwos%2Fwoscc%2Ffull-record%2FWOS:000541263200013","View Full Record in Web of Science")</f>
        <v>View Full Record in Web of Science</v>
      </c>
    </row>
    <row r="236" spans="1:72" x14ac:dyDescent="0.15">
      <c r="A236" t="s">
        <v>72</v>
      </c>
      <c r="B236" t="s">
        <v>5075</v>
      </c>
      <c r="C236" t="s">
        <v>74</v>
      </c>
      <c r="D236" t="s">
        <v>74</v>
      </c>
      <c r="E236" t="s">
        <v>74</v>
      </c>
      <c r="F236" t="s">
        <v>5076</v>
      </c>
      <c r="G236" t="s">
        <v>74</v>
      </c>
      <c r="H236" t="s">
        <v>74</v>
      </c>
      <c r="I236" t="s">
        <v>5077</v>
      </c>
      <c r="J236" t="s">
        <v>591</v>
      </c>
      <c r="K236" t="s">
        <v>74</v>
      </c>
      <c r="L236" t="s">
        <v>74</v>
      </c>
      <c r="M236" t="s">
        <v>78</v>
      </c>
      <c r="N236" t="s">
        <v>79</v>
      </c>
      <c r="O236" t="s">
        <v>74</v>
      </c>
      <c r="P236" t="s">
        <v>74</v>
      </c>
      <c r="Q236" t="s">
        <v>74</v>
      </c>
      <c r="R236" t="s">
        <v>74</v>
      </c>
      <c r="S236" t="s">
        <v>74</v>
      </c>
      <c r="T236" t="s">
        <v>5078</v>
      </c>
      <c r="U236" t="s">
        <v>74</v>
      </c>
      <c r="V236" t="s">
        <v>5079</v>
      </c>
      <c r="W236" t="s">
        <v>5080</v>
      </c>
      <c r="X236" t="s">
        <v>5081</v>
      </c>
      <c r="Y236" t="s">
        <v>5082</v>
      </c>
      <c r="Z236" t="s">
        <v>5083</v>
      </c>
      <c r="AA236" t="s">
        <v>5084</v>
      </c>
      <c r="AB236" t="s">
        <v>74</v>
      </c>
      <c r="AC236" t="s">
        <v>74</v>
      </c>
      <c r="AD236" t="s">
        <v>74</v>
      </c>
      <c r="AE236" t="s">
        <v>74</v>
      </c>
      <c r="AF236" t="s">
        <v>74</v>
      </c>
      <c r="AG236">
        <v>27</v>
      </c>
      <c r="AH236">
        <v>1</v>
      </c>
      <c r="AI236">
        <v>1</v>
      </c>
      <c r="AJ236">
        <v>1</v>
      </c>
      <c r="AK236">
        <v>10</v>
      </c>
      <c r="AL236" t="s">
        <v>578</v>
      </c>
      <c r="AM236" t="s">
        <v>93</v>
      </c>
      <c r="AN236" t="s">
        <v>579</v>
      </c>
      <c r="AO236" t="s">
        <v>601</v>
      </c>
      <c r="AP236" t="s">
        <v>602</v>
      </c>
      <c r="AQ236" t="s">
        <v>74</v>
      </c>
      <c r="AR236" t="s">
        <v>603</v>
      </c>
      <c r="AS236" t="s">
        <v>604</v>
      </c>
      <c r="AT236" t="s">
        <v>3950</v>
      </c>
      <c r="AU236">
        <v>2020</v>
      </c>
      <c r="AV236">
        <v>117</v>
      </c>
      <c r="AW236" t="s">
        <v>74</v>
      </c>
      <c r="AX236" t="s">
        <v>74</v>
      </c>
      <c r="AY236" t="s">
        <v>74</v>
      </c>
      <c r="AZ236" t="s">
        <v>74</v>
      </c>
      <c r="BA236" t="s">
        <v>74</v>
      </c>
      <c r="BB236" t="s">
        <v>74</v>
      </c>
      <c r="BC236" t="s">
        <v>74</v>
      </c>
      <c r="BD236">
        <v>103944</v>
      </c>
      <c r="BE236" t="s">
        <v>5085</v>
      </c>
      <c r="BF236" t="str">
        <f>HYPERLINK("http://dx.doi.org/10.1016/j.marpol.2020.103944","http://dx.doi.org/10.1016/j.marpol.2020.103944")</f>
        <v>http://dx.doi.org/10.1016/j.marpol.2020.103944</v>
      </c>
      <c r="BG236" t="s">
        <v>74</v>
      </c>
      <c r="BH236" t="s">
        <v>74</v>
      </c>
      <c r="BI236">
        <v>8</v>
      </c>
      <c r="BJ236" t="s">
        <v>606</v>
      </c>
      <c r="BK236" t="s">
        <v>607</v>
      </c>
      <c r="BL236" t="s">
        <v>608</v>
      </c>
      <c r="BM236" t="s">
        <v>5073</v>
      </c>
      <c r="BN236" t="s">
        <v>74</v>
      </c>
      <c r="BO236" t="s">
        <v>74</v>
      </c>
      <c r="BP236" t="s">
        <v>74</v>
      </c>
      <c r="BQ236" t="s">
        <v>74</v>
      </c>
      <c r="BR236" t="s">
        <v>106</v>
      </c>
      <c r="BS236" t="s">
        <v>5086</v>
      </c>
      <c r="BT236" t="str">
        <f>HYPERLINK("https%3A%2F%2Fwww.webofscience.com%2Fwos%2Fwoscc%2Ffull-record%2FWOS:000541263200038","View Full Record in Web of Science")</f>
        <v>View Full Record in Web of Science</v>
      </c>
    </row>
    <row r="237" spans="1:72" x14ac:dyDescent="0.15">
      <c r="A237" t="s">
        <v>72</v>
      </c>
      <c r="B237" t="s">
        <v>5087</v>
      </c>
      <c r="C237" t="s">
        <v>74</v>
      </c>
      <c r="D237" t="s">
        <v>74</v>
      </c>
      <c r="E237" t="s">
        <v>74</v>
      </c>
      <c r="F237" t="s">
        <v>5088</v>
      </c>
      <c r="G237" t="s">
        <v>74</v>
      </c>
      <c r="H237" t="s">
        <v>74</v>
      </c>
      <c r="I237" t="s">
        <v>5089</v>
      </c>
      <c r="J237" t="s">
        <v>5090</v>
      </c>
      <c r="K237" t="s">
        <v>74</v>
      </c>
      <c r="L237" t="s">
        <v>74</v>
      </c>
      <c r="M237" t="s">
        <v>78</v>
      </c>
      <c r="N237" t="s">
        <v>79</v>
      </c>
      <c r="O237" t="s">
        <v>74</v>
      </c>
      <c r="P237" t="s">
        <v>74</v>
      </c>
      <c r="Q237" t="s">
        <v>74</v>
      </c>
      <c r="R237" t="s">
        <v>74</v>
      </c>
      <c r="S237" t="s">
        <v>74</v>
      </c>
      <c r="T237" t="s">
        <v>5091</v>
      </c>
      <c r="U237" t="s">
        <v>5092</v>
      </c>
      <c r="V237" t="s">
        <v>5093</v>
      </c>
      <c r="W237" t="s">
        <v>5094</v>
      </c>
      <c r="X237" t="s">
        <v>5095</v>
      </c>
      <c r="Y237" t="s">
        <v>5096</v>
      </c>
      <c r="Z237" t="s">
        <v>5097</v>
      </c>
      <c r="AA237" t="s">
        <v>5098</v>
      </c>
      <c r="AB237" t="s">
        <v>5099</v>
      </c>
      <c r="AC237" t="s">
        <v>5100</v>
      </c>
      <c r="AD237" t="s">
        <v>5101</v>
      </c>
      <c r="AE237" t="s">
        <v>5102</v>
      </c>
      <c r="AF237" t="s">
        <v>74</v>
      </c>
      <c r="AG237">
        <v>42</v>
      </c>
      <c r="AH237">
        <v>6</v>
      </c>
      <c r="AI237">
        <v>6</v>
      </c>
      <c r="AJ237">
        <v>0</v>
      </c>
      <c r="AK237">
        <v>3</v>
      </c>
      <c r="AL237" t="s">
        <v>5103</v>
      </c>
      <c r="AM237" t="s">
        <v>5104</v>
      </c>
      <c r="AN237" t="s">
        <v>5105</v>
      </c>
      <c r="AO237" t="s">
        <v>5106</v>
      </c>
      <c r="AP237" t="s">
        <v>74</v>
      </c>
      <c r="AQ237" t="s">
        <v>74</v>
      </c>
      <c r="AR237" t="s">
        <v>5107</v>
      </c>
      <c r="AS237" t="s">
        <v>5108</v>
      </c>
      <c r="AT237" t="s">
        <v>3950</v>
      </c>
      <c r="AU237">
        <v>2020</v>
      </c>
      <c r="AV237">
        <v>11</v>
      </c>
      <c r="AW237">
        <v>4</v>
      </c>
      <c r="AX237" t="s">
        <v>74</v>
      </c>
      <c r="AY237" t="s">
        <v>74</v>
      </c>
      <c r="AZ237" t="s">
        <v>74</v>
      </c>
      <c r="BA237" t="s">
        <v>74</v>
      </c>
      <c r="BB237">
        <v>1441</v>
      </c>
      <c r="BC237">
        <v>1459</v>
      </c>
      <c r="BD237" t="s">
        <v>74</v>
      </c>
      <c r="BE237" t="s">
        <v>5109</v>
      </c>
      <c r="BF237" t="str">
        <f>HYPERLINK("http://dx.doi.org/10.1016/j.gsf.2020.01.001","http://dx.doi.org/10.1016/j.gsf.2020.01.001")</f>
        <v>http://dx.doi.org/10.1016/j.gsf.2020.01.001</v>
      </c>
      <c r="BG237" t="s">
        <v>74</v>
      </c>
      <c r="BH237" t="s">
        <v>74</v>
      </c>
      <c r="BI237">
        <v>19</v>
      </c>
      <c r="BJ237" t="s">
        <v>471</v>
      </c>
      <c r="BK237" t="s">
        <v>102</v>
      </c>
      <c r="BL237" t="s">
        <v>472</v>
      </c>
      <c r="BM237" t="s">
        <v>5110</v>
      </c>
      <c r="BN237" t="s">
        <v>74</v>
      </c>
      <c r="BO237" t="s">
        <v>105</v>
      </c>
      <c r="BP237" t="s">
        <v>74</v>
      </c>
      <c r="BQ237" t="s">
        <v>74</v>
      </c>
      <c r="BR237" t="s">
        <v>106</v>
      </c>
      <c r="BS237" t="s">
        <v>5111</v>
      </c>
      <c r="BT237" t="str">
        <f>HYPERLINK("https%3A%2F%2Fwww.webofscience.com%2Fwos%2Fwoscc%2Ffull-record%2FWOS:000541519300026","View Full Record in Web of Science")</f>
        <v>View Full Record in Web of Science</v>
      </c>
    </row>
    <row r="238" spans="1:72" x14ac:dyDescent="0.15">
      <c r="A238" t="s">
        <v>72</v>
      </c>
      <c r="B238" t="s">
        <v>5112</v>
      </c>
      <c r="C238" t="s">
        <v>74</v>
      </c>
      <c r="D238" t="s">
        <v>74</v>
      </c>
      <c r="E238" t="s">
        <v>74</v>
      </c>
      <c r="F238" t="s">
        <v>5113</v>
      </c>
      <c r="G238" t="s">
        <v>74</v>
      </c>
      <c r="H238" t="s">
        <v>74</v>
      </c>
      <c r="I238" t="s">
        <v>5114</v>
      </c>
      <c r="J238" t="s">
        <v>957</v>
      </c>
      <c r="K238" t="s">
        <v>74</v>
      </c>
      <c r="L238" t="s">
        <v>74</v>
      </c>
      <c r="M238" t="s">
        <v>78</v>
      </c>
      <c r="N238" t="s">
        <v>79</v>
      </c>
      <c r="O238" t="s">
        <v>74</v>
      </c>
      <c r="P238" t="s">
        <v>74</v>
      </c>
      <c r="Q238" t="s">
        <v>74</v>
      </c>
      <c r="R238" t="s">
        <v>74</v>
      </c>
      <c r="S238" t="s">
        <v>74</v>
      </c>
      <c r="T238" t="s">
        <v>5115</v>
      </c>
      <c r="U238" t="s">
        <v>5116</v>
      </c>
      <c r="V238" t="s">
        <v>5117</v>
      </c>
      <c r="W238" t="s">
        <v>5118</v>
      </c>
      <c r="X238" t="s">
        <v>5119</v>
      </c>
      <c r="Y238" t="s">
        <v>5120</v>
      </c>
      <c r="Z238" t="s">
        <v>5121</v>
      </c>
      <c r="AA238" t="s">
        <v>5122</v>
      </c>
      <c r="AB238" t="s">
        <v>5123</v>
      </c>
      <c r="AC238" t="s">
        <v>5124</v>
      </c>
      <c r="AD238" t="s">
        <v>5125</v>
      </c>
      <c r="AE238" t="s">
        <v>5126</v>
      </c>
      <c r="AF238" t="s">
        <v>74</v>
      </c>
      <c r="AG238">
        <v>59</v>
      </c>
      <c r="AH238">
        <v>24</v>
      </c>
      <c r="AI238">
        <v>28</v>
      </c>
      <c r="AJ238">
        <v>4</v>
      </c>
      <c r="AK238">
        <v>101</v>
      </c>
      <c r="AL238" t="s">
        <v>284</v>
      </c>
      <c r="AM238" t="s">
        <v>285</v>
      </c>
      <c r="AN238" t="s">
        <v>286</v>
      </c>
      <c r="AO238" t="s">
        <v>969</v>
      </c>
      <c r="AP238" t="s">
        <v>970</v>
      </c>
      <c r="AQ238" t="s">
        <v>74</v>
      </c>
      <c r="AR238" t="s">
        <v>957</v>
      </c>
      <c r="AS238" t="s">
        <v>971</v>
      </c>
      <c r="AT238" t="s">
        <v>3950</v>
      </c>
      <c r="AU238">
        <v>2020</v>
      </c>
      <c r="AV238">
        <v>190</v>
      </c>
      <c r="AW238" t="s">
        <v>74</v>
      </c>
      <c r="AX238" t="s">
        <v>74</v>
      </c>
      <c r="AY238" t="s">
        <v>74</v>
      </c>
      <c r="AZ238" t="s">
        <v>74</v>
      </c>
      <c r="BA238" t="s">
        <v>74</v>
      </c>
      <c r="BB238" t="s">
        <v>74</v>
      </c>
      <c r="BC238" t="s">
        <v>74</v>
      </c>
      <c r="BD238">
        <v>104562</v>
      </c>
      <c r="BE238" t="s">
        <v>5127</v>
      </c>
      <c r="BF238" t="str">
        <f>HYPERLINK("http://dx.doi.org/10.1016/j.catena.2020.104562","http://dx.doi.org/10.1016/j.catena.2020.104562")</f>
        <v>http://dx.doi.org/10.1016/j.catena.2020.104562</v>
      </c>
      <c r="BG238" t="s">
        <v>74</v>
      </c>
      <c r="BH238" t="s">
        <v>74</v>
      </c>
      <c r="BI238">
        <v>14</v>
      </c>
      <c r="BJ238" t="s">
        <v>973</v>
      </c>
      <c r="BK238" t="s">
        <v>102</v>
      </c>
      <c r="BL238" t="s">
        <v>974</v>
      </c>
      <c r="BM238" t="s">
        <v>5128</v>
      </c>
      <c r="BN238" t="s">
        <v>74</v>
      </c>
      <c r="BO238" t="s">
        <v>74</v>
      </c>
      <c r="BP238" t="s">
        <v>74</v>
      </c>
      <c r="BQ238" t="s">
        <v>74</v>
      </c>
      <c r="BR238" t="s">
        <v>106</v>
      </c>
      <c r="BS238" t="s">
        <v>5129</v>
      </c>
      <c r="BT238" t="str">
        <f>HYPERLINK("https%3A%2F%2Fwww.webofscience.com%2Fwos%2Fwoscc%2Ffull-record%2FWOS:000525324600041","View Full Record in Web of Science")</f>
        <v>View Full Record in Web of Science</v>
      </c>
    </row>
    <row r="239" spans="1:72" x14ac:dyDescent="0.15">
      <c r="A239" t="s">
        <v>72</v>
      </c>
      <c r="B239" t="s">
        <v>5130</v>
      </c>
      <c r="C239" t="s">
        <v>74</v>
      </c>
      <c r="D239" t="s">
        <v>74</v>
      </c>
      <c r="E239" t="s">
        <v>74</v>
      </c>
      <c r="F239" t="s">
        <v>5131</v>
      </c>
      <c r="G239" t="s">
        <v>74</v>
      </c>
      <c r="H239" t="s">
        <v>74</v>
      </c>
      <c r="I239" t="s">
        <v>5132</v>
      </c>
      <c r="J239" t="s">
        <v>77</v>
      </c>
      <c r="K239" t="s">
        <v>74</v>
      </c>
      <c r="L239" t="s">
        <v>74</v>
      </c>
      <c r="M239" t="s">
        <v>78</v>
      </c>
      <c r="N239" t="s">
        <v>79</v>
      </c>
      <c r="O239" t="s">
        <v>74</v>
      </c>
      <c r="P239" t="s">
        <v>74</v>
      </c>
      <c r="Q239" t="s">
        <v>74</v>
      </c>
      <c r="R239" t="s">
        <v>74</v>
      </c>
      <c r="S239" t="s">
        <v>74</v>
      </c>
      <c r="T239" t="s">
        <v>5133</v>
      </c>
      <c r="U239" t="s">
        <v>5134</v>
      </c>
      <c r="V239" t="s">
        <v>5135</v>
      </c>
      <c r="W239" t="s">
        <v>5136</v>
      </c>
      <c r="X239" t="s">
        <v>5137</v>
      </c>
      <c r="Y239" t="s">
        <v>5138</v>
      </c>
      <c r="Z239" t="s">
        <v>5139</v>
      </c>
      <c r="AA239" t="s">
        <v>74</v>
      </c>
      <c r="AB239" t="s">
        <v>5140</v>
      </c>
      <c r="AC239" t="s">
        <v>5141</v>
      </c>
      <c r="AD239" t="s">
        <v>5142</v>
      </c>
      <c r="AE239" t="s">
        <v>5143</v>
      </c>
      <c r="AF239" t="s">
        <v>74</v>
      </c>
      <c r="AG239">
        <v>72</v>
      </c>
      <c r="AH239">
        <v>71</v>
      </c>
      <c r="AI239">
        <v>76</v>
      </c>
      <c r="AJ239">
        <v>7</v>
      </c>
      <c r="AK239">
        <v>64</v>
      </c>
      <c r="AL239" t="s">
        <v>92</v>
      </c>
      <c r="AM239" t="s">
        <v>93</v>
      </c>
      <c r="AN239" t="s">
        <v>94</v>
      </c>
      <c r="AO239" t="s">
        <v>95</v>
      </c>
      <c r="AP239" t="s">
        <v>96</v>
      </c>
      <c r="AQ239" t="s">
        <v>74</v>
      </c>
      <c r="AR239" t="s">
        <v>97</v>
      </c>
      <c r="AS239" t="s">
        <v>98</v>
      </c>
      <c r="AT239" t="s">
        <v>3950</v>
      </c>
      <c r="AU239">
        <v>2020</v>
      </c>
      <c r="AV239">
        <v>140</v>
      </c>
      <c r="AW239" t="s">
        <v>74</v>
      </c>
      <c r="AX239" t="s">
        <v>74</v>
      </c>
      <c r="AY239" t="s">
        <v>74</v>
      </c>
      <c r="AZ239" t="s">
        <v>74</v>
      </c>
      <c r="BA239" t="s">
        <v>74</v>
      </c>
      <c r="BB239" t="s">
        <v>74</v>
      </c>
      <c r="BC239" t="s">
        <v>74</v>
      </c>
      <c r="BD239">
        <v>105792</v>
      </c>
      <c r="BE239" t="s">
        <v>5144</v>
      </c>
      <c r="BF239" t="str">
        <f>HYPERLINK("http://dx.doi.org/10.1016/j.envint.2020.105792","http://dx.doi.org/10.1016/j.envint.2020.105792")</f>
        <v>http://dx.doi.org/10.1016/j.envint.2020.105792</v>
      </c>
      <c r="BG239" t="s">
        <v>74</v>
      </c>
      <c r="BH239" t="s">
        <v>74</v>
      </c>
      <c r="BI239">
        <v>11</v>
      </c>
      <c r="BJ239" t="s">
        <v>101</v>
      </c>
      <c r="BK239" t="s">
        <v>102</v>
      </c>
      <c r="BL239" t="s">
        <v>103</v>
      </c>
      <c r="BM239" t="s">
        <v>5145</v>
      </c>
      <c r="BN239">
        <v>32438220</v>
      </c>
      <c r="BO239" t="s">
        <v>2993</v>
      </c>
      <c r="BP239" t="s">
        <v>74</v>
      </c>
      <c r="BQ239" t="s">
        <v>74</v>
      </c>
      <c r="BR239" t="s">
        <v>106</v>
      </c>
      <c r="BS239" t="s">
        <v>5146</v>
      </c>
      <c r="BT239" t="str">
        <f>HYPERLINK("https%3A%2F%2Fwww.webofscience.com%2Fwos%2Fwoscc%2Ffull-record%2FWOS:000544882200011","View Full Record in Web of Science")</f>
        <v>View Full Record in Web of Science</v>
      </c>
    </row>
    <row r="240" spans="1:72" x14ac:dyDescent="0.15">
      <c r="A240" t="s">
        <v>72</v>
      </c>
      <c r="B240" t="s">
        <v>5147</v>
      </c>
      <c r="C240" t="s">
        <v>74</v>
      </c>
      <c r="D240" t="s">
        <v>74</v>
      </c>
      <c r="E240" t="s">
        <v>74</v>
      </c>
      <c r="F240" t="s">
        <v>5148</v>
      </c>
      <c r="G240" t="s">
        <v>74</v>
      </c>
      <c r="H240" t="s">
        <v>74</v>
      </c>
      <c r="I240" t="s">
        <v>5149</v>
      </c>
      <c r="J240" t="s">
        <v>5001</v>
      </c>
      <c r="K240" t="s">
        <v>74</v>
      </c>
      <c r="L240" t="s">
        <v>74</v>
      </c>
      <c r="M240" t="s">
        <v>78</v>
      </c>
      <c r="N240" t="s">
        <v>79</v>
      </c>
      <c r="O240" t="s">
        <v>74</v>
      </c>
      <c r="P240" t="s">
        <v>74</v>
      </c>
      <c r="Q240" t="s">
        <v>74</v>
      </c>
      <c r="R240" t="s">
        <v>74</v>
      </c>
      <c r="S240" t="s">
        <v>74</v>
      </c>
      <c r="T240" t="s">
        <v>74</v>
      </c>
      <c r="U240" t="s">
        <v>5150</v>
      </c>
      <c r="V240" t="s">
        <v>5151</v>
      </c>
      <c r="W240" t="s">
        <v>5152</v>
      </c>
      <c r="X240" t="s">
        <v>5153</v>
      </c>
      <c r="Y240" t="s">
        <v>5154</v>
      </c>
      <c r="Z240" t="s">
        <v>74</v>
      </c>
      <c r="AA240" t="s">
        <v>5155</v>
      </c>
      <c r="AB240" t="s">
        <v>5156</v>
      </c>
      <c r="AC240" t="s">
        <v>5157</v>
      </c>
      <c r="AD240" t="s">
        <v>5158</v>
      </c>
      <c r="AE240" t="s">
        <v>5159</v>
      </c>
      <c r="AF240" t="s">
        <v>74</v>
      </c>
      <c r="AG240">
        <v>35</v>
      </c>
      <c r="AH240">
        <v>3</v>
      </c>
      <c r="AI240">
        <v>4</v>
      </c>
      <c r="AJ240">
        <v>0</v>
      </c>
      <c r="AK240">
        <v>7</v>
      </c>
      <c r="AL240" t="s">
        <v>5012</v>
      </c>
      <c r="AM240" t="s">
        <v>5013</v>
      </c>
      <c r="AN240" t="s">
        <v>5014</v>
      </c>
      <c r="AO240" t="s">
        <v>5015</v>
      </c>
      <c r="AP240" t="s">
        <v>5016</v>
      </c>
      <c r="AQ240" t="s">
        <v>74</v>
      </c>
      <c r="AR240" t="s">
        <v>5001</v>
      </c>
      <c r="AS240" t="s">
        <v>472</v>
      </c>
      <c r="AT240" t="s">
        <v>3950</v>
      </c>
      <c r="AU240">
        <v>2020</v>
      </c>
      <c r="AV240">
        <v>48</v>
      </c>
      <c r="AW240">
        <v>7</v>
      </c>
      <c r="AX240" t="s">
        <v>74</v>
      </c>
      <c r="AY240" t="s">
        <v>74</v>
      </c>
      <c r="AZ240" t="s">
        <v>74</v>
      </c>
      <c r="BA240" t="s">
        <v>74</v>
      </c>
      <c r="BB240">
        <v>748</v>
      </c>
      <c r="BC240">
        <v>752</v>
      </c>
      <c r="BD240" t="s">
        <v>74</v>
      </c>
      <c r="BE240" t="s">
        <v>5160</v>
      </c>
      <c r="BF240" t="str">
        <f>HYPERLINK("http://dx.doi.org/10.1130/G47346.1","http://dx.doi.org/10.1130/G47346.1")</f>
        <v>http://dx.doi.org/10.1130/G47346.1</v>
      </c>
      <c r="BG240" t="s">
        <v>74</v>
      </c>
      <c r="BH240" t="s">
        <v>74</v>
      </c>
      <c r="BI240">
        <v>5</v>
      </c>
      <c r="BJ240" t="s">
        <v>472</v>
      </c>
      <c r="BK240" t="s">
        <v>102</v>
      </c>
      <c r="BL240" t="s">
        <v>472</v>
      </c>
      <c r="BM240" t="s">
        <v>5018</v>
      </c>
      <c r="BN240" t="s">
        <v>74</v>
      </c>
      <c r="BO240" t="s">
        <v>74</v>
      </c>
      <c r="BP240" t="s">
        <v>74</v>
      </c>
      <c r="BQ240" t="s">
        <v>74</v>
      </c>
      <c r="BR240" t="s">
        <v>106</v>
      </c>
      <c r="BS240" t="s">
        <v>5161</v>
      </c>
      <c r="BT240" t="str">
        <f>HYPERLINK("https%3A%2F%2Fwww.webofscience.com%2Fwos%2Fwoscc%2Ffull-record%2FWOS:000541883600024","View Full Record in Web of Science")</f>
        <v>View Full Record in Web of Science</v>
      </c>
    </row>
    <row r="241" spans="1:72" x14ac:dyDescent="0.15">
      <c r="A241" t="s">
        <v>72</v>
      </c>
      <c r="B241" t="s">
        <v>5162</v>
      </c>
      <c r="C241" t="s">
        <v>74</v>
      </c>
      <c r="D241" t="s">
        <v>74</v>
      </c>
      <c r="E241" t="s">
        <v>74</v>
      </c>
      <c r="F241" t="s">
        <v>5163</v>
      </c>
      <c r="G241" t="s">
        <v>74</v>
      </c>
      <c r="H241" t="s">
        <v>74</v>
      </c>
      <c r="I241" t="s">
        <v>5164</v>
      </c>
      <c r="J241" t="s">
        <v>5023</v>
      </c>
      <c r="K241" t="s">
        <v>74</v>
      </c>
      <c r="L241" t="s">
        <v>74</v>
      </c>
      <c r="M241" t="s">
        <v>78</v>
      </c>
      <c r="N241" t="s">
        <v>79</v>
      </c>
      <c r="O241" t="s">
        <v>74</v>
      </c>
      <c r="P241" t="s">
        <v>74</v>
      </c>
      <c r="Q241" t="s">
        <v>74</v>
      </c>
      <c r="R241" t="s">
        <v>74</v>
      </c>
      <c r="S241" t="s">
        <v>74</v>
      </c>
      <c r="T241" t="s">
        <v>5165</v>
      </c>
      <c r="U241" t="s">
        <v>5166</v>
      </c>
      <c r="V241" t="s">
        <v>5167</v>
      </c>
      <c r="W241" t="s">
        <v>5168</v>
      </c>
      <c r="X241" t="s">
        <v>5169</v>
      </c>
      <c r="Y241" t="s">
        <v>5170</v>
      </c>
      <c r="Z241" t="s">
        <v>5171</v>
      </c>
      <c r="AA241" t="s">
        <v>5172</v>
      </c>
      <c r="AB241" t="s">
        <v>5173</v>
      </c>
      <c r="AC241" t="s">
        <v>5174</v>
      </c>
      <c r="AD241" t="s">
        <v>5175</v>
      </c>
      <c r="AE241" t="s">
        <v>5176</v>
      </c>
      <c r="AF241" t="s">
        <v>74</v>
      </c>
      <c r="AG241">
        <v>75</v>
      </c>
      <c r="AH241">
        <v>19</v>
      </c>
      <c r="AI241">
        <v>19</v>
      </c>
      <c r="AJ241">
        <v>1</v>
      </c>
      <c r="AK241">
        <v>11</v>
      </c>
      <c r="AL241" t="s">
        <v>178</v>
      </c>
      <c r="AM241" t="s">
        <v>179</v>
      </c>
      <c r="AN241" t="s">
        <v>180</v>
      </c>
      <c r="AO241" t="s">
        <v>5035</v>
      </c>
      <c r="AP241" t="s">
        <v>5036</v>
      </c>
      <c r="AQ241" t="s">
        <v>74</v>
      </c>
      <c r="AR241" t="s">
        <v>5037</v>
      </c>
      <c r="AS241" t="s">
        <v>5038</v>
      </c>
      <c r="AT241" t="s">
        <v>3950</v>
      </c>
      <c r="AU241">
        <v>2020</v>
      </c>
      <c r="AV241">
        <v>33</v>
      </c>
      <c r="AW241">
        <v>13</v>
      </c>
      <c r="AX241" t="s">
        <v>74</v>
      </c>
      <c r="AY241" t="s">
        <v>74</v>
      </c>
      <c r="AZ241" t="s">
        <v>74</v>
      </c>
      <c r="BA241" t="s">
        <v>74</v>
      </c>
      <c r="BB241">
        <v>5787</v>
      </c>
      <c r="BC241">
        <v>5807</v>
      </c>
      <c r="BD241" t="s">
        <v>74</v>
      </c>
      <c r="BE241" t="s">
        <v>5177</v>
      </c>
      <c r="BF241" t="str">
        <f>HYPERLINK("http://dx.doi.org/10.1175/JCLI-D-19-0683.1","http://dx.doi.org/10.1175/JCLI-D-19-0683.1")</f>
        <v>http://dx.doi.org/10.1175/JCLI-D-19-0683.1</v>
      </c>
      <c r="BG241" t="s">
        <v>74</v>
      </c>
      <c r="BH241" t="s">
        <v>74</v>
      </c>
      <c r="BI241">
        <v>21</v>
      </c>
      <c r="BJ241" t="s">
        <v>159</v>
      </c>
      <c r="BK241" t="s">
        <v>102</v>
      </c>
      <c r="BL241" t="s">
        <v>159</v>
      </c>
      <c r="BM241" t="s">
        <v>5040</v>
      </c>
      <c r="BN241" t="s">
        <v>74</v>
      </c>
      <c r="BO241" t="s">
        <v>5178</v>
      </c>
      <c r="BP241" t="s">
        <v>74</v>
      </c>
      <c r="BQ241" t="s">
        <v>74</v>
      </c>
      <c r="BR241" t="s">
        <v>106</v>
      </c>
      <c r="BS241" t="s">
        <v>5179</v>
      </c>
      <c r="BT241" t="str">
        <f>HYPERLINK("https%3A%2F%2Fwww.webofscience.com%2Fwos%2Fwoscc%2Ffull-record%2FWOS:000541589400023","View Full Record in Web of Science")</f>
        <v>View Full Record in Web of Science</v>
      </c>
    </row>
    <row r="242" spans="1:72" x14ac:dyDescent="0.15">
      <c r="A242" t="s">
        <v>72</v>
      </c>
      <c r="B242" t="s">
        <v>5180</v>
      </c>
      <c r="C242" t="s">
        <v>74</v>
      </c>
      <c r="D242" t="s">
        <v>74</v>
      </c>
      <c r="E242" t="s">
        <v>74</v>
      </c>
      <c r="F242" t="s">
        <v>5181</v>
      </c>
      <c r="G242" t="s">
        <v>74</v>
      </c>
      <c r="H242" t="s">
        <v>74</v>
      </c>
      <c r="I242" t="s">
        <v>5182</v>
      </c>
      <c r="J242" t="s">
        <v>5183</v>
      </c>
      <c r="K242" t="s">
        <v>74</v>
      </c>
      <c r="L242" t="s">
        <v>74</v>
      </c>
      <c r="M242" t="s">
        <v>78</v>
      </c>
      <c r="N242" t="s">
        <v>79</v>
      </c>
      <c r="O242" t="s">
        <v>74</v>
      </c>
      <c r="P242" t="s">
        <v>74</v>
      </c>
      <c r="Q242" t="s">
        <v>74</v>
      </c>
      <c r="R242" t="s">
        <v>74</v>
      </c>
      <c r="S242" t="s">
        <v>74</v>
      </c>
      <c r="T242" t="s">
        <v>5184</v>
      </c>
      <c r="U242" t="s">
        <v>5185</v>
      </c>
      <c r="V242" t="s">
        <v>5186</v>
      </c>
      <c r="W242" t="s">
        <v>5187</v>
      </c>
      <c r="X242" t="s">
        <v>5188</v>
      </c>
      <c r="Y242" t="s">
        <v>5189</v>
      </c>
      <c r="Z242" t="s">
        <v>5190</v>
      </c>
      <c r="AA242" t="s">
        <v>74</v>
      </c>
      <c r="AB242" t="s">
        <v>74</v>
      </c>
      <c r="AC242" t="s">
        <v>5191</v>
      </c>
      <c r="AD242" t="s">
        <v>5192</v>
      </c>
      <c r="AE242" t="s">
        <v>5193</v>
      </c>
      <c r="AF242" t="s">
        <v>74</v>
      </c>
      <c r="AG242">
        <v>32</v>
      </c>
      <c r="AH242">
        <v>2</v>
      </c>
      <c r="AI242">
        <v>3</v>
      </c>
      <c r="AJ242">
        <v>1</v>
      </c>
      <c r="AK242">
        <v>7</v>
      </c>
      <c r="AL242" t="s">
        <v>92</v>
      </c>
      <c r="AM242" t="s">
        <v>93</v>
      </c>
      <c r="AN242" t="s">
        <v>94</v>
      </c>
      <c r="AO242" t="s">
        <v>5194</v>
      </c>
      <c r="AP242" t="s">
        <v>74</v>
      </c>
      <c r="AQ242" t="s">
        <v>74</v>
      </c>
      <c r="AR242" t="s">
        <v>5195</v>
      </c>
      <c r="AS242" t="s">
        <v>5196</v>
      </c>
      <c r="AT242" t="s">
        <v>3950</v>
      </c>
      <c r="AU242">
        <v>2020</v>
      </c>
      <c r="AV242">
        <v>138</v>
      </c>
      <c r="AW242" t="s">
        <v>74</v>
      </c>
      <c r="AX242" t="s">
        <v>74</v>
      </c>
      <c r="AY242" t="s">
        <v>74</v>
      </c>
      <c r="AZ242" t="s">
        <v>74</v>
      </c>
      <c r="BA242" t="s">
        <v>74</v>
      </c>
      <c r="BB242" t="s">
        <v>74</v>
      </c>
      <c r="BC242" t="s">
        <v>74</v>
      </c>
      <c r="BD242">
        <v>101753</v>
      </c>
      <c r="BE242" t="s">
        <v>5197</v>
      </c>
      <c r="BF242" t="str">
        <f>HYPERLINK("http://dx.doi.org/10.1016/j.jog.2020.101753","http://dx.doi.org/10.1016/j.jog.2020.101753")</f>
        <v>http://dx.doi.org/10.1016/j.jog.2020.101753</v>
      </c>
      <c r="BG242" t="s">
        <v>74</v>
      </c>
      <c r="BH242" t="s">
        <v>74</v>
      </c>
      <c r="BI242">
        <v>9</v>
      </c>
      <c r="BJ242" t="s">
        <v>131</v>
      </c>
      <c r="BK242" t="s">
        <v>102</v>
      </c>
      <c r="BL242" t="s">
        <v>131</v>
      </c>
      <c r="BM242" t="s">
        <v>5198</v>
      </c>
      <c r="BN242" t="s">
        <v>74</v>
      </c>
      <c r="BO242" t="s">
        <v>74</v>
      </c>
      <c r="BP242" t="s">
        <v>74</v>
      </c>
      <c r="BQ242" t="s">
        <v>74</v>
      </c>
      <c r="BR242" t="s">
        <v>106</v>
      </c>
      <c r="BS242" t="s">
        <v>5199</v>
      </c>
      <c r="BT242" t="str">
        <f>HYPERLINK("https%3A%2F%2Fwww.webofscience.com%2Fwos%2Fwoscc%2Ffull-record%2FWOS:000541129000003","View Full Record in Web of Science")</f>
        <v>View Full Record in Web of Science</v>
      </c>
    </row>
    <row r="243" spans="1:72" x14ac:dyDescent="0.15">
      <c r="A243" t="s">
        <v>72</v>
      </c>
      <c r="B243" t="s">
        <v>5200</v>
      </c>
      <c r="C243" t="s">
        <v>74</v>
      </c>
      <c r="D243" t="s">
        <v>74</v>
      </c>
      <c r="E243" t="s">
        <v>74</v>
      </c>
      <c r="F243" t="s">
        <v>5201</v>
      </c>
      <c r="G243" t="s">
        <v>74</v>
      </c>
      <c r="H243" t="s">
        <v>74</v>
      </c>
      <c r="I243" t="s">
        <v>5202</v>
      </c>
      <c r="J243" t="s">
        <v>4804</v>
      </c>
      <c r="K243" t="s">
        <v>74</v>
      </c>
      <c r="L243" t="s">
        <v>74</v>
      </c>
      <c r="M243" t="s">
        <v>78</v>
      </c>
      <c r="N243" t="s">
        <v>79</v>
      </c>
      <c r="O243" t="s">
        <v>74</v>
      </c>
      <c r="P243" t="s">
        <v>74</v>
      </c>
      <c r="Q243" t="s">
        <v>74</v>
      </c>
      <c r="R243" t="s">
        <v>74</v>
      </c>
      <c r="S243" t="s">
        <v>74</v>
      </c>
      <c r="T243" t="s">
        <v>5203</v>
      </c>
      <c r="U243" t="s">
        <v>5204</v>
      </c>
      <c r="V243" t="s">
        <v>5205</v>
      </c>
      <c r="W243" t="s">
        <v>5206</v>
      </c>
      <c r="X243" t="s">
        <v>5207</v>
      </c>
      <c r="Y243" t="s">
        <v>5208</v>
      </c>
      <c r="Z243" t="s">
        <v>5209</v>
      </c>
      <c r="AA243" t="s">
        <v>5210</v>
      </c>
      <c r="AB243" t="s">
        <v>5211</v>
      </c>
      <c r="AC243" t="s">
        <v>5212</v>
      </c>
      <c r="AD243" t="s">
        <v>5213</v>
      </c>
      <c r="AE243" t="s">
        <v>5214</v>
      </c>
      <c r="AF243" t="s">
        <v>74</v>
      </c>
      <c r="AG243">
        <v>51</v>
      </c>
      <c r="AH243">
        <v>14</v>
      </c>
      <c r="AI243">
        <v>14</v>
      </c>
      <c r="AJ243">
        <v>2</v>
      </c>
      <c r="AK243">
        <v>21</v>
      </c>
      <c r="AL243" t="s">
        <v>578</v>
      </c>
      <c r="AM243" t="s">
        <v>93</v>
      </c>
      <c r="AN243" t="s">
        <v>579</v>
      </c>
      <c r="AO243" t="s">
        <v>4817</v>
      </c>
      <c r="AP243" t="s">
        <v>4818</v>
      </c>
      <c r="AQ243" t="s">
        <v>74</v>
      </c>
      <c r="AR243" t="s">
        <v>4819</v>
      </c>
      <c r="AS243" t="s">
        <v>4820</v>
      </c>
      <c r="AT243" t="s">
        <v>3950</v>
      </c>
      <c r="AU243">
        <v>2020</v>
      </c>
      <c r="AV243">
        <v>159</v>
      </c>
      <c r="AW243" t="s">
        <v>74</v>
      </c>
      <c r="AX243" t="s">
        <v>74</v>
      </c>
      <c r="AY243" t="s">
        <v>74</v>
      </c>
      <c r="AZ243" t="s">
        <v>74</v>
      </c>
      <c r="BA243" t="s">
        <v>74</v>
      </c>
      <c r="BB243" t="s">
        <v>74</v>
      </c>
      <c r="BC243" t="s">
        <v>74</v>
      </c>
      <c r="BD243">
        <v>104991</v>
      </c>
      <c r="BE243" t="s">
        <v>5215</v>
      </c>
      <c r="BF243" t="str">
        <f>HYPERLINK("http://dx.doi.org/10.1016/j.marenvres.2020.104991","http://dx.doi.org/10.1016/j.marenvres.2020.104991")</f>
        <v>http://dx.doi.org/10.1016/j.marenvres.2020.104991</v>
      </c>
      <c r="BG243" t="s">
        <v>74</v>
      </c>
      <c r="BH243" t="s">
        <v>74</v>
      </c>
      <c r="BI243">
        <v>17</v>
      </c>
      <c r="BJ243" t="s">
        <v>4822</v>
      </c>
      <c r="BK243" t="s">
        <v>102</v>
      </c>
      <c r="BL243" t="s">
        <v>4823</v>
      </c>
      <c r="BM243" t="s">
        <v>4824</v>
      </c>
      <c r="BN243">
        <v>32662431</v>
      </c>
      <c r="BO243" t="s">
        <v>74</v>
      </c>
      <c r="BP243" t="s">
        <v>74</v>
      </c>
      <c r="BQ243" t="s">
        <v>74</v>
      </c>
      <c r="BR243" t="s">
        <v>106</v>
      </c>
      <c r="BS243" t="s">
        <v>5216</v>
      </c>
      <c r="BT243" t="str">
        <f>HYPERLINK("https%3A%2F%2Fwww.webofscience.com%2Fwos%2Fwoscc%2Ffull-record%2FWOS:000549328000026","View Full Record in Web of Science")</f>
        <v>View Full Record in Web of Science</v>
      </c>
    </row>
    <row r="244" spans="1:72" x14ac:dyDescent="0.15">
      <c r="A244" t="s">
        <v>72</v>
      </c>
      <c r="B244" t="s">
        <v>5217</v>
      </c>
      <c r="C244" t="s">
        <v>74</v>
      </c>
      <c r="D244" t="s">
        <v>74</v>
      </c>
      <c r="E244" t="s">
        <v>74</v>
      </c>
      <c r="F244" t="s">
        <v>5218</v>
      </c>
      <c r="G244" t="s">
        <v>74</v>
      </c>
      <c r="H244" t="s">
        <v>74</v>
      </c>
      <c r="I244" t="s">
        <v>5219</v>
      </c>
      <c r="J244" t="s">
        <v>219</v>
      </c>
      <c r="K244" t="s">
        <v>74</v>
      </c>
      <c r="L244" t="s">
        <v>74</v>
      </c>
      <c r="M244" t="s">
        <v>78</v>
      </c>
      <c r="N244" t="s">
        <v>79</v>
      </c>
      <c r="O244" t="s">
        <v>74</v>
      </c>
      <c r="P244" t="s">
        <v>74</v>
      </c>
      <c r="Q244" t="s">
        <v>74</v>
      </c>
      <c r="R244" t="s">
        <v>74</v>
      </c>
      <c r="S244" t="s">
        <v>74</v>
      </c>
      <c r="T244" t="s">
        <v>5220</v>
      </c>
      <c r="U244" t="s">
        <v>5221</v>
      </c>
      <c r="V244" t="s">
        <v>5222</v>
      </c>
      <c r="W244" t="s">
        <v>5223</v>
      </c>
      <c r="X244" t="s">
        <v>5224</v>
      </c>
      <c r="Y244" t="s">
        <v>5225</v>
      </c>
      <c r="Z244" t="s">
        <v>5226</v>
      </c>
      <c r="AA244" t="s">
        <v>5227</v>
      </c>
      <c r="AB244" t="s">
        <v>5228</v>
      </c>
      <c r="AC244" t="s">
        <v>5229</v>
      </c>
      <c r="AD244" t="s">
        <v>5230</v>
      </c>
      <c r="AE244" t="s">
        <v>5231</v>
      </c>
      <c r="AF244" t="s">
        <v>74</v>
      </c>
      <c r="AG244">
        <v>38</v>
      </c>
      <c r="AH244">
        <v>25</v>
      </c>
      <c r="AI244">
        <v>29</v>
      </c>
      <c r="AJ244">
        <v>10</v>
      </c>
      <c r="AK244">
        <v>74</v>
      </c>
      <c r="AL244" t="s">
        <v>92</v>
      </c>
      <c r="AM244" t="s">
        <v>93</v>
      </c>
      <c r="AN244" t="s">
        <v>94</v>
      </c>
      <c r="AO244" t="s">
        <v>232</v>
      </c>
      <c r="AP244" t="s">
        <v>233</v>
      </c>
      <c r="AQ244" t="s">
        <v>74</v>
      </c>
      <c r="AR244" t="s">
        <v>234</v>
      </c>
      <c r="AS244" t="s">
        <v>235</v>
      </c>
      <c r="AT244" t="s">
        <v>3950</v>
      </c>
      <c r="AU244">
        <v>2020</v>
      </c>
      <c r="AV244">
        <v>156</v>
      </c>
      <c r="AW244" t="s">
        <v>74</v>
      </c>
      <c r="AX244" t="s">
        <v>74</v>
      </c>
      <c r="AY244" t="s">
        <v>74</v>
      </c>
      <c r="AZ244" t="s">
        <v>74</v>
      </c>
      <c r="BA244" t="s">
        <v>74</v>
      </c>
      <c r="BB244" t="s">
        <v>74</v>
      </c>
      <c r="BC244" t="s">
        <v>74</v>
      </c>
      <c r="BD244">
        <v>111173</v>
      </c>
      <c r="BE244" t="s">
        <v>5232</v>
      </c>
      <c r="BF244" t="str">
        <f>HYPERLINK("http://dx.doi.org/10.1016/j.marpolbul.2020.111173","http://dx.doi.org/10.1016/j.marpolbul.2020.111173")</f>
        <v>http://dx.doi.org/10.1016/j.marpolbul.2020.111173</v>
      </c>
      <c r="BG244" t="s">
        <v>74</v>
      </c>
      <c r="BH244" t="s">
        <v>74</v>
      </c>
      <c r="BI244">
        <v>9</v>
      </c>
      <c r="BJ244" t="s">
        <v>237</v>
      </c>
      <c r="BK244" t="s">
        <v>102</v>
      </c>
      <c r="BL244" t="s">
        <v>238</v>
      </c>
      <c r="BM244" t="s">
        <v>5233</v>
      </c>
      <c r="BN244">
        <v>32510355</v>
      </c>
      <c r="BO244" t="s">
        <v>74</v>
      </c>
      <c r="BP244" t="s">
        <v>74</v>
      </c>
      <c r="BQ244" t="s">
        <v>74</v>
      </c>
      <c r="BR244" t="s">
        <v>106</v>
      </c>
      <c r="BS244" t="s">
        <v>5234</v>
      </c>
      <c r="BT244" t="str">
        <f>HYPERLINK("https%3A%2F%2Fwww.webofscience.com%2Fwos%2Fwoscc%2Ffull-record%2FWOS:000539160000050","View Full Record in Web of Science")</f>
        <v>View Full Record in Web of Science</v>
      </c>
    </row>
    <row r="245" spans="1:72" x14ac:dyDescent="0.15">
      <c r="A245" t="s">
        <v>72</v>
      </c>
      <c r="B245" t="s">
        <v>5235</v>
      </c>
      <c r="C245" t="s">
        <v>74</v>
      </c>
      <c r="D245" t="s">
        <v>74</v>
      </c>
      <c r="E245" t="s">
        <v>74</v>
      </c>
      <c r="F245" t="s">
        <v>5236</v>
      </c>
      <c r="G245" t="s">
        <v>74</v>
      </c>
      <c r="H245" t="s">
        <v>74</v>
      </c>
      <c r="I245" t="s">
        <v>5237</v>
      </c>
      <c r="J245" t="s">
        <v>5238</v>
      </c>
      <c r="K245" t="s">
        <v>74</v>
      </c>
      <c r="L245" t="s">
        <v>74</v>
      </c>
      <c r="M245" t="s">
        <v>78</v>
      </c>
      <c r="N245" t="s">
        <v>79</v>
      </c>
      <c r="O245" t="s">
        <v>74</v>
      </c>
      <c r="P245" t="s">
        <v>74</v>
      </c>
      <c r="Q245" t="s">
        <v>74</v>
      </c>
      <c r="R245" t="s">
        <v>74</v>
      </c>
      <c r="S245" t="s">
        <v>74</v>
      </c>
      <c r="T245" t="s">
        <v>5239</v>
      </c>
      <c r="U245" t="s">
        <v>74</v>
      </c>
      <c r="V245" t="s">
        <v>5240</v>
      </c>
      <c r="W245" t="s">
        <v>5241</v>
      </c>
      <c r="X245" t="s">
        <v>5242</v>
      </c>
      <c r="Y245" t="s">
        <v>5243</v>
      </c>
      <c r="Z245" t="s">
        <v>5244</v>
      </c>
      <c r="AA245" t="s">
        <v>74</v>
      </c>
      <c r="AB245" t="s">
        <v>5245</v>
      </c>
      <c r="AC245" t="s">
        <v>5246</v>
      </c>
      <c r="AD245" t="s">
        <v>5247</v>
      </c>
      <c r="AE245" t="s">
        <v>5248</v>
      </c>
      <c r="AF245" t="s">
        <v>74</v>
      </c>
      <c r="AG245">
        <v>23</v>
      </c>
      <c r="AH245">
        <v>7</v>
      </c>
      <c r="AI245">
        <v>8</v>
      </c>
      <c r="AJ245">
        <v>0</v>
      </c>
      <c r="AK245">
        <v>5</v>
      </c>
      <c r="AL245" t="s">
        <v>124</v>
      </c>
      <c r="AM245" t="s">
        <v>93</v>
      </c>
      <c r="AN245" t="s">
        <v>125</v>
      </c>
      <c r="AO245" t="s">
        <v>5249</v>
      </c>
      <c r="AP245" t="s">
        <v>5250</v>
      </c>
      <c r="AQ245" t="s">
        <v>74</v>
      </c>
      <c r="AR245" t="s">
        <v>5251</v>
      </c>
      <c r="AS245" t="s">
        <v>5252</v>
      </c>
      <c r="AT245" t="s">
        <v>3950</v>
      </c>
      <c r="AU245">
        <v>2020</v>
      </c>
      <c r="AV245">
        <v>496</v>
      </c>
      <c r="AW245">
        <v>1</v>
      </c>
      <c r="AX245" t="s">
        <v>74</v>
      </c>
      <c r="AY245" t="s">
        <v>74</v>
      </c>
      <c r="AZ245" t="s">
        <v>74</v>
      </c>
      <c r="BA245" t="s">
        <v>74</v>
      </c>
      <c r="BB245">
        <v>629</v>
      </c>
      <c r="BC245">
        <v>637</v>
      </c>
      <c r="BD245" t="s">
        <v>74</v>
      </c>
      <c r="BE245" t="s">
        <v>5253</v>
      </c>
      <c r="BF245" t="str">
        <f>HYPERLINK("http://dx.doi.org/10.1093/mnras/staa1413","http://dx.doi.org/10.1093/mnras/staa1413")</f>
        <v>http://dx.doi.org/10.1093/mnras/staa1413</v>
      </c>
      <c r="BG245" t="s">
        <v>74</v>
      </c>
      <c r="BH245" t="s">
        <v>74</v>
      </c>
      <c r="BI245">
        <v>9</v>
      </c>
      <c r="BJ245" t="s">
        <v>774</v>
      </c>
      <c r="BK245" t="s">
        <v>102</v>
      </c>
      <c r="BL245" t="s">
        <v>774</v>
      </c>
      <c r="BM245" t="s">
        <v>5254</v>
      </c>
      <c r="BN245" t="s">
        <v>74</v>
      </c>
      <c r="BO245" t="s">
        <v>976</v>
      </c>
      <c r="BP245" t="s">
        <v>74</v>
      </c>
      <c r="BQ245" t="s">
        <v>74</v>
      </c>
      <c r="BR245" t="s">
        <v>106</v>
      </c>
      <c r="BS245" t="s">
        <v>5255</v>
      </c>
      <c r="BT245" t="str">
        <f>HYPERLINK("https%3A%2F%2Fwww.webofscience.com%2Fwos%2Fwoscc%2Ffull-record%2FWOS:000560784700048","View Full Record in Web of Science")</f>
        <v>View Full Record in Web of Science</v>
      </c>
    </row>
    <row r="246" spans="1:72" x14ac:dyDescent="0.15">
      <c r="A246" t="s">
        <v>72</v>
      </c>
      <c r="B246" t="s">
        <v>5256</v>
      </c>
      <c r="C246" t="s">
        <v>74</v>
      </c>
      <c r="D246" t="s">
        <v>74</v>
      </c>
      <c r="E246" t="s">
        <v>74</v>
      </c>
      <c r="F246" t="s">
        <v>5257</v>
      </c>
      <c r="G246" t="s">
        <v>74</v>
      </c>
      <c r="H246" t="s">
        <v>74</v>
      </c>
      <c r="I246" t="s">
        <v>5258</v>
      </c>
      <c r="J246" t="s">
        <v>4493</v>
      </c>
      <c r="K246" t="s">
        <v>74</v>
      </c>
      <c r="L246" t="s">
        <v>74</v>
      </c>
      <c r="M246" t="s">
        <v>78</v>
      </c>
      <c r="N246" t="s">
        <v>79</v>
      </c>
      <c r="O246" t="s">
        <v>74</v>
      </c>
      <c r="P246" t="s">
        <v>74</v>
      </c>
      <c r="Q246" t="s">
        <v>74</v>
      </c>
      <c r="R246" t="s">
        <v>74</v>
      </c>
      <c r="S246" t="s">
        <v>74</v>
      </c>
      <c r="T246" t="s">
        <v>74</v>
      </c>
      <c r="U246" t="s">
        <v>5259</v>
      </c>
      <c r="V246" t="s">
        <v>5260</v>
      </c>
      <c r="W246" t="s">
        <v>5261</v>
      </c>
      <c r="X246" t="s">
        <v>5262</v>
      </c>
      <c r="Y246" t="s">
        <v>5263</v>
      </c>
      <c r="Z246" t="s">
        <v>5264</v>
      </c>
      <c r="AA246" t="s">
        <v>74</v>
      </c>
      <c r="AB246" t="s">
        <v>5265</v>
      </c>
      <c r="AC246" t="s">
        <v>5266</v>
      </c>
      <c r="AD246" t="s">
        <v>5267</v>
      </c>
      <c r="AE246" t="s">
        <v>5268</v>
      </c>
      <c r="AF246" t="s">
        <v>74</v>
      </c>
      <c r="AG246">
        <v>95</v>
      </c>
      <c r="AH246">
        <v>7</v>
      </c>
      <c r="AI246">
        <v>8</v>
      </c>
      <c r="AJ246">
        <v>1</v>
      </c>
      <c r="AK246">
        <v>13</v>
      </c>
      <c r="AL246" t="s">
        <v>151</v>
      </c>
      <c r="AM246" t="s">
        <v>152</v>
      </c>
      <c r="AN246" t="s">
        <v>153</v>
      </c>
      <c r="AO246" t="s">
        <v>4506</v>
      </c>
      <c r="AP246" t="s">
        <v>4507</v>
      </c>
      <c r="AQ246" t="s">
        <v>74</v>
      </c>
      <c r="AR246" t="s">
        <v>4508</v>
      </c>
      <c r="AS246" t="s">
        <v>4509</v>
      </c>
      <c r="AT246" t="s">
        <v>3950</v>
      </c>
      <c r="AU246">
        <v>2020</v>
      </c>
      <c r="AV246">
        <v>35</v>
      </c>
      <c r="AW246">
        <v>7</v>
      </c>
      <c r="AX246" t="s">
        <v>74</v>
      </c>
      <c r="AY246" t="s">
        <v>74</v>
      </c>
      <c r="AZ246" t="s">
        <v>74</v>
      </c>
      <c r="BA246" t="s">
        <v>74</v>
      </c>
      <c r="BB246" t="s">
        <v>74</v>
      </c>
      <c r="BC246" t="s">
        <v>74</v>
      </c>
      <c r="BD246" t="s">
        <v>5269</v>
      </c>
      <c r="BE246" t="s">
        <v>5270</v>
      </c>
      <c r="BF246" t="str">
        <f>HYPERLINK("http://dx.doi.org/10.1029/2019PA003743","http://dx.doi.org/10.1029/2019PA003743")</f>
        <v>http://dx.doi.org/10.1029/2019PA003743</v>
      </c>
      <c r="BG246" t="s">
        <v>74</v>
      </c>
      <c r="BH246" t="s">
        <v>74</v>
      </c>
      <c r="BI246">
        <v>16</v>
      </c>
      <c r="BJ246" t="s">
        <v>4512</v>
      </c>
      <c r="BK246" t="s">
        <v>102</v>
      </c>
      <c r="BL246" t="s">
        <v>4513</v>
      </c>
      <c r="BM246" t="s">
        <v>4514</v>
      </c>
      <c r="BN246" t="s">
        <v>74</v>
      </c>
      <c r="BO246" t="s">
        <v>3180</v>
      </c>
      <c r="BP246" t="s">
        <v>74</v>
      </c>
      <c r="BQ246" t="s">
        <v>74</v>
      </c>
      <c r="BR246" t="s">
        <v>106</v>
      </c>
      <c r="BS246" t="s">
        <v>5271</v>
      </c>
      <c r="BT246" t="str">
        <f>HYPERLINK("https%3A%2F%2Fwww.webofscience.com%2Fwos%2Fwoscc%2Ffull-record%2FWOS:000556646600011","View Full Record in Web of Science")</f>
        <v>View Full Record in Web of Science</v>
      </c>
    </row>
    <row r="247" spans="1:72" x14ac:dyDescent="0.15">
      <c r="A247" t="s">
        <v>72</v>
      </c>
      <c r="B247" t="s">
        <v>5272</v>
      </c>
      <c r="C247" t="s">
        <v>74</v>
      </c>
      <c r="D247" t="s">
        <v>74</v>
      </c>
      <c r="E247" t="s">
        <v>74</v>
      </c>
      <c r="F247" t="s">
        <v>5273</v>
      </c>
      <c r="G247" t="s">
        <v>74</v>
      </c>
      <c r="H247" t="s">
        <v>74</v>
      </c>
      <c r="I247" t="s">
        <v>5274</v>
      </c>
      <c r="J247" t="s">
        <v>2785</v>
      </c>
      <c r="K247" t="s">
        <v>74</v>
      </c>
      <c r="L247" t="s">
        <v>74</v>
      </c>
      <c r="M247" t="s">
        <v>78</v>
      </c>
      <c r="N247" t="s">
        <v>79</v>
      </c>
      <c r="O247" t="s">
        <v>74</v>
      </c>
      <c r="P247" t="s">
        <v>74</v>
      </c>
      <c r="Q247" t="s">
        <v>74</v>
      </c>
      <c r="R247" t="s">
        <v>74</v>
      </c>
      <c r="S247" t="s">
        <v>74</v>
      </c>
      <c r="T247" t="s">
        <v>5275</v>
      </c>
      <c r="U247" t="s">
        <v>5276</v>
      </c>
      <c r="V247" t="s">
        <v>5277</v>
      </c>
      <c r="W247" t="s">
        <v>5278</v>
      </c>
      <c r="X247" t="s">
        <v>5279</v>
      </c>
      <c r="Y247" t="s">
        <v>5280</v>
      </c>
      <c r="Z247" t="s">
        <v>5281</v>
      </c>
      <c r="AA247" t="s">
        <v>5282</v>
      </c>
      <c r="AB247" t="s">
        <v>5283</v>
      </c>
      <c r="AC247" t="s">
        <v>5284</v>
      </c>
      <c r="AD247" t="s">
        <v>5285</v>
      </c>
      <c r="AE247" t="s">
        <v>5286</v>
      </c>
      <c r="AF247" t="s">
        <v>74</v>
      </c>
      <c r="AG247">
        <v>82</v>
      </c>
      <c r="AH247">
        <v>14</v>
      </c>
      <c r="AI247">
        <v>20</v>
      </c>
      <c r="AJ247">
        <v>2</v>
      </c>
      <c r="AK247">
        <v>19</v>
      </c>
      <c r="AL247" t="s">
        <v>92</v>
      </c>
      <c r="AM247" t="s">
        <v>93</v>
      </c>
      <c r="AN247" t="s">
        <v>94</v>
      </c>
      <c r="AO247" t="s">
        <v>2797</v>
      </c>
      <c r="AP247" t="s">
        <v>2798</v>
      </c>
      <c r="AQ247" t="s">
        <v>74</v>
      </c>
      <c r="AR247" t="s">
        <v>2799</v>
      </c>
      <c r="AS247" t="s">
        <v>2800</v>
      </c>
      <c r="AT247" t="s">
        <v>5287</v>
      </c>
      <c r="AU247">
        <v>2020</v>
      </c>
      <c r="AV247">
        <v>239</v>
      </c>
      <c r="AW247" t="s">
        <v>74</v>
      </c>
      <c r="AX247" t="s">
        <v>74</v>
      </c>
      <c r="AY247" t="s">
        <v>74</v>
      </c>
      <c r="AZ247" t="s">
        <v>74</v>
      </c>
      <c r="BA247" t="s">
        <v>74</v>
      </c>
      <c r="BB247" t="s">
        <v>74</v>
      </c>
      <c r="BC247" t="s">
        <v>74</v>
      </c>
      <c r="BD247">
        <v>106356</v>
      </c>
      <c r="BE247" t="s">
        <v>5288</v>
      </c>
      <c r="BF247" t="str">
        <f>HYPERLINK("http://dx.doi.org/10.1016/j.quascirev.2020.106356","http://dx.doi.org/10.1016/j.quascirev.2020.106356")</f>
        <v>http://dx.doi.org/10.1016/j.quascirev.2020.106356</v>
      </c>
      <c r="BG247" t="s">
        <v>74</v>
      </c>
      <c r="BH247" t="s">
        <v>74</v>
      </c>
      <c r="BI247">
        <v>11</v>
      </c>
      <c r="BJ247" t="s">
        <v>694</v>
      </c>
      <c r="BK247" t="s">
        <v>102</v>
      </c>
      <c r="BL247" t="s">
        <v>695</v>
      </c>
      <c r="BM247" t="s">
        <v>5289</v>
      </c>
      <c r="BN247" t="s">
        <v>74</v>
      </c>
      <c r="BO247" t="s">
        <v>74</v>
      </c>
      <c r="BP247" t="s">
        <v>74</v>
      </c>
      <c r="BQ247" t="s">
        <v>74</v>
      </c>
      <c r="BR247" t="s">
        <v>106</v>
      </c>
      <c r="BS247" t="s">
        <v>5290</v>
      </c>
      <c r="BT247" t="str">
        <f>HYPERLINK("https%3A%2F%2Fwww.webofscience.com%2Fwos%2Fwoscc%2Ffull-record%2FWOS:000541126600007","View Full Record in Web of Science")</f>
        <v>View Full Record in Web of Science</v>
      </c>
    </row>
    <row r="248" spans="1:72" x14ac:dyDescent="0.15">
      <c r="A248" t="s">
        <v>72</v>
      </c>
      <c r="B248" t="s">
        <v>5291</v>
      </c>
      <c r="C248" t="s">
        <v>74</v>
      </c>
      <c r="D248" t="s">
        <v>74</v>
      </c>
      <c r="E248" t="s">
        <v>74</v>
      </c>
      <c r="F248" t="s">
        <v>5292</v>
      </c>
      <c r="G248" t="s">
        <v>74</v>
      </c>
      <c r="H248" t="s">
        <v>74</v>
      </c>
      <c r="I248" t="s">
        <v>5293</v>
      </c>
      <c r="J248" t="s">
        <v>5294</v>
      </c>
      <c r="K248" t="s">
        <v>74</v>
      </c>
      <c r="L248" t="s">
        <v>74</v>
      </c>
      <c r="M248" t="s">
        <v>78</v>
      </c>
      <c r="N248" t="s">
        <v>79</v>
      </c>
      <c r="O248" t="s">
        <v>74</v>
      </c>
      <c r="P248" t="s">
        <v>74</v>
      </c>
      <c r="Q248" t="s">
        <v>74</v>
      </c>
      <c r="R248" t="s">
        <v>74</v>
      </c>
      <c r="S248" t="s">
        <v>74</v>
      </c>
      <c r="T248" t="s">
        <v>5295</v>
      </c>
      <c r="U248" t="s">
        <v>5296</v>
      </c>
      <c r="V248" t="s">
        <v>5297</v>
      </c>
      <c r="W248" t="s">
        <v>5298</v>
      </c>
      <c r="X248" t="s">
        <v>5299</v>
      </c>
      <c r="Y248" t="s">
        <v>5300</v>
      </c>
      <c r="Z248" t="s">
        <v>5301</v>
      </c>
      <c r="AA248" t="s">
        <v>5302</v>
      </c>
      <c r="AB248" t="s">
        <v>5303</v>
      </c>
      <c r="AC248" t="s">
        <v>5304</v>
      </c>
      <c r="AD248" t="s">
        <v>5305</v>
      </c>
      <c r="AE248" t="s">
        <v>5306</v>
      </c>
      <c r="AF248" t="s">
        <v>74</v>
      </c>
      <c r="AG248">
        <v>87</v>
      </c>
      <c r="AH248">
        <v>12</v>
      </c>
      <c r="AI248">
        <v>14</v>
      </c>
      <c r="AJ248">
        <v>0</v>
      </c>
      <c r="AK248">
        <v>4</v>
      </c>
      <c r="AL248" t="s">
        <v>578</v>
      </c>
      <c r="AM248" t="s">
        <v>93</v>
      </c>
      <c r="AN248" t="s">
        <v>579</v>
      </c>
      <c r="AO248" t="s">
        <v>5307</v>
      </c>
      <c r="AP248" t="s">
        <v>5308</v>
      </c>
      <c r="AQ248" t="s">
        <v>74</v>
      </c>
      <c r="AR248" t="s">
        <v>5309</v>
      </c>
      <c r="AS248" t="s">
        <v>5310</v>
      </c>
      <c r="AT248" t="s">
        <v>3950</v>
      </c>
      <c r="AU248">
        <v>2020</v>
      </c>
      <c r="AV248">
        <v>247</v>
      </c>
      <c r="AW248" t="s">
        <v>74</v>
      </c>
      <c r="AX248" t="s">
        <v>74</v>
      </c>
      <c r="AY248" t="s">
        <v>74</v>
      </c>
      <c r="AZ248" t="s">
        <v>74</v>
      </c>
      <c r="BA248" t="s">
        <v>74</v>
      </c>
      <c r="BB248" t="s">
        <v>74</v>
      </c>
      <c r="BC248" t="s">
        <v>74</v>
      </c>
      <c r="BD248">
        <v>108592</v>
      </c>
      <c r="BE248" t="s">
        <v>5311</v>
      </c>
      <c r="BF248" t="str">
        <f>HYPERLINK("http://dx.doi.org/10.1016/j.biocon.2020.108592","http://dx.doi.org/10.1016/j.biocon.2020.108592")</f>
        <v>http://dx.doi.org/10.1016/j.biocon.2020.108592</v>
      </c>
      <c r="BG248" t="s">
        <v>74</v>
      </c>
      <c r="BH248" t="s">
        <v>74</v>
      </c>
      <c r="BI248">
        <v>9</v>
      </c>
      <c r="BJ248" t="s">
        <v>1375</v>
      </c>
      <c r="BK248" t="s">
        <v>925</v>
      </c>
      <c r="BL248" t="s">
        <v>1005</v>
      </c>
      <c r="BM248" t="s">
        <v>5312</v>
      </c>
      <c r="BN248" t="s">
        <v>74</v>
      </c>
      <c r="BO248" t="s">
        <v>1181</v>
      </c>
      <c r="BP248" t="s">
        <v>74</v>
      </c>
      <c r="BQ248" t="s">
        <v>74</v>
      </c>
      <c r="BR248" t="s">
        <v>106</v>
      </c>
      <c r="BS248" t="s">
        <v>5313</v>
      </c>
      <c r="BT248" t="str">
        <f>HYPERLINK("https%3A%2F%2Fwww.webofscience.com%2Fwos%2Fwoscc%2Ffull-record%2FWOS:000540247600005","View Full Record in Web of Science")</f>
        <v>View Full Record in Web of Science</v>
      </c>
    </row>
    <row r="249" spans="1:72" x14ac:dyDescent="0.15">
      <c r="A249" t="s">
        <v>72</v>
      </c>
      <c r="B249" t="s">
        <v>5314</v>
      </c>
      <c r="C249" t="s">
        <v>74</v>
      </c>
      <c r="D249" t="s">
        <v>74</v>
      </c>
      <c r="E249" t="s">
        <v>74</v>
      </c>
      <c r="F249" t="s">
        <v>5315</v>
      </c>
      <c r="G249" t="s">
        <v>74</v>
      </c>
      <c r="H249" t="s">
        <v>74</v>
      </c>
      <c r="I249" t="s">
        <v>5316</v>
      </c>
      <c r="J249" t="s">
        <v>5294</v>
      </c>
      <c r="K249" t="s">
        <v>74</v>
      </c>
      <c r="L249" t="s">
        <v>74</v>
      </c>
      <c r="M249" t="s">
        <v>78</v>
      </c>
      <c r="N249" t="s">
        <v>79</v>
      </c>
      <c r="O249" t="s">
        <v>74</v>
      </c>
      <c r="P249" t="s">
        <v>74</v>
      </c>
      <c r="Q249" t="s">
        <v>74</v>
      </c>
      <c r="R249" t="s">
        <v>74</v>
      </c>
      <c r="S249" t="s">
        <v>74</v>
      </c>
      <c r="T249" t="s">
        <v>5317</v>
      </c>
      <c r="U249" t="s">
        <v>5318</v>
      </c>
      <c r="V249" t="s">
        <v>5319</v>
      </c>
      <c r="W249" t="s">
        <v>5320</v>
      </c>
      <c r="X249" t="s">
        <v>3708</v>
      </c>
      <c r="Y249" t="s">
        <v>5321</v>
      </c>
      <c r="Z249" t="s">
        <v>5322</v>
      </c>
      <c r="AA249" t="s">
        <v>74</v>
      </c>
      <c r="AB249" t="s">
        <v>74</v>
      </c>
      <c r="AC249" t="s">
        <v>5323</v>
      </c>
      <c r="AD249" t="s">
        <v>992</v>
      </c>
      <c r="AE249" t="s">
        <v>5324</v>
      </c>
      <c r="AF249" t="s">
        <v>74</v>
      </c>
      <c r="AG249">
        <v>67</v>
      </c>
      <c r="AH249">
        <v>5</v>
      </c>
      <c r="AI249">
        <v>5</v>
      </c>
      <c r="AJ249">
        <v>1</v>
      </c>
      <c r="AK249">
        <v>4</v>
      </c>
      <c r="AL249" t="s">
        <v>578</v>
      </c>
      <c r="AM249" t="s">
        <v>93</v>
      </c>
      <c r="AN249" t="s">
        <v>579</v>
      </c>
      <c r="AO249" t="s">
        <v>5307</v>
      </c>
      <c r="AP249" t="s">
        <v>5308</v>
      </c>
      <c r="AQ249" t="s">
        <v>74</v>
      </c>
      <c r="AR249" t="s">
        <v>5309</v>
      </c>
      <c r="AS249" t="s">
        <v>5310</v>
      </c>
      <c r="AT249" t="s">
        <v>3950</v>
      </c>
      <c r="AU249">
        <v>2020</v>
      </c>
      <c r="AV249">
        <v>247</v>
      </c>
      <c r="AW249" t="s">
        <v>74</v>
      </c>
      <c r="AX249" t="s">
        <v>74</v>
      </c>
      <c r="AY249" t="s">
        <v>74</v>
      </c>
      <c r="AZ249" t="s">
        <v>74</v>
      </c>
      <c r="BA249" t="s">
        <v>74</v>
      </c>
      <c r="BB249" t="s">
        <v>74</v>
      </c>
      <c r="BC249" t="s">
        <v>74</v>
      </c>
      <c r="BD249">
        <v>108641</v>
      </c>
      <c r="BE249" t="s">
        <v>5325</v>
      </c>
      <c r="BF249" t="str">
        <f>HYPERLINK("http://dx.doi.org/10.1016/j.biocon.2020.108641","http://dx.doi.org/10.1016/j.biocon.2020.108641")</f>
        <v>http://dx.doi.org/10.1016/j.biocon.2020.108641</v>
      </c>
      <c r="BG249" t="s">
        <v>74</v>
      </c>
      <c r="BH249" t="s">
        <v>74</v>
      </c>
      <c r="BI249">
        <v>8</v>
      </c>
      <c r="BJ249" t="s">
        <v>1375</v>
      </c>
      <c r="BK249" t="s">
        <v>102</v>
      </c>
      <c r="BL249" t="s">
        <v>1005</v>
      </c>
      <c r="BM249" t="s">
        <v>5312</v>
      </c>
      <c r="BN249" t="s">
        <v>74</v>
      </c>
      <c r="BO249" t="s">
        <v>3716</v>
      </c>
      <c r="BP249" t="s">
        <v>74</v>
      </c>
      <c r="BQ249" t="s">
        <v>74</v>
      </c>
      <c r="BR249" t="s">
        <v>106</v>
      </c>
      <c r="BS249" t="s">
        <v>5326</v>
      </c>
      <c r="BT249" t="str">
        <f>HYPERLINK("https%3A%2F%2Fwww.webofscience.com%2Fwos%2Fwoscc%2Ffull-record%2FWOS:000540247600028","View Full Record in Web of Science")</f>
        <v>View Full Record in Web of Science</v>
      </c>
    </row>
    <row r="250" spans="1:72" x14ac:dyDescent="0.15">
      <c r="A250" t="s">
        <v>72</v>
      </c>
      <c r="B250" t="s">
        <v>5327</v>
      </c>
      <c r="C250" t="s">
        <v>74</v>
      </c>
      <c r="D250" t="s">
        <v>74</v>
      </c>
      <c r="E250" t="s">
        <v>74</v>
      </c>
      <c r="F250" t="s">
        <v>5328</v>
      </c>
      <c r="G250" t="s">
        <v>74</v>
      </c>
      <c r="H250" t="s">
        <v>74</v>
      </c>
      <c r="I250" t="s">
        <v>5329</v>
      </c>
      <c r="J250" t="s">
        <v>5330</v>
      </c>
      <c r="K250" t="s">
        <v>74</v>
      </c>
      <c r="L250" t="s">
        <v>74</v>
      </c>
      <c r="M250" t="s">
        <v>78</v>
      </c>
      <c r="N250" t="s">
        <v>79</v>
      </c>
      <c r="O250" t="s">
        <v>74</v>
      </c>
      <c r="P250" t="s">
        <v>74</v>
      </c>
      <c r="Q250" t="s">
        <v>74</v>
      </c>
      <c r="R250" t="s">
        <v>74</v>
      </c>
      <c r="S250" t="s">
        <v>74</v>
      </c>
      <c r="T250" t="s">
        <v>5331</v>
      </c>
      <c r="U250" t="s">
        <v>5332</v>
      </c>
      <c r="V250" t="s">
        <v>5333</v>
      </c>
      <c r="W250" t="s">
        <v>5334</v>
      </c>
      <c r="X250" t="s">
        <v>5335</v>
      </c>
      <c r="Y250" t="s">
        <v>5336</v>
      </c>
      <c r="Z250" t="s">
        <v>5337</v>
      </c>
      <c r="AA250" t="s">
        <v>5338</v>
      </c>
      <c r="AB250" t="s">
        <v>5339</v>
      </c>
      <c r="AC250" t="s">
        <v>5340</v>
      </c>
      <c r="AD250" t="s">
        <v>5340</v>
      </c>
      <c r="AE250" t="s">
        <v>5341</v>
      </c>
      <c r="AF250" t="s">
        <v>74</v>
      </c>
      <c r="AG250">
        <v>60</v>
      </c>
      <c r="AH250">
        <v>5</v>
      </c>
      <c r="AI250">
        <v>6</v>
      </c>
      <c r="AJ250">
        <v>1</v>
      </c>
      <c r="AK250">
        <v>9</v>
      </c>
      <c r="AL250" t="s">
        <v>92</v>
      </c>
      <c r="AM250" t="s">
        <v>93</v>
      </c>
      <c r="AN250" t="s">
        <v>94</v>
      </c>
      <c r="AO250" t="s">
        <v>5342</v>
      </c>
      <c r="AP250" t="s">
        <v>5343</v>
      </c>
      <c r="AQ250" t="s">
        <v>74</v>
      </c>
      <c r="AR250" t="s">
        <v>5344</v>
      </c>
      <c r="AS250" t="s">
        <v>5345</v>
      </c>
      <c r="AT250" t="s">
        <v>3950</v>
      </c>
      <c r="AU250">
        <v>2020</v>
      </c>
      <c r="AV250">
        <v>161</v>
      </c>
      <c r="AW250" t="s">
        <v>74</v>
      </c>
      <c r="AX250" t="s">
        <v>74</v>
      </c>
      <c r="AY250" t="s">
        <v>74</v>
      </c>
      <c r="AZ250" t="s">
        <v>74</v>
      </c>
      <c r="BA250" t="s">
        <v>74</v>
      </c>
      <c r="BB250" t="s">
        <v>74</v>
      </c>
      <c r="BC250" t="s">
        <v>74</v>
      </c>
      <c r="BD250">
        <v>103283</v>
      </c>
      <c r="BE250" t="s">
        <v>5346</v>
      </c>
      <c r="BF250" t="str">
        <f>HYPERLINK("http://dx.doi.org/10.1016/j.dsr.2020.103283","http://dx.doi.org/10.1016/j.dsr.2020.103283")</f>
        <v>http://dx.doi.org/10.1016/j.dsr.2020.103283</v>
      </c>
      <c r="BG250" t="s">
        <v>74</v>
      </c>
      <c r="BH250" t="s">
        <v>74</v>
      </c>
      <c r="BI250">
        <v>12</v>
      </c>
      <c r="BJ250" t="s">
        <v>213</v>
      </c>
      <c r="BK250" t="s">
        <v>102</v>
      </c>
      <c r="BL250" t="s">
        <v>213</v>
      </c>
      <c r="BM250" t="s">
        <v>5347</v>
      </c>
      <c r="BN250" t="s">
        <v>74</v>
      </c>
      <c r="BO250" t="s">
        <v>74</v>
      </c>
      <c r="BP250" t="s">
        <v>74</v>
      </c>
      <c r="BQ250" t="s">
        <v>74</v>
      </c>
      <c r="BR250" t="s">
        <v>106</v>
      </c>
      <c r="BS250" t="s">
        <v>5348</v>
      </c>
      <c r="BT250" t="str">
        <f>HYPERLINK("https%3A%2F%2Fwww.webofscience.com%2Fwos%2Fwoscc%2Ffull-record%2FWOS:000540839500004","View Full Record in Web of Science")</f>
        <v>View Full Record in Web of Science</v>
      </c>
    </row>
    <row r="251" spans="1:72" x14ac:dyDescent="0.15">
      <c r="A251" t="s">
        <v>72</v>
      </c>
      <c r="B251" t="s">
        <v>5349</v>
      </c>
      <c r="C251" t="s">
        <v>74</v>
      </c>
      <c r="D251" t="s">
        <v>74</v>
      </c>
      <c r="E251" t="s">
        <v>74</v>
      </c>
      <c r="F251" t="s">
        <v>5350</v>
      </c>
      <c r="G251" t="s">
        <v>74</v>
      </c>
      <c r="H251" t="s">
        <v>74</v>
      </c>
      <c r="I251" t="s">
        <v>5351</v>
      </c>
      <c r="J251" t="s">
        <v>5330</v>
      </c>
      <c r="K251" t="s">
        <v>74</v>
      </c>
      <c r="L251" t="s">
        <v>74</v>
      </c>
      <c r="M251" t="s">
        <v>78</v>
      </c>
      <c r="N251" t="s">
        <v>79</v>
      </c>
      <c r="O251" t="s">
        <v>74</v>
      </c>
      <c r="P251" t="s">
        <v>74</v>
      </c>
      <c r="Q251" t="s">
        <v>74</v>
      </c>
      <c r="R251" t="s">
        <v>74</v>
      </c>
      <c r="S251" t="s">
        <v>74</v>
      </c>
      <c r="T251" t="s">
        <v>5352</v>
      </c>
      <c r="U251" t="s">
        <v>5353</v>
      </c>
      <c r="V251" t="s">
        <v>5354</v>
      </c>
      <c r="W251" t="s">
        <v>5355</v>
      </c>
      <c r="X251" t="s">
        <v>5356</v>
      </c>
      <c r="Y251" t="s">
        <v>5357</v>
      </c>
      <c r="Z251" t="s">
        <v>5358</v>
      </c>
      <c r="AA251" t="s">
        <v>74</v>
      </c>
      <c r="AB251" t="s">
        <v>74</v>
      </c>
      <c r="AC251" t="s">
        <v>74</v>
      </c>
      <c r="AD251" t="s">
        <v>74</v>
      </c>
      <c r="AE251" t="s">
        <v>74</v>
      </c>
      <c r="AF251" t="s">
        <v>74</v>
      </c>
      <c r="AG251">
        <v>70</v>
      </c>
      <c r="AH251">
        <v>8</v>
      </c>
      <c r="AI251">
        <v>8</v>
      </c>
      <c r="AJ251">
        <v>0</v>
      </c>
      <c r="AK251">
        <v>3</v>
      </c>
      <c r="AL251" t="s">
        <v>92</v>
      </c>
      <c r="AM251" t="s">
        <v>93</v>
      </c>
      <c r="AN251" t="s">
        <v>94</v>
      </c>
      <c r="AO251" t="s">
        <v>5342</v>
      </c>
      <c r="AP251" t="s">
        <v>5343</v>
      </c>
      <c r="AQ251" t="s">
        <v>74</v>
      </c>
      <c r="AR251" t="s">
        <v>5344</v>
      </c>
      <c r="AS251" t="s">
        <v>5345</v>
      </c>
      <c r="AT251" t="s">
        <v>3950</v>
      </c>
      <c r="AU251">
        <v>2020</v>
      </c>
      <c r="AV251">
        <v>161</v>
      </c>
      <c r="AW251" t="s">
        <v>74</v>
      </c>
      <c r="AX251" t="s">
        <v>74</v>
      </c>
      <c r="AY251" t="s">
        <v>74</v>
      </c>
      <c r="AZ251" t="s">
        <v>74</v>
      </c>
      <c r="BA251" t="s">
        <v>74</v>
      </c>
      <c r="BB251" t="s">
        <v>74</v>
      </c>
      <c r="BC251" t="s">
        <v>74</v>
      </c>
      <c r="BD251">
        <v>103278</v>
      </c>
      <c r="BE251" t="s">
        <v>5359</v>
      </c>
      <c r="BF251" t="str">
        <f>HYPERLINK("http://dx.doi.org/10.1016/j.dsr.2020.103278","http://dx.doi.org/10.1016/j.dsr.2020.103278")</f>
        <v>http://dx.doi.org/10.1016/j.dsr.2020.103278</v>
      </c>
      <c r="BG251" t="s">
        <v>74</v>
      </c>
      <c r="BH251" t="s">
        <v>74</v>
      </c>
      <c r="BI251">
        <v>19</v>
      </c>
      <c r="BJ251" t="s">
        <v>213</v>
      </c>
      <c r="BK251" t="s">
        <v>102</v>
      </c>
      <c r="BL251" t="s">
        <v>213</v>
      </c>
      <c r="BM251" t="s">
        <v>5347</v>
      </c>
      <c r="BN251" t="s">
        <v>74</v>
      </c>
      <c r="BO251" t="s">
        <v>74</v>
      </c>
      <c r="BP251" t="s">
        <v>74</v>
      </c>
      <c r="BQ251" t="s">
        <v>74</v>
      </c>
      <c r="BR251" t="s">
        <v>106</v>
      </c>
      <c r="BS251" t="s">
        <v>5360</v>
      </c>
      <c r="BT251" t="str">
        <f>HYPERLINK("https%3A%2F%2Fwww.webofscience.com%2Fwos%2Fwoscc%2Ffull-record%2FWOS:000540839500001","View Full Record in Web of Science")</f>
        <v>View Full Record in Web of Science</v>
      </c>
    </row>
    <row r="252" spans="1:72" x14ac:dyDescent="0.15">
      <c r="A252" t="s">
        <v>72</v>
      </c>
      <c r="B252" t="s">
        <v>5361</v>
      </c>
      <c r="C252" t="s">
        <v>74</v>
      </c>
      <c r="D252" t="s">
        <v>74</v>
      </c>
      <c r="E252" t="s">
        <v>74</v>
      </c>
      <c r="F252" t="s">
        <v>5362</v>
      </c>
      <c r="G252" t="s">
        <v>74</v>
      </c>
      <c r="H252" t="s">
        <v>74</v>
      </c>
      <c r="I252" t="s">
        <v>5363</v>
      </c>
      <c r="J252" t="s">
        <v>453</v>
      </c>
      <c r="K252" t="s">
        <v>74</v>
      </c>
      <c r="L252" t="s">
        <v>74</v>
      </c>
      <c r="M252" t="s">
        <v>78</v>
      </c>
      <c r="N252" t="s">
        <v>245</v>
      </c>
      <c r="O252" t="s">
        <v>74</v>
      </c>
      <c r="P252" t="s">
        <v>74</v>
      </c>
      <c r="Q252" t="s">
        <v>74</v>
      </c>
      <c r="R252" t="s">
        <v>74</v>
      </c>
      <c r="S252" t="s">
        <v>74</v>
      </c>
      <c r="T252" t="s">
        <v>5364</v>
      </c>
      <c r="U252" t="s">
        <v>5365</v>
      </c>
      <c r="V252" t="s">
        <v>5366</v>
      </c>
      <c r="W252" t="s">
        <v>5367</v>
      </c>
      <c r="X252" t="s">
        <v>5368</v>
      </c>
      <c r="Y252" t="s">
        <v>5369</v>
      </c>
      <c r="Z252" t="s">
        <v>5370</v>
      </c>
      <c r="AA252" t="s">
        <v>5371</v>
      </c>
      <c r="AB252" t="s">
        <v>5372</v>
      </c>
      <c r="AC252" t="s">
        <v>5373</v>
      </c>
      <c r="AD252" t="s">
        <v>688</v>
      </c>
      <c r="AE252" t="s">
        <v>74</v>
      </c>
      <c r="AF252" t="s">
        <v>74</v>
      </c>
      <c r="AG252">
        <v>74</v>
      </c>
      <c r="AH252">
        <v>10</v>
      </c>
      <c r="AI252">
        <v>10</v>
      </c>
      <c r="AJ252">
        <v>3</v>
      </c>
      <c r="AK252">
        <v>25</v>
      </c>
      <c r="AL252" t="s">
        <v>284</v>
      </c>
      <c r="AM252" t="s">
        <v>285</v>
      </c>
      <c r="AN252" t="s">
        <v>713</v>
      </c>
      <c r="AO252" t="s">
        <v>466</v>
      </c>
      <c r="AP252" t="s">
        <v>467</v>
      </c>
      <c r="AQ252" t="s">
        <v>74</v>
      </c>
      <c r="AR252" t="s">
        <v>468</v>
      </c>
      <c r="AS252" t="s">
        <v>469</v>
      </c>
      <c r="AT252" t="s">
        <v>3950</v>
      </c>
      <c r="AU252">
        <v>2020</v>
      </c>
      <c r="AV252">
        <v>83</v>
      </c>
      <c r="AW252" t="s">
        <v>74</v>
      </c>
      <c r="AX252" t="s">
        <v>74</v>
      </c>
      <c r="AY252" t="s">
        <v>74</v>
      </c>
      <c r="AZ252" t="s">
        <v>74</v>
      </c>
      <c r="BA252" t="s">
        <v>74</v>
      </c>
      <c r="BB252">
        <v>80</v>
      </c>
      <c r="BC252">
        <v>95</v>
      </c>
      <c r="BD252" t="s">
        <v>74</v>
      </c>
      <c r="BE252" t="s">
        <v>5374</v>
      </c>
      <c r="BF252" t="str">
        <f>HYPERLINK("http://dx.doi.org/10.1016/j.gr.2020.01.009","http://dx.doi.org/10.1016/j.gr.2020.01.009")</f>
        <v>http://dx.doi.org/10.1016/j.gr.2020.01.009</v>
      </c>
      <c r="BG252" t="s">
        <v>74</v>
      </c>
      <c r="BH252" t="s">
        <v>74</v>
      </c>
      <c r="BI252">
        <v>16</v>
      </c>
      <c r="BJ252" t="s">
        <v>471</v>
      </c>
      <c r="BK252" t="s">
        <v>102</v>
      </c>
      <c r="BL252" t="s">
        <v>472</v>
      </c>
      <c r="BM252" t="s">
        <v>5375</v>
      </c>
      <c r="BN252" t="s">
        <v>74</v>
      </c>
      <c r="BO252" t="s">
        <v>294</v>
      </c>
      <c r="BP252" t="s">
        <v>74</v>
      </c>
      <c r="BQ252" t="s">
        <v>74</v>
      </c>
      <c r="BR252" t="s">
        <v>106</v>
      </c>
      <c r="BS252" t="s">
        <v>5376</v>
      </c>
      <c r="BT252" t="str">
        <f>HYPERLINK("https%3A%2F%2Fwww.webofscience.com%2Fwos%2Fwoscc%2Ffull-record%2FWOS:000540384800006","View Full Record in Web of Science")</f>
        <v>View Full Record in Web of Science</v>
      </c>
    </row>
    <row r="253" spans="1:72" x14ac:dyDescent="0.15">
      <c r="A253" t="s">
        <v>72</v>
      </c>
      <c r="B253" t="s">
        <v>5377</v>
      </c>
      <c r="C253" t="s">
        <v>74</v>
      </c>
      <c r="D253" t="s">
        <v>74</v>
      </c>
      <c r="E253" t="s">
        <v>74</v>
      </c>
      <c r="F253" t="s">
        <v>5378</v>
      </c>
      <c r="G253" t="s">
        <v>74</v>
      </c>
      <c r="H253" t="s">
        <v>74</v>
      </c>
      <c r="I253" t="s">
        <v>5379</v>
      </c>
      <c r="J253" t="s">
        <v>5380</v>
      </c>
      <c r="K253" t="s">
        <v>74</v>
      </c>
      <c r="L253" t="s">
        <v>74</v>
      </c>
      <c r="M253" t="s">
        <v>78</v>
      </c>
      <c r="N253" t="s">
        <v>79</v>
      </c>
      <c r="O253" t="s">
        <v>74</v>
      </c>
      <c r="P253" t="s">
        <v>74</v>
      </c>
      <c r="Q253" t="s">
        <v>74</v>
      </c>
      <c r="R253" t="s">
        <v>74</v>
      </c>
      <c r="S253" t="s">
        <v>74</v>
      </c>
      <c r="T253" t="s">
        <v>5381</v>
      </c>
      <c r="U253" t="s">
        <v>5382</v>
      </c>
      <c r="V253" t="s">
        <v>5383</v>
      </c>
      <c r="W253" t="s">
        <v>5384</v>
      </c>
      <c r="X253" t="s">
        <v>5385</v>
      </c>
      <c r="Y253" t="s">
        <v>5386</v>
      </c>
      <c r="Z253" t="s">
        <v>5387</v>
      </c>
      <c r="AA253" t="s">
        <v>74</v>
      </c>
      <c r="AB253" t="s">
        <v>5388</v>
      </c>
      <c r="AC253" t="s">
        <v>5389</v>
      </c>
      <c r="AD253" t="s">
        <v>5390</v>
      </c>
      <c r="AE253" t="s">
        <v>5391</v>
      </c>
      <c r="AF253" t="s">
        <v>74</v>
      </c>
      <c r="AG253">
        <v>29</v>
      </c>
      <c r="AH253">
        <v>7</v>
      </c>
      <c r="AI253">
        <v>7</v>
      </c>
      <c r="AJ253">
        <v>1</v>
      </c>
      <c r="AK253">
        <v>16</v>
      </c>
      <c r="AL253" t="s">
        <v>284</v>
      </c>
      <c r="AM253" t="s">
        <v>285</v>
      </c>
      <c r="AN253" t="s">
        <v>713</v>
      </c>
      <c r="AO253" t="s">
        <v>5392</v>
      </c>
      <c r="AP253" t="s">
        <v>5393</v>
      </c>
      <c r="AQ253" t="s">
        <v>74</v>
      </c>
      <c r="AR253" t="s">
        <v>5394</v>
      </c>
      <c r="AS253" t="s">
        <v>5395</v>
      </c>
      <c r="AT253" t="s">
        <v>3950</v>
      </c>
      <c r="AU253">
        <v>2020</v>
      </c>
      <c r="AV253">
        <v>174</v>
      </c>
      <c r="AW253" t="s">
        <v>74</v>
      </c>
      <c r="AX253" t="s">
        <v>74</v>
      </c>
      <c r="AY253" t="s">
        <v>74</v>
      </c>
      <c r="AZ253" t="s">
        <v>74</v>
      </c>
      <c r="BA253" t="s">
        <v>74</v>
      </c>
      <c r="BB253" t="s">
        <v>74</v>
      </c>
      <c r="BC253" t="s">
        <v>74</v>
      </c>
      <c r="BD253">
        <v>105943</v>
      </c>
      <c r="BE253" t="s">
        <v>5396</v>
      </c>
      <c r="BF253" t="str">
        <f>HYPERLINK("http://dx.doi.org/10.1016/j.mimet.2020.105943","http://dx.doi.org/10.1016/j.mimet.2020.105943")</f>
        <v>http://dx.doi.org/10.1016/j.mimet.2020.105943</v>
      </c>
      <c r="BG253" t="s">
        <v>74</v>
      </c>
      <c r="BH253" t="s">
        <v>74</v>
      </c>
      <c r="BI253">
        <v>10</v>
      </c>
      <c r="BJ253" t="s">
        <v>5397</v>
      </c>
      <c r="BK253" t="s">
        <v>102</v>
      </c>
      <c r="BL253" t="s">
        <v>1932</v>
      </c>
      <c r="BM253" t="s">
        <v>5398</v>
      </c>
      <c r="BN253">
        <v>32433995</v>
      </c>
      <c r="BO253" t="s">
        <v>976</v>
      </c>
      <c r="BP253" t="s">
        <v>74</v>
      </c>
      <c r="BQ253" t="s">
        <v>74</v>
      </c>
      <c r="BR253" t="s">
        <v>106</v>
      </c>
      <c r="BS253" t="s">
        <v>5399</v>
      </c>
      <c r="BT253" t="str">
        <f>HYPERLINK("https%3A%2F%2Fwww.webofscience.com%2Fwos%2Fwoscc%2Ffull-record%2FWOS:000540669900010","View Full Record in Web of Science")</f>
        <v>View Full Record in Web of Science</v>
      </c>
    </row>
    <row r="254" spans="1:72" x14ac:dyDescent="0.15">
      <c r="A254" t="s">
        <v>72</v>
      </c>
      <c r="B254" t="s">
        <v>5400</v>
      </c>
      <c r="C254" t="s">
        <v>74</v>
      </c>
      <c r="D254" t="s">
        <v>74</v>
      </c>
      <c r="E254" t="s">
        <v>74</v>
      </c>
      <c r="F254" t="s">
        <v>5401</v>
      </c>
      <c r="G254" t="s">
        <v>74</v>
      </c>
      <c r="H254" t="s">
        <v>74</v>
      </c>
      <c r="I254" t="s">
        <v>5402</v>
      </c>
      <c r="J254" t="s">
        <v>299</v>
      </c>
      <c r="K254" t="s">
        <v>74</v>
      </c>
      <c r="L254" t="s">
        <v>74</v>
      </c>
      <c r="M254" t="s">
        <v>78</v>
      </c>
      <c r="N254" t="s">
        <v>79</v>
      </c>
      <c r="O254" t="s">
        <v>74</v>
      </c>
      <c r="P254" t="s">
        <v>74</v>
      </c>
      <c r="Q254" t="s">
        <v>74</v>
      </c>
      <c r="R254" t="s">
        <v>74</v>
      </c>
      <c r="S254" t="s">
        <v>74</v>
      </c>
      <c r="T254" t="s">
        <v>5403</v>
      </c>
      <c r="U254" t="s">
        <v>5404</v>
      </c>
      <c r="V254" t="s">
        <v>5405</v>
      </c>
      <c r="W254" t="s">
        <v>5406</v>
      </c>
      <c r="X254" t="s">
        <v>5407</v>
      </c>
      <c r="Y254" t="s">
        <v>5408</v>
      </c>
      <c r="Z254" t="s">
        <v>5409</v>
      </c>
      <c r="AA254" t="s">
        <v>5410</v>
      </c>
      <c r="AB254" t="s">
        <v>5411</v>
      </c>
      <c r="AC254" t="s">
        <v>5412</v>
      </c>
      <c r="AD254" t="s">
        <v>5413</v>
      </c>
      <c r="AE254" t="s">
        <v>5414</v>
      </c>
      <c r="AF254" t="s">
        <v>74</v>
      </c>
      <c r="AG254">
        <v>122</v>
      </c>
      <c r="AH254">
        <v>20</v>
      </c>
      <c r="AI254">
        <v>22</v>
      </c>
      <c r="AJ254">
        <v>2</v>
      </c>
      <c r="AK254">
        <v>19</v>
      </c>
      <c r="AL254" t="s">
        <v>284</v>
      </c>
      <c r="AM254" t="s">
        <v>285</v>
      </c>
      <c r="AN254" t="s">
        <v>286</v>
      </c>
      <c r="AO254" t="s">
        <v>312</v>
      </c>
      <c r="AP254" t="s">
        <v>313</v>
      </c>
      <c r="AQ254" t="s">
        <v>74</v>
      </c>
      <c r="AR254" t="s">
        <v>314</v>
      </c>
      <c r="AS254" t="s">
        <v>315</v>
      </c>
      <c r="AT254" t="s">
        <v>5287</v>
      </c>
      <c r="AU254">
        <v>2020</v>
      </c>
      <c r="AV254">
        <v>724</v>
      </c>
      <c r="AW254" t="s">
        <v>74</v>
      </c>
      <c r="AX254" t="s">
        <v>74</v>
      </c>
      <c r="AY254" t="s">
        <v>74</v>
      </c>
      <c r="AZ254" t="s">
        <v>74</v>
      </c>
      <c r="BA254" t="s">
        <v>74</v>
      </c>
      <c r="BB254" t="s">
        <v>74</v>
      </c>
      <c r="BC254" t="s">
        <v>74</v>
      </c>
      <c r="BD254">
        <v>138112</v>
      </c>
      <c r="BE254" t="s">
        <v>5415</v>
      </c>
      <c r="BF254" t="str">
        <f>HYPERLINK("http://dx.doi.org/10.1016/j.scitotenv.2020.138112","http://dx.doi.org/10.1016/j.scitotenv.2020.138112")</f>
        <v>http://dx.doi.org/10.1016/j.scitotenv.2020.138112</v>
      </c>
      <c r="BG254" t="s">
        <v>74</v>
      </c>
      <c r="BH254" t="s">
        <v>74</v>
      </c>
      <c r="BI254">
        <v>12</v>
      </c>
      <c r="BJ254" t="s">
        <v>101</v>
      </c>
      <c r="BK254" t="s">
        <v>102</v>
      </c>
      <c r="BL254" t="s">
        <v>103</v>
      </c>
      <c r="BM254" t="s">
        <v>5416</v>
      </c>
      <c r="BN254">
        <v>32408434</v>
      </c>
      <c r="BO254" t="s">
        <v>5417</v>
      </c>
      <c r="BP254" t="s">
        <v>74</v>
      </c>
      <c r="BQ254" t="s">
        <v>74</v>
      </c>
      <c r="BR254" t="s">
        <v>106</v>
      </c>
      <c r="BS254" t="s">
        <v>5418</v>
      </c>
      <c r="BT254" t="str">
        <f>HYPERLINK("https%3A%2F%2Fwww.webofscience.com%2Fwos%2Fwoscc%2Ffull-record%2FWOS:000532687000004","View Full Record in Web of Science")</f>
        <v>View Full Record in Web of Science</v>
      </c>
    </row>
    <row r="255" spans="1:72" x14ac:dyDescent="0.15">
      <c r="A255" t="s">
        <v>72</v>
      </c>
      <c r="B255" t="s">
        <v>5419</v>
      </c>
      <c r="C255" t="s">
        <v>74</v>
      </c>
      <c r="D255" t="s">
        <v>74</v>
      </c>
      <c r="E255" t="s">
        <v>74</v>
      </c>
      <c r="F255" t="s">
        <v>5420</v>
      </c>
      <c r="G255" t="s">
        <v>74</v>
      </c>
      <c r="H255" t="s">
        <v>74</v>
      </c>
      <c r="I255" t="s">
        <v>5421</v>
      </c>
      <c r="J255" t="s">
        <v>2672</v>
      </c>
      <c r="K255" t="s">
        <v>74</v>
      </c>
      <c r="L255" t="s">
        <v>74</v>
      </c>
      <c r="M255" t="s">
        <v>78</v>
      </c>
      <c r="N255" t="s">
        <v>79</v>
      </c>
      <c r="O255" t="s">
        <v>74</v>
      </c>
      <c r="P255" t="s">
        <v>74</v>
      </c>
      <c r="Q255" t="s">
        <v>74</v>
      </c>
      <c r="R255" t="s">
        <v>74</v>
      </c>
      <c r="S255" t="s">
        <v>74</v>
      </c>
      <c r="T255" t="s">
        <v>5422</v>
      </c>
      <c r="U255" t="s">
        <v>5423</v>
      </c>
      <c r="V255" t="s">
        <v>5424</v>
      </c>
      <c r="W255" t="s">
        <v>5425</v>
      </c>
      <c r="X255" t="s">
        <v>5426</v>
      </c>
      <c r="Y255" t="s">
        <v>5427</v>
      </c>
      <c r="Z255" t="s">
        <v>5428</v>
      </c>
      <c r="AA255" t="s">
        <v>5429</v>
      </c>
      <c r="AB255" t="s">
        <v>74</v>
      </c>
      <c r="AC255" t="s">
        <v>5430</v>
      </c>
      <c r="AD255" t="s">
        <v>5431</v>
      </c>
      <c r="AE255" t="s">
        <v>5432</v>
      </c>
      <c r="AF255" t="s">
        <v>74</v>
      </c>
      <c r="AG255">
        <v>85</v>
      </c>
      <c r="AH255">
        <v>10</v>
      </c>
      <c r="AI255">
        <v>15</v>
      </c>
      <c r="AJ255">
        <v>7</v>
      </c>
      <c r="AK255">
        <v>27</v>
      </c>
      <c r="AL255" t="s">
        <v>284</v>
      </c>
      <c r="AM255" t="s">
        <v>285</v>
      </c>
      <c r="AN255" t="s">
        <v>286</v>
      </c>
      <c r="AO255" t="s">
        <v>2682</v>
      </c>
      <c r="AP255" t="s">
        <v>2683</v>
      </c>
      <c r="AQ255" t="s">
        <v>74</v>
      </c>
      <c r="AR255" t="s">
        <v>2684</v>
      </c>
      <c r="AS255" t="s">
        <v>2685</v>
      </c>
      <c r="AT255" t="s">
        <v>3950</v>
      </c>
      <c r="AU255">
        <v>2020</v>
      </c>
      <c r="AV255">
        <v>404</v>
      </c>
      <c r="AW255" t="s">
        <v>74</v>
      </c>
      <c r="AX255" t="s">
        <v>74</v>
      </c>
      <c r="AY255" t="s">
        <v>74</v>
      </c>
      <c r="AZ255" t="s">
        <v>74</v>
      </c>
      <c r="BA255" t="s">
        <v>74</v>
      </c>
      <c r="BB255" t="s">
        <v>74</v>
      </c>
      <c r="BC255" t="s">
        <v>74</v>
      </c>
      <c r="BD255">
        <v>105680</v>
      </c>
      <c r="BE255" t="s">
        <v>5433</v>
      </c>
      <c r="BF255" t="str">
        <f>HYPERLINK("http://dx.doi.org/10.1016/j.sedgeo.2020.105680","http://dx.doi.org/10.1016/j.sedgeo.2020.105680")</f>
        <v>http://dx.doi.org/10.1016/j.sedgeo.2020.105680</v>
      </c>
      <c r="BG255" t="s">
        <v>74</v>
      </c>
      <c r="BH255" t="s">
        <v>74</v>
      </c>
      <c r="BI255">
        <v>13</v>
      </c>
      <c r="BJ255" t="s">
        <v>472</v>
      </c>
      <c r="BK255" t="s">
        <v>102</v>
      </c>
      <c r="BL255" t="s">
        <v>472</v>
      </c>
      <c r="BM255" t="s">
        <v>5434</v>
      </c>
      <c r="BN255" t="s">
        <v>74</v>
      </c>
      <c r="BO255" t="s">
        <v>74</v>
      </c>
      <c r="BP255" t="s">
        <v>74</v>
      </c>
      <c r="BQ255" t="s">
        <v>74</v>
      </c>
      <c r="BR255" t="s">
        <v>106</v>
      </c>
      <c r="BS255" t="s">
        <v>5435</v>
      </c>
      <c r="BT255" t="str">
        <f>HYPERLINK("https%3A%2F%2Fwww.webofscience.com%2Fwos%2Fwoscc%2Ffull-record%2FWOS:000540873000007","View Full Record in Web of Science")</f>
        <v>View Full Record in Web of Science</v>
      </c>
    </row>
    <row r="256" spans="1:72" x14ac:dyDescent="0.15">
      <c r="A256" t="s">
        <v>72</v>
      </c>
      <c r="B256" t="s">
        <v>5436</v>
      </c>
      <c r="C256" t="s">
        <v>74</v>
      </c>
      <c r="D256" t="s">
        <v>74</v>
      </c>
      <c r="E256" t="s">
        <v>74</v>
      </c>
      <c r="F256" t="s">
        <v>5437</v>
      </c>
      <c r="G256" t="s">
        <v>74</v>
      </c>
      <c r="H256" t="s">
        <v>74</v>
      </c>
      <c r="I256" t="s">
        <v>5438</v>
      </c>
      <c r="J256" t="s">
        <v>219</v>
      </c>
      <c r="K256" t="s">
        <v>74</v>
      </c>
      <c r="L256" t="s">
        <v>74</v>
      </c>
      <c r="M256" t="s">
        <v>78</v>
      </c>
      <c r="N256" t="s">
        <v>79</v>
      </c>
      <c r="O256" t="s">
        <v>74</v>
      </c>
      <c r="P256" t="s">
        <v>74</v>
      </c>
      <c r="Q256" t="s">
        <v>74</v>
      </c>
      <c r="R256" t="s">
        <v>74</v>
      </c>
      <c r="S256" t="s">
        <v>74</v>
      </c>
      <c r="T256" t="s">
        <v>5439</v>
      </c>
      <c r="U256" t="s">
        <v>5440</v>
      </c>
      <c r="V256" t="s">
        <v>5441</v>
      </c>
      <c r="W256" t="s">
        <v>5442</v>
      </c>
      <c r="X256" t="s">
        <v>5443</v>
      </c>
      <c r="Y256" t="s">
        <v>5444</v>
      </c>
      <c r="Z256" t="s">
        <v>5445</v>
      </c>
      <c r="AA256" t="s">
        <v>5446</v>
      </c>
      <c r="AB256" t="s">
        <v>5447</v>
      </c>
      <c r="AC256" t="s">
        <v>5448</v>
      </c>
      <c r="AD256" t="s">
        <v>5449</v>
      </c>
      <c r="AE256" t="s">
        <v>5450</v>
      </c>
      <c r="AF256" t="s">
        <v>74</v>
      </c>
      <c r="AG256">
        <v>51</v>
      </c>
      <c r="AH256">
        <v>15</v>
      </c>
      <c r="AI256">
        <v>16</v>
      </c>
      <c r="AJ256">
        <v>7</v>
      </c>
      <c r="AK256">
        <v>37</v>
      </c>
      <c r="AL256" t="s">
        <v>92</v>
      </c>
      <c r="AM256" t="s">
        <v>93</v>
      </c>
      <c r="AN256" t="s">
        <v>94</v>
      </c>
      <c r="AO256" t="s">
        <v>232</v>
      </c>
      <c r="AP256" t="s">
        <v>233</v>
      </c>
      <c r="AQ256" t="s">
        <v>74</v>
      </c>
      <c r="AR256" t="s">
        <v>234</v>
      </c>
      <c r="AS256" t="s">
        <v>235</v>
      </c>
      <c r="AT256" t="s">
        <v>3950</v>
      </c>
      <c r="AU256">
        <v>2020</v>
      </c>
      <c r="AV256">
        <v>156</v>
      </c>
      <c r="AW256" t="s">
        <v>74</v>
      </c>
      <c r="AX256" t="s">
        <v>74</v>
      </c>
      <c r="AY256" t="s">
        <v>74</v>
      </c>
      <c r="AZ256" t="s">
        <v>74</v>
      </c>
      <c r="BA256" t="s">
        <v>74</v>
      </c>
      <c r="BB256" t="s">
        <v>74</v>
      </c>
      <c r="BC256" t="s">
        <v>74</v>
      </c>
      <c r="BD256">
        <v>111244</v>
      </c>
      <c r="BE256" t="s">
        <v>5451</v>
      </c>
      <c r="BF256" t="str">
        <f>HYPERLINK("http://dx.doi.org/10.1016/j.marpolbul.2020.111244","http://dx.doi.org/10.1016/j.marpolbul.2020.111244")</f>
        <v>http://dx.doi.org/10.1016/j.marpolbul.2020.111244</v>
      </c>
      <c r="BG256" t="s">
        <v>74</v>
      </c>
      <c r="BH256" t="s">
        <v>74</v>
      </c>
      <c r="BI256">
        <v>9</v>
      </c>
      <c r="BJ256" t="s">
        <v>237</v>
      </c>
      <c r="BK256" t="s">
        <v>102</v>
      </c>
      <c r="BL256" t="s">
        <v>238</v>
      </c>
      <c r="BM256" t="s">
        <v>5233</v>
      </c>
      <c r="BN256">
        <v>32510386</v>
      </c>
      <c r="BO256" t="s">
        <v>74</v>
      </c>
      <c r="BP256" t="s">
        <v>74</v>
      </c>
      <c r="BQ256" t="s">
        <v>74</v>
      </c>
      <c r="BR256" t="s">
        <v>106</v>
      </c>
      <c r="BS256" t="s">
        <v>5452</v>
      </c>
      <c r="BT256" t="str">
        <f>HYPERLINK("https%3A%2F%2Fwww.webofscience.com%2Fwos%2Fwoscc%2Ffull-record%2FWOS:000539160000004","View Full Record in Web of Science")</f>
        <v>View Full Record in Web of Science</v>
      </c>
    </row>
    <row r="257" spans="1:72" x14ac:dyDescent="0.15">
      <c r="A257" t="s">
        <v>72</v>
      </c>
      <c r="B257" t="s">
        <v>5453</v>
      </c>
      <c r="C257" t="s">
        <v>74</v>
      </c>
      <c r="D257" t="s">
        <v>74</v>
      </c>
      <c r="E257" t="s">
        <v>74</v>
      </c>
      <c r="F257" t="s">
        <v>5454</v>
      </c>
      <c r="G257" t="s">
        <v>74</v>
      </c>
      <c r="H257" t="s">
        <v>74</v>
      </c>
      <c r="I257" t="s">
        <v>5455</v>
      </c>
      <c r="J257" t="s">
        <v>219</v>
      </c>
      <c r="K257" t="s">
        <v>74</v>
      </c>
      <c r="L257" t="s">
        <v>74</v>
      </c>
      <c r="M257" t="s">
        <v>78</v>
      </c>
      <c r="N257" t="s">
        <v>79</v>
      </c>
      <c r="O257" t="s">
        <v>74</v>
      </c>
      <c r="P257" t="s">
        <v>74</v>
      </c>
      <c r="Q257" t="s">
        <v>74</v>
      </c>
      <c r="R257" t="s">
        <v>74</v>
      </c>
      <c r="S257" t="s">
        <v>74</v>
      </c>
      <c r="T257" t="s">
        <v>5456</v>
      </c>
      <c r="U257" t="s">
        <v>5457</v>
      </c>
      <c r="V257" t="s">
        <v>5458</v>
      </c>
      <c r="W257" t="s">
        <v>5459</v>
      </c>
      <c r="X257" t="s">
        <v>5460</v>
      </c>
      <c r="Y257" t="s">
        <v>5461</v>
      </c>
      <c r="Z257" t="s">
        <v>5462</v>
      </c>
      <c r="AA257" t="s">
        <v>74</v>
      </c>
      <c r="AB257" t="s">
        <v>5463</v>
      </c>
      <c r="AC257" t="s">
        <v>5464</v>
      </c>
      <c r="AD257" t="s">
        <v>5464</v>
      </c>
      <c r="AE257" t="s">
        <v>5465</v>
      </c>
      <c r="AF257" t="s">
        <v>74</v>
      </c>
      <c r="AG257">
        <v>27</v>
      </c>
      <c r="AH257">
        <v>12</v>
      </c>
      <c r="AI257">
        <v>13</v>
      </c>
      <c r="AJ257">
        <v>3</v>
      </c>
      <c r="AK257">
        <v>14</v>
      </c>
      <c r="AL257" t="s">
        <v>92</v>
      </c>
      <c r="AM257" t="s">
        <v>93</v>
      </c>
      <c r="AN257" t="s">
        <v>94</v>
      </c>
      <c r="AO257" t="s">
        <v>232</v>
      </c>
      <c r="AP257" t="s">
        <v>233</v>
      </c>
      <c r="AQ257" t="s">
        <v>74</v>
      </c>
      <c r="AR257" t="s">
        <v>234</v>
      </c>
      <c r="AS257" t="s">
        <v>235</v>
      </c>
      <c r="AT257" t="s">
        <v>3950</v>
      </c>
      <c r="AU257">
        <v>2020</v>
      </c>
      <c r="AV257">
        <v>156</v>
      </c>
      <c r="AW257" t="s">
        <v>74</v>
      </c>
      <c r="AX257" t="s">
        <v>74</v>
      </c>
      <c r="AY257" t="s">
        <v>74</v>
      </c>
      <c r="AZ257" t="s">
        <v>74</v>
      </c>
      <c r="BA257" t="s">
        <v>74</v>
      </c>
      <c r="BB257" t="s">
        <v>74</v>
      </c>
      <c r="BC257" t="s">
        <v>74</v>
      </c>
      <c r="BD257">
        <v>111262</v>
      </c>
      <c r="BE257" t="s">
        <v>5466</v>
      </c>
      <c r="BF257" t="str">
        <f>HYPERLINK("http://dx.doi.org/10.1016/j.marpolbul.2020.111262","http://dx.doi.org/10.1016/j.marpolbul.2020.111262")</f>
        <v>http://dx.doi.org/10.1016/j.marpolbul.2020.111262</v>
      </c>
      <c r="BG257" t="s">
        <v>74</v>
      </c>
      <c r="BH257" t="s">
        <v>74</v>
      </c>
      <c r="BI257">
        <v>6</v>
      </c>
      <c r="BJ257" t="s">
        <v>237</v>
      </c>
      <c r="BK257" t="s">
        <v>102</v>
      </c>
      <c r="BL257" t="s">
        <v>238</v>
      </c>
      <c r="BM257" t="s">
        <v>5233</v>
      </c>
      <c r="BN257">
        <v>32510403</v>
      </c>
      <c r="BO257" t="s">
        <v>74</v>
      </c>
      <c r="BP257" t="s">
        <v>74</v>
      </c>
      <c r="BQ257" t="s">
        <v>74</v>
      </c>
      <c r="BR257" t="s">
        <v>106</v>
      </c>
      <c r="BS257" t="s">
        <v>5467</v>
      </c>
      <c r="BT257" t="str">
        <f>HYPERLINK("https%3A%2F%2Fwww.webofscience.com%2Fwos%2Fwoscc%2Ffull-record%2FWOS:000539160000086","View Full Record in Web of Science")</f>
        <v>View Full Record in Web of Science</v>
      </c>
    </row>
    <row r="258" spans="1:72" x14ac:dyDescent="0.15">
      <c r="A258" t="s">
        <v>72</v>
      </c>
      <c r="B258" t="s">
        <v>5468</v>
      </c>
      <c r="C258" t="s">
        <v>74</v>
      </c>
      <c r="D258" t="s">
        <v>74</v>
      </c>
      <c r="E258" t="s">
        <v>74</v>
      </c>
      <c r="F258" t="s">
        <v>5469</v>
      </c>
      <c r="G258" t="s">
        <v>74</v>
      </c>
      <c r="H258" t="s">
        <v>74</v>
      </c>
      <c r="I258" t="s">
        <v>5470</v>
      </c>
      <c r="J258" t="s">
        <v>412</v>
      </c>
      <c r="K258" t="s">
        <v>74</v>
      </c>
      <c r="L258" t="s">
        <v>74</v>
      </c>
      <c r="M258" t="s">
        <v>78</v>
      </c>
      <c r="N258" t="s">
        <v>79</v>
      </c>
      <c r="O258" t="s">
        <v>74</v>
      </c>
      <c r="P258" t="s">
        <v>74</v>
      </c>
      <c r="Q258" t="s">
        <v>74</v>
      </c>
      <c r="R258" t="s">
        <v>74</v>
      </c>
      <c r="S258" t="s">
        <v>74</v>
      </c>
      <c r="T258" t="s">
        <v>5471</v>
      </c>
      <c r="U258" t="s">
        <v>5472</v>
      </c>
      <c r="V258" t="s">
        <v>5473</v>
      </c>
      <c r="W258" t="s">
        <v>5474</v>
      </c>
      <c r="X258" t="s">
        <v>5475</v>
      </c>
      <c r="Y258" t="s">
        <v>5476</v>
      </c>
      <c r="Z258" t="s">
        <v>5477</v>
      </c>
      <c r="AA258" t="s">
        <v>5478</v>
      </c>
      <c r="AB258" t="s">
        <v>5479</v>
      </c>
      <c r="AC258" t="s">
        <v>5480</v>
      </c>
      <c r="AD258" t="s">
        <v>5481</v>
      </c>
      <c r="AE258" t="s">
        <v>5482</v>
      </c>
      <c r="AF258" t="s">
        <v>74</v>
      </c>
      <c r="AG258">
        <v>151</v>
      </c>
      <c r="AH258">
        <v>40</v>
      </c>
      <c r="AI258">
        <v>45</v>
      </c>
      <c r="AJ258">
        <v>4</v>
      </c>
      <c r="AK258">
        <v>32</v>
      </c>
      <c r="AL258" t="s">
        <v>92</v>
      </c>
      <c r="AM258" t="s">
        <v>93</v>
      </c>
      <c r="AN258" t="s">
        <v>94</v>
      </c>
      <c r="AO258" t="s">
        <v>425</v>
      </c>
      <c r="AP258" t="s">
        <v>426</v>
      </c>
      <c r="AQ258" t="s">
        <v>74</v>
      </c>
      <c r="AR258" t="s">
        <v>427</v>
      </c>
      <c r="AS258" t="s">
        <v>428</v>
      </c>
      <c r="AT258" t="s">
        <v>5287</v>
      </c>
      <c r="AU258">
        <v>2020</v>
      </c>
      <c r="AV258">
        <v>280</v>
      </c>
      <c r="AW258" t="s">
        <v>74</v>
      </c>
      <c r="AX258" t="s">
        <v>74</v>
      </c>
      <c r="AY258" t="s">
        <v>74</v>
      </c>
      <c r="AZ258" t="s">
        <v>74</v>
      </c>
      <c r="BA258" t="s">
        <v>74</v>
      </c>
      <c r="BB258">
        <v>263</v>
      </c>
      <c r="BC258">
        <v>280</v>
      </c>
      <c r="BD258" t="s">
        <v>74</v>
      </c>
      <c r="BE258" t="s">
        <v>5483</v>
      </c>
      <c r="BF258" t="str">
        <f>HYPERLINK("http://dx.doi.org/10.1016/j.gca.2020.04.021","http://dx.doi.org/10.1016/j.gca.2020.04.021")</f>
        <v>http://dx.doi.org/10.1016/j.gca.2020.04.021</v>
      </c>
      <c r="BG258" t="s">
        <v>74</v>
      </c>
      <c r="BH258" t="s">
        <v>74</v>
      </c>
      <c r="BI258">
        <v>18</v>
      </c>
      <c r="BJ258" t="s">
        <v>131</v>
      </c>
      <c r="BK258" t="s">
        <v>102</v>
      </c>
      <c r="BL258" t="s">
        <v>131</v>
      </c>
      <c r="BM258" t="s">
        <v>5484</v>
      </c>
      <c r="BN258" t="s">
        <v>74</v>
      </c>
      <c r="BO258" t="s">
        <v>189</v>
      </c>
      <c r="BP258" t="s">
        <v>74</v>
      </c>
      <c r="BQ258" t="s">
        <v>74</v>
      </c>
      <c r="BR258" t="s">
        <v>106</v>
      </c>
      <c r="BS258" t="s">
        <v>5485</v>
      </c>
      <c r="BT258" t="str">
        <f>HYPERLINK("https%3A%2F%2Fwww.webofscience.com%2Fwos%2Fwoscc%2Ffull-record%2FWOS:000538828600015","View Full Record in Web of Science")</f>
        <v>View Full Record in Web of Science</v>
      </c>
    </row>
    <row r="259" spans="1:72" x14ac:dyDescent="0.15">
      <c r="A259" t="s">
        <v>72</v>
      </c>
      <c r="B259" t="s">
        <v>5486</v>
      </c>
      <c r="C259" t="s">
        <v>74</v>
      </c>
      <c r="D259" t="s">
        <v>74</v>
      </c>
      <c r="E259" t="s">
        <v>74</v>
      </c>
      <c r="F259" t="s">
        <v>5487</v>
      </c>
      <c r="G259" t="s">
        <v>74</v>
      </c>
      <c r="H259" t="s">
        <v>74</v>
      </c>
      <c r="I259" t="s">
        <v>5488</v>
      </c>
      <c r="J259" t="s">
        <v>5489</v>
      </c>
      <c r="K259" t="s">
        <v>74</v>
      </c>
      <c r="L259" t="s">
        <v>74</v>
      </c>
      <c r="M259" t="s">
        <v>78</v>
      </c>
      <c r="N259" t="s">
        <v>79</v>
      </c>
      <c r="O259" t="s">
        <v>74</v>
      </c>
      <c r="P259" t="s">
        <v>74</v>
      </c>
      <c r="Q259" t="s">
        <v>74</v>
      </c>
      <c r="R259" t="s">
        <v>74</v>
      </c>
      <c r="S259" t="s">
        <v>74</v>
      </c>
      <c r="T259" t="s">
        <v>5490</v>
      </c>
      <c r="U259" t="s">
        <v>5491</v>
      </c>
      <c r="V259" t="s">
        <v>5492</v>
      </c>
      <c r="W259" t="s">
        <v>5493</v>
      </c>
      <c r="X259" t="s">
        <v>5494</v>
      </c>
      <c r="Y259" t="s">
        <v>5495</v>
      </c>
      <c r="Z259" t="s">
        <v>5496</v>
      </c>
      <c r="AA259" t="s">
        <v>74</v>
      </c>
      <c r="AB259" t="s">
        <v>5497</v>
      </c>
      <c r="AC259" t="s">
        <v>5498</v>
      </c>
      <c r="AD259" t="s">
        <v>5499</v>
      </c>
      <c r="AE259" t="s">
        <v>5500</v>
      </c>
      <c r="AF259" t="s">
        <v>74</v>
      </c>
      <c r="AG259">
        <v>158</v>
      </c>
      <c r="AH259">
        <v>24</v>
      </c>
      <c r="AI259">
        <v>27</v>
      </c>
      <c r="AJ259">
        <v>3</v>
      </c>
      <c r="AK259">
        <v>15</v>
      </c>
      <c r="AL259" t="s">
        <v>284</v>
      </c>
      <c r="AM259" t="s">
        <v>285</v>
      </c>
      <c r="AN259" t="s">
        <v>286</v>
      </c>
      <c r="AO259" t="s">
        <v>5501</v>
      </c>
      <c r="AP259" t="s">
        <v>5502</v>
      </c>
      <c r="AQ259" t="s">
        <v>74</v>
      </c>
      <c r="AR259" t="s">
        <v>5503</v>
      </c>
      <c r="AS259" t="s">
        <v>5504</v>
      </c>
      <c r="AT259" t="s">
        <v>3950</v>
      </c>
      <c r="AU259">
        <v>2020</v>
      </c>
      <c r="AV259">
        <v>425</v>
      </c>
      <c r="AW259" t="s">
        <v>74</v>
      </c>
      <c r="AX259" t="s">
        <v>74</v>
      </c>
      <c r="AY259" t="s">
        <v>74</v>
      </c>
      <c r="AZ259" t="s">
        <v>74</v>
      </c>
      <c r="BA259" t="s">
        <v>74</v>
      </c>
      <c r="BB259" t="s">
        <v>74</v>
      </c>
      <c r="BC259" t="s">
        <v>74</v>
      </c>
      <c r="BD259">
        <v>106192</v>
      </c>
      <c r="BE259" t="s">
        <v>5505</v>
      </c>
      <c r="BF259" t="str">
        <f>HYPERLINK("http://dx.doi.org/10.1016/j.margeo.2020.106192","http://dx.doi.org/10.1016/j.margeo.2020.106192")</f>
        <v>http://dx.doi.org/10.1016/j.margeo.2020.106192</v>
      </c>
      <c r="BG259" t="s">
        <v>74</v>
      </c>
      <c r="BH259" t="s">
        <v>74</v>
      </c>
      <c r="BI259">
        <v>22</v>
      </c>
      <c r="BJ259" t="s">
        <v>5506</v>
      </c>
      <c r="BK259" t="s">
        <v>102</v>
      </c>
      <c r="BL259" t="s">
        <v>5507</v>
      </c>
      <c r="BM259" t="s">
        <v>5508</v>
      </c>
      <c r="BN259" t="s">
        <v>74</v>
      </c>
      <c r="BO259" t="s">
        <v>976</v>
      </c>
      <c r="BP259" t="s">
        <v>74</v>
      </c>
      <c r="BQ259" t="s">
        <v>74</v>
      </c>
      <c r="BR259" t="s">
        <v>106</v>
      </c>
      <c r="BS259" t="s">
        <v>5509</v>
      </c>
      <c r="BT259" t="str">
        <f>HYPERLINK("https%3A%2F%2Fwww.webofscience.com%2Fwos%2Fwoscc%2Ffull-record%2FWOS:000537851600013","View Full Record in Web of Science")</f>
        <v>View Full Record in Web of Science</v>
      </c>
    </row>
    <row r="260" spans="1:72" x14ac:dyDescent="0.15">
      <c r="A260" t="s">
        <v>72</v>
      </c>
      <c r="B260" t="s">
        <v>5510</v>
      </c>
      <c r="C260" t="s">
        <v>74</v>
      </c>
      <c r="D260" t="s">
        <v>74</v>
      </c>
      <c r="E260" t="s">
        <v>74</v>
      </c>
      <c r="F260" t="s">
        <v>5511</v>
      </c>
      <c r="G260" t="s">
        <v>74</v>
      </c>
      <c r="H260" t="s">
        <v>74</v>
      </c>
      <c r="I260" t="s">
        <v>5512</v>
      </c>
      <c r="J260" t="s">
        <v>565</v>
      </c>
      <c r="K260" t="s">
        <v>74</v>
      </c>
      <c r="L260" t="s">
        <v>74</v>
      </c>
      <c r="M260" t="s">
        <v>78</v>
      </c>
      <c r="N260" t="s">
        <v>79</v>
      </c>
      <c r="O260" t="s">
        <v>74</v>
      </c>
      <c r="P260" t="s">
        <v>74</v>
      </c>
      <c r="Q260" t="s">
        <v>74</v>
      </c>
      <c r="R260" t="s">
        <v>74</v>
      </c>
      <c r="S260" t="s">
        <v>74</v>
      </c>
      <c r="T260" t="s">
        <v>74</v>
      </c>
      <c r="U260" t="s">
        <v>5513</v>
      </c>
      <c r="V260" t="s">
        <v>5514</v>
      </c>
      <c r="W260" t="s">
        <v>5515</v>
      </c>
      <c r="X260" t="s">
        <v>5516</v>
      </c>
      <c r="Y260" t="s">
        <v>5517</v>
      </c>
      <c r="Z260" t="s">
        <v>5518</v>
      </c>
      <c r="AA260" t="s">
        <v>5519</v>
      </c>
      <c r="AB260" t="s">
        <v>5520</v>
      </c>
      <c r="AC260" t="s">
        <v>5521</v>
      </c>
      <c r="AD260" t="s">
        <v>5522</v>
      </c>
      <c r="AE260" t="s">
        <v>5523</v>
      </c>
      <c r="AF260" t="s">
        <v>74</v>
      </c>
      <c r="AG260">
        <v>78</v>
      </c>
      <c r="AH260">
        <v>19</v>
      </c>
      <c r="AI260">
        <v>21</v>
      </c>
      <c r="AJ260">
        <v>1</v>
      </c>
      <c r="AK260">
        <v>63</v>
      </c>
      <c r="AL260" t="s">
        <v>578</v>
      </c>
      <c r="AM260" t="s">
        <v>93</v>
      </c>
      <c r="AN260" t="s">
        <v>579</v>
      </c>
      <c r="AO260" t="s">
        <v>580</v>
      </c>
      <c r="AP260" t="s">
        <v>581</v>
      </c>
      <c r="AQ260" t="s">
        <v>74</v>
      </c>
      <c r="AR260" t="s">
        <v>582</v>
      </c>
      <c r="AS260" t="s">
        <v>583</v>
      </c>
      <c r="AT260" t="s">
        <v>3950</v>
      </c>
      <c r="AU260">
        <v>2020</v>
      </c>
      <c r="AV260">
        <v>262</v>
      </c>
      <c r="AW260" t="s">
        <v>74</v>
      </c>
      <c r="AX260" t="s">
        <v>74</v>
      </c>
      <c r="AY260" t="s">
        <v>74</v>
      </c>
      <c r="AZ260" t="s">
        <v>74</v>
      </c>
      <c r="BA260" t="s">
        <v>74</v>
      </c>
      <c r="BB260" t="s">
        <v>74</v>
      </c>
      <c r="BC260" t="s">
        <v>74</v>
      </c>
      <c r="BD260">
        <v>113922</v>
      </c>
      <c r="BE260" t="s">
        <v>5524</v>
      </c>
      <c r="BF260" t="str">
        <f>HYPERLINK("http://dx.doi.org/10.1016/j.envpol.2020.113922","http://dx.doi.org/10.1016/j.envpol.2020.113922")</f>
        <v>http://dx.doi.org/10.1016/j.envpol.2020.113922</v>
      </c>
      <c r="BG260" t="s">
        <v>74</v>
      </c>
      <c r="BH260" t="s">
        <v>74</v>
      </c>
      <c r="BI260">
        <v>12</v>
      </c>
      <c r="BJ260" t="s">
        <v>101</v>
      </c>
      <c r="BK260" t="s">
        <v>102</v>
      </c>
      <c r="BL260" t="s">
        <v>103</v>
      </c>
      <c r="BM260" t="s">
        <v>5525</v>
      </c>
      <c r="BN260">
        <v>32443190</v>
      </c>
      <c r="BO260" t="s">
        <v>74</v>
      </c>
      <c r="BP260" t="s">
        <v>74</v>
      </c>
      <c r="BQ260" t="s">
        <v>74</v>
      </c>
      <c r="BR260" t="s">
        <v>106</v>
      </c>
      <c r="BS260" t="s">
        <v>5526</v>
      </c>
      <c r="BT260" t="str">
        <f>HYPERLINK("https%3A%2F%2Fwww.webofscience.com%2Fwos%2Fwoscc%2Ffull-record%2FWOS:000533524300001","View Full Record in Web of Science")</f>
        <v>View Full Record in Web of Science</v>
      </c>
    </row>
    <row r="261" spans="1:72" x14ac:dyDescent="0.15">
      <c r="A261" t="s">
        <v>72</v>
      </c>
      <c r="B261" t="s">
        <v>5527</v>
      </c>
      <c r="C261" t="s">
        <v>74</v>
      </c>
      <c r="D261" t="s">
        <v>74</v>
      </c>
      <c r="E261" t="s">
        <v>74</v>
      </c>
      <c r="F261" t="s">
        <v>5528</v>
      </c>
      <c r="G261" t="s">
        <v>74</v>
      </c>
      <c r="H261" t="s">
        <v>74</v>
      </c>
      <c r="I261" t="s">
        <v>5529</v>
      </c>
      <c r="J261" t="s">
        <v>5530</v>
      </c>
      <c r="K261" t="s">
        <v>74</v>
      </c>
      <c r="L261" t="s">
        <v>74</v>
      </c>
      <c r="M261" t="s">
        <v>78</v>
      </c>
      <c r="N261" t="s">
        <v>79</v>
      </c>
      <c r="O261" t="s">
        <v>74</v>
      </c>
      <c r="P261" t="s">
        <v>74</v>
      </c>
      <c r="Q261" t="s">
        <v>74</v>
      </c>
      <c r="R261" t="s">
        <v>74</v>
      </c>
      <c r="S261" t="s">
        <v>74</v>
      </c>
      <c r="T261" t="s">
        <v>5531</v>
      </c>
      <c r="U261" t="s">
        <v>5532</v>
      </c>
      <c r="V261" t="s">
        <v>5533</v>
      </c>
      <c r="W261" t="s">
        <v>5534</v>
      </c>
      <c r="X261" t="s">
        <v>5535</v>
      </c>
      <c r="Y261" t="s">
        <v>5536</v>
      </c>
      <c r="Z261" t="s">
        <v>5537</v>
      </c>
      <c r="AA261" t="s">
        <v>5538</v>
      </c>
      <c r="AB261" t="s">
        <v>5539</v>
      </c>
      <c r="AC261" t="s">
        <v>5540</v>
      </c>
      <c r="AD261" t="s">
        <v>5541</v>
      </c>
      <c r="AE261" t="s">
        <v>5542</v>
      </c>
      <c r="AF261" t="s">
        <v>74</v>
      </c>
      <c r="AG261">
        <v>53</v>
      </c>
      <c r="AH261">
        <v>5</v>
      </c>
      <c r="AI261">
        <v>6</v>
      </c>
      <c r="AJ261">
        <v>6</v>
      </c>
      <c r="AK261">
        <v>33</v>
      </c>
      <c r="AL261" t="s">
        <v>92</v>
      </c>
      <c r="AM261" t="s">
        <v>93</v>
      </c>
      <c r="AN261" t="s">
        <v>94</v>
      </c>
      <c r="AO261" t="s">
        <v>5543</v>
      </c>
      <c r="AP261" t="s">
        <v>5544</v>
      </c>
      <c r="AQ261" t="s">
        <v>74</v>
      </c>
      <c r="AR261" t="s">
        <v>5530</v>
      </c>
      <c r="AS261" t="s">
        <v>5545</v>
      </c>
      <c r="AT261" t="s">
        <v>3950</v>
      </c>
      <c r="AU261">
        <v>2020</v>
      </c>
      <c r="AV261">
        <v>251</v>
      </c>
      <c r="AW261" t="s">
        <v>74</v>
      </c>
      <c r="AX261" t="s">
        <v>74</v>
      </c>
      <c r="AY261" t="s">
        <v>74</v>
      </c>
      <c r="AZ261" t="s">
        <v>74</v>
      </c>
      <c r="BA261" t="s">
        <v>74</v>
      </c>
      <c r="BB261" t="s">
        <v>74</v>
      </c>
      <c r="BC261" t="s">
        <v>74</v>
      </c>
      <c r="BD261">
        <v>126399</v>
      </c>
      <c r="BE261" t="s">
        <v>5546</v>
      </c>
      <c r="BF261" t="str">
        <f>HYPERLINK("http://dx.doi.org/10.1016/j.chemosphere.2020.126399","http://dx.doi.org/10.1016/j.chemosphere.2020.126399")</f>
        <v>http://dx.doi.org/10.1016/j.chemosphere.2020.126399</v>
      </c>
      <c r="BG261" t="s">
        <v>74</v>
      </c>
      <c r="BH261" t="s">
        <v>74</v>
      </c>
      <c r="BI261">
        <v>12</v>
      </c>
      <c r="BJ261" t="s">
        <v>101</v>
      </c>
      <c r="BK261" t="s">
        <v>102</v>
      </c>
      <c r="BL261" t="s">
        <v>103</v>
      </c>
      <c r="BM261" t="s">
        <v>5547</v>
      </c>
      <c r="BN261">
        <v>32163783</v>
      </c>
      <c r="BO261" t="s">
        <v>74</v>
      </c>
      <c r="BP261" t="s">
        <v>74</v>
      </c>
      <c r="BQ261" t="s">
        <v>74</v>
      </c>
      <c r="BR261" t="s">
        <v>106</v>
      </c>
      <c r="BS261" t="s">
        <v>5548</v>
      </c>
      <c r="BT261" t="str">
        <f>HYPERLINK("https%3A%2F%2Fwww.webofscience.com%2Fwos%2Fwoscc%2Ffull-record%2FWOS:000533642900117","View Full Record in Web of Science")</f>
        <v>View Full Record in Web of Science</v>
      </c>
    </row>
    <row r="262" spans="1:72" x14ac:dyDescent="0.15">
      <c r="A262" t="s">
        <v>72</v>
      </c>
      <c r="B262" t="s">
        <v>5549</v>
      </c>
      <c r="C262" t="s">
        <v>74</v>
      </c>
      <c r="D262" t="s">
        <v>74</v>
      </c>
      <c r="E262" t="s">
        <v>74</v>
      </c>
      <c r="F262" t="s">
        <v>5550</v>
      </c>
      <c r="G262" t="s">
        <v>74</v>
      </c>
      <c r="H262" t="s">
        <v>74</v>
      </c>
      <c r="I262" t="s">
        <v>5551</v>
      </c>
      <c r="J262" t="s">
        <v>5530</v>
      </c>
      <c r="K262" t="s">
        <v>74</v>
      </c>
      <c r="L262" t="s">
        <v>74</v>
      </c>
      <c r="M262" t="s">
        <v>78</v>
      </c>
      <c r="N262" t="s">
        <v>245</v>
      </c>
      <c r="O262" t="s">
        <v>74</v>
      </c>
      <c r="P262" t="s">
        <v>74</v>
      </c>
      <c r="Q262" t="s">
        <v>74</v>
      </c>
      <c r="R262" t="s">
        <v>74</v>
      </c>
      <c r="S262" t="s">
        <v>74</v>
      </c>
      <c r="T262" t="s">
        <v>5552</v>
      </c>
      <c r="U262" t="s">
        <v>5553</v>
      </c>
      <c r="V262" t="s">
        <v>5554</v>
      </c>
      <c r="W262" t="s">
        <v>5555</v>
      </c>
      <c r="X262" t="s">
        <v>5556</v>
      </c>
      <c r="Y262" t="s">
        <v>5557</v>
      </c>
      <c r="Z262" t="s">
        <v>5558</v>
      </c>
      <c r="AA262" t="s">
        <v>5559</v>
      </c>
      <c r="AB262" t="s">
        <v>5560</v>
      </c>
      <c r="AC262" t="s">
        <v>5561</v>
      </c>
      <c r="AD262" t="s">
        <v>5562</v>
      </c>
      <c r="AE262" t="s">
        <v>5563</v>
      </c>
      <c r="AF262" t="s">
        <v>74</v>
      </c>
      <c r="AG262">
        <v>54</v>
      </c>
      <c r="AH262">
        <v>9</v>
      </c>
      <c r="AI262">
        <v>10</v>
      </c>
      <c r="AJ262">
        <v>1</v>
      </c>
      <c r="AK262">
        <v>14</v>
      </c>
      <c r="AL262" t="s">
        <v>92</v>
      </c>
      <c r="AM262" t="s">
        <v>93</v>
      </c>
      <c r="AN262" t="s">
        <v>94</v>
      </c>
      <c r="AO262" t="s">
        <v>5543</v>
      </c>
      <c r="AP262" t="s">
        <v>5544</v>
      </c>
      <c r="AQ262" t="s">
        <v>74</v>
      </c>
      <c r="AR262" t="s">
        <v>5530</v>
      </c>
      <c r="AS262" t="s">
        <v>5545</v>
      </c>
      <c r="AT262" t="s">
        <v>3950</v>
      </c>
      <c r="AU262">
        <v>2020</v>
      </c>
      <c r="AV262">
        <v>251</v>
      </c>
      <c r="AW262" t="s">
        <v>74</v>
      </c>
      <c r="AX262" t="s">
        <v>74</v>
      </c>
      <c r="AY262" t="s">
        <v>74</v>
      </c>
      <c r="AZ262" t="s">
        <v>74</v>
      </c>
      <c r="BA262" t="s">
        <v>74</v>
      </c>
      <c r="BB262" t="s">
        <v>74</v>
      </c>
      <c r="BC262" t="s">
        <v>74</v>
      </c>
      <c r="BD262">
        <v>126229</v>
      </c>
      <c r="BE262" t="s">
        <v>5564</v>
      </c>
      <c r="BF262" t="str">
        <f>HYPERLINK("http://dx.doi.org/10.1016/j.chemosphere.2020.126229","http://dx.doi.org/10.1016/j.chemosphere.2020.126229")</f>
        <v>http://dx.doi.org/10.1016/j.chemosphere.2020.126229</v>
      </c>
      <c r="BG262" t="s">
        <v>74</v>
      </c>
      <c r="BH262" t="s">
        <v>74</v>
      </c>
      <c r="BI262">
        <v>20</v>
      </c>
      <c r="BJ262" t="s">
        <v>101</v>
      </c>
      <c r="BK262" t="s">
        <v>102</v>
      </c>
      <c r="BL262" t="s">
        <v>103</v>
      </c>
      <c r="BM262" t="s">
        <v>5547</v>
      </c>
      <c r="BN262">
        <v>32171943</v>
      </c>
      <c r="BO262" t="s">
        <v>74</v>
      </c>
      <c r="BP262" t="s">
        <v>74</v>
      </c>
      <c r="BQ262" t="s">
        <v>74</v>
      </c>
      <c r="BR262" t="s">
        <v>106</v>
      </c>
      <c r="BS262" t="s">
        <v>5565</v>
      </c>
      <c r="BT262" t="str">
        <f>HYPERLINK("https%3A%2F%2Fwww.webofscience.com%2Fwos%2Fwoscc%2Ffull-record%2FWOS:000533642900010","View Full Record in Web of Science")</f>
        <v>View Full Record in Web of Science</v>
      </c>
    </row>
    <row r="263" spans="1:72" x14ac:dyDescent="0.15">
      <c r="A263" t="s">
        <v>72</v>
      </c>
      <c r="B263" t="s">
        <v>5566</v>
      </c>
      <c r="C263" t="s">
        <v>74</v>
      </c>
      <c r="D263" t="s">
        <v>74</v>
      </c>
      <c r="E263" t="s">
        <v>74</v>
      </c>
      <c r="F263" t="s">
        <v>5567</v>
      </c>
      <c r="G263" t="s">
        <v>74</v>
      </c>
      <c r="H263" t="s">
        <v>74</v>
      </c>
      <c r="I263" t="s">
        <v>5568</v>
      </c>
      <c r="J263" t="s">
        <v>5530</v>
      </c>
      <c r="K263" t="s">
        <v>74</v>
      </c>
      <c r="L263" t="s">
        <v>74</v>
      </c>
      <c r="M263" t="s">
        <v>78</v>
      </c>
      <c r="N263" t="s">
        <v>79</v>
      </c>
      <c r="O263" t="s">
        <v>74</v>
      </c>
      <c r="P263" t="s">
        <v>74</v>
      </c>
      <c r="Q263" t="s">
        <v>74</v>
      </c>
      <c r="R263" t="s">
        <v>74</v>
      </c>
      <c r="S263" t="s">
        <v>74</v>
      </c>
      <c r="T263" t="s">
        <v>5569</v>
      </c>
      <c r="U263" t="s">
        <v>5570</v>
      </c>
      <c r="V263" t="s">
        <v>5571</v>
      </c>
      <c r="W263" t="s">
        <v>5572</v>
      </c>
      <c r="X263" t="s">
        <v>5573</v>
      </c>
      <c r="Y263" t="s">
        <v>5574</v>
      </c>
      <c r="Z263" t="s">
        <v>5575</v>
      </c>
      <c r="AA263" t="s">
        <v>5576</v>
      </c>
      <c r="AB263" t="s">
        <v>5577</v>
      </c>
      <c r="AC263" t="s">
        <v>5578</v>
      </c>
      <c r="AD263" t="s">
        <v>5579</v>
      </c>
      <c r="AE263" t="s">
        <v>5580</v>
      </c>
      <c r="AF263" t="s">
        <v>74</v>
      </c>
      <c r="AG263">
        <v>96</v>
      </c>
      <c r="AH263">
        <v>7</v>
      </c>
      <c r="AI263">
        <v>7</v>
      </c>
      <c r="AJ263">
        <v>6</v>
      </c>
      <c r="AK263">
        <v>75</v>
      </c>
      <c r="AL263" t="s">
        <v>92</v>
      </c>
      <c r="AM263" t="s">
        <v>93</v>
      </c>
      <c r="AN263" t="s">
        <v>94</v>
      </c>
      <c r="AO263" t="s">
        <v>5543</v>
      </c>
      <c r="AP263" t="s">
        <v>5544</v>
      </c>
      <c r="AQ263" t="s">
        <v>74</v>
      </c>
      <c r="AR263" t="s">
        <v>5530</v>
      </c>
      <c r="AS263" t="s">
        <v>5545</v>
      </c>
      <c r="AT263" t="s">
        <v>3950</v>
      </c>
      <c r="AU263">
        <v>2020</v>
      </c>
      <c r="AV263">
        <v>250</v>
      </c>
      <c r="AW263" t="s">
        <v>74</v>
      </c>
      <c r="AX263" t="s">
        <v>74</v>
      </c>
      <c r="AY263" t="s">
        <v>74</v>
      </c>
      <c r="AZ263" t="s">
        <v>74</v>
      </c>
      <c r="BA263" t="s">
        <v>74</v>
      </c>
      <c r="BB263" t="s">
        <v>74</v>
      </c>
      <c r="BC263" t="s">
        <v>74</v>
      </c>
      <c r="BD263">
        <v>126320</v>
      </c>
      <c r="BE263" t="s">
        <v>5581</v>
      </c>
      <c r="BF263" t="str">
        <f>HYPERLINK("http://dx.doi.org/10.1016/j.chemosphere.2020.126320","http://dx.doi.org/10.1016/j.chemosphere.2020.126320")</f>
        <v>http://dx.doi.org/10.1016/j.chemosphere.2020.126320</v>
      </c>
      <c r="BG263" t="s">
        <v>74</v>
      </c>
      <c r="BH263" t="s">
        <v>74</v>
      </c>
      <c r="BI263">
        <v>13</v>
      </c>
      <c r="BJ263" t="s">
        <v>101</v>
      </c>
      <c r="BK263" t="s">
        <v>102</v>
      </c>
      <c r="BL263" t="s">
        <v>103</v>
      </c>
      <c r="BM263" t="s">
        <v>5582</v>
      </c>
      <c r="BN263">
        <v>32126331</v>
      </c>
      <c r="BO263" t="s">
        <v>74</v>
      </c>
      <c r="BP263" t="s">
        <v>74</v>
      </c>
      <c r="BQ263" t="s">
        <v>74</v>
      </c>
      <c r="BR263" t="s">
        <v>106</v>
      </c>
      <c r="BS263" t="s">
        <v>5583</v>
      </c>
      <c r="BT263" t="str">
        <f>HYPERLINK("https%3A%2F%2Fwww.webofscience.com%2Fwos%2Fwoscc%2Ffull-record%2FWOS:000530709300002","View Full Record in Web of Science")</f>
        <v>View Full Record in Web of Science</v>
      </c>
    </row>
    <row r="264" spans="1:72" x14ac:dyDescent="0.15">
      <c r="A264" t="s">
        <v>72</v>
      </c>
      <c r="B264" t="s">
        <v>5584</v>
      </c>
      <c r="C264" t="s">
        <v>74</v>
      </c>
      <c r="D264" t="s">
        <v>74</v>
      </c>
      <c r="E264" t="s">
        <v>74</v>
      </c>
      <c r="F264" t="s">
        <v>5585</v>
      </c>
      <c r="G264" t="s">
        <v>74</v>
      </c>
      <c r="H264" t="s">
        <v>74</v>
      </c>
      <c r="I264" t="s">
        <v>5586</v>
      </c>
      <c r="J264" t="s">
        <v>5587</v>
      </c>
      <c r="K264" t="s">
        <v>74</v>
      </c>
      <c r="L264" t="s">
        <v>74</v>
      </c>
      <c r="M264" t="s">
        <v>78</v>
      </c>
      <c r="N264" t="s">
        <v>79</v>
      </c>
      <c r="O264" t="s">
        <v>74</v>
      </c>
      <c r="P264" t="s">
        <v>74</v>
      </c>
      <c r="Q264" t="s">
        <v>74</v>
      </c>
      <c r="R264" t="s">
        <v>74</v>
      </c>
      <c r="S264" t="s">
        <v>74</v>
      </c>
      <c r="T264" t="s">
        <v>5588</v>
      </c>
      <c r="U264" t="s">
        <v>5589</v>
      </c>
      <c r="V264" t="s">
        <v>5590</v>
      </c>
      <c r="W264" t="s">
        <v>5591</v>
      </c>
      <c r="X264" t="s">
        <v>5592</v>
      </c>
      <c r="Y264" t="s">
        <v>5593</v>
      </c>
      <c r="Z264" t="s">
        <v>5594</v>
      </c>
      <c r="AA264" t="s">
        <v>5595</v>
      </c>
      <c r="AB264" t="s">
        <v>5596</v>
      </c>
      <c r="AC264" t="s">
        <v>5597</v>
      </c>
      <c r="AD264" t="s">
        <v>5598</v>
      </c>
      <c r="AE264" t="s">
        <v>5599</v>
      </c>
      <c r="AF264" t="s">
        <v>74</v>
      </c>
      <c r="AG264">
        <v>98</v>
      </c>
      <c r="AH264">
        <v>21</v>
      </c>
      <c r="AI264">
        <v>21</v>
      </c>
      <c r="AJ264">
        <v>0</v>
      </c>
      <c r="AK264">
        <v>27</v>
      </c>
      <c r="AL264" t="s">
        <v>284</v>
      </c>
      <c r="AM264" t="s">
        <v>285</v>
      </c>
      <c r="AN264" t="s">
        <v>286</v>
      </c>
      <c r="AO264" t="s">
        <v>5600</v>
      </c>
      <c r="AP264" t="s">
        <v>5601</v>
      </c>
      <c r="AQ264" t="s">
        <v>74</v>
      </c>
      <c r="AR264" t="s">
        <v>5602</v>
      </c>
      <c r="AS264" t="s">
        <v>5603</v>
      </c>
      <c r="AT264" t="s">
        <v>3950</v>
      </c>
      <c r="AU264">
        <v>2020</v>
      </c>
      <c r="AV264">
        <v>207</v>
      </c>
      <c r="AW264" t="s">
        <v>74</v>
      </c>
      <c r="AX264" t="s">
        <v>74</v>
      </c>
      <c r="AY264" t="s">
        <v>74</v>
      </c>
      <c r="AZ264" t="s">
        <v>74</v>
      </c>
      <c r="BA264" t="s">
        <v>74</v>
      </c>
      <c r="BB264" t="s">
        <v>74</v>
      </c>
      <c r="BC264" t="s">
        <v>74</v>
      </c>
      <c r="BD264">
        <v>103151</v>
      </c>
      <c r="BE264" t="s">
        <v>5604</v>
      </c>
      <c r="BF264" t="str">
        <f>HYPERLINK("http://dx.doi.org/10.1016/j.jmarsys.2019.02.002","http://dx.doi.org/10.1016/j.jmarsys.2019.02.002")</f>
        <v>http://dx.doi.org/10.1016/j.jmarsys.2019.02.002</v>
      </c>
      <c r="BG264" t="s">
        <v>74</v>
      </c>
      <c r="BH264" t="s">
        <v>74</v>
      </c>
      <c r="BI264">
        <v>14</v>
      </c>
      <c r="BJ264" t="s">
        <v>5605</v>
      </c>
      <c r="BK264" t="s">
        <v>102</v>
      </c>
      <c r="BL264" t="s">
        <v>5606</v>
      </c>
      <c r="BM264" t="s">
        <v>5607</v>
      </c>
      <c r="BN264" t="s">
        <v>74</v>
      </c>
      <c r="BO264" t="s">
        <v>294</v>
      </c>
      <c r="BP264" t="s">
        <v>74</v>
      </c>
      <c r="BQ264" t="s">
        <v>74</v>
      </c>
      <c r="BR264" t="s">
        <v>106</v>
      </c>
      <c r="BS264" t="s">
        <v>5608</v>
      </c>
      <c r="BT264" t="str">
        <f>HYPERLINK("https%3A%2F%2Fwww.webofscience.com%2Fwos%2Fwoscc%2Ffull-record%2FWOS:000530669800006","View Full Record in Web of Science")</f>
        <v>View Full Record in Web of Science</v>
      </c>
    </row>
    <row r="265" spans="1:72" x14ac:dyDescent="0.15">
      <c r="A265" t="s">
        <v>72</v>
      </c>
      <c r="B265" t="s">
        <v>5609</v>
      </c>
      <c r="C265" t="s">
        <v>74</v>
      </c>
      <c r="D265" t="s">
        <v>74</v>
      </c>
      <c r="E265" t="s">
        <v>74</v>
      </c>
      <c r="F265" t="s">
        <v>5610</v>
      </c>
      <c r="G265" t="s">
        <v>74</v>
      </c>
      <c r="H265" t="s">
        <v>74</v>
      </c>
      <c r="I265" t="s">
        <v>5611</v>
      </c>
      <c r="J265" t="s">
        <v>5587</v>
      </c>
      <c r="K265" t="s">
        <v>74</v>
      </c>
      <c r="L265" t="s">
        <v>74</v>
      </c>
      <c r="M265" t="s">
        <v>78</v>
      </c>
      <c r="N265" t="s">
        <v>79</v>
      </c>
      <c r="O265" t="s">
        <v>74</v>
      </c>
      <c r="P265" t="s">
        <v>74</v>
      </c>
      <c r="Q265" t="s">
        <v>74</v>
      </c>
      <c r="R265" t="s">
        <v>74</v>
      </c>
      <c r="S265" t="s">
        <v>74</v>
      </c>
      <c r="T265" t="s">
        <v>74</v>
      </c>
      <c r="U265" t="s">
        <v>5612</v>
      </c>
      <c r="V265" t="s">
        <v>5613</v>
      </c>
      <c r="W265" t="s">
        <v>5614</v>
      </c>
      <c r="X265" t="s">
        <v>5615</v>
      </c>
      <c r="Y265" t="s">
        <v>5616</v>
      </c>
      <c r="Z265" t="s">
        <v>5617</v>
      </c>
      <c r="AA265" t="s">
        <v>5618</v>
      </c>
      <c r="AB265" t="s">
        <v>5619</v>
      </c>
      <c r="AC265" t="s">
        <v>74</v>
      </c>
      <c r="AD265" t="s">
        <v>74</v>
      </c>
      <c r="AE265" t="s">
        <v>74</v>
      </c>
      <c r="AF265" t="s">
        <v>74</v>
      </c>
      <c r="AG265">
        <v>64</v>
      </c>
      <c r="AH265">
        <v>10</v>
      </c>
      <c r="AI265">
        <v>10</v>
      </c>
      <c r="AJ265">
        <v>2</v>
      </c>
      <c r="AK265">
        <v>19</v>
      </c>
      <c r="AL265" t="s">
        <v>284</v>
      </c>
      <c r="AM265" t="s">
        <v>285</v>
      </c>
      <c r="AN265" t="s">
        <v>713</v>
      </c>
      <c r="AO265" t="s">
        <v>5600</v>
      </c>
      <c r="AP265" t="s">
        <v>5601</v>
      </c>
      <c r="AQ265" t="s">
        <v>74</v>
      </c>
      <c r="AR265" t="s">
        <v>5602</v>
      </c>
      <c r="AS265" t="s">
        <v>5603</v>
      </c>
      <c r="AT265" t="s">
        <v>3950</v>
      </c>
      <c r="AU265">
        <v>2020</v>
      </c>
      <c r="AV265">
        <v>207</v>
      </c>
      <c r="AW265" t="s">
        <v>74</v>
      </c>
      <c r="AX265" t="s">
        <v>74</v>
      </c>
      <c r="AY265" t="s">
        <v>74</v>
      </c>
      <c r="AZ265" t="s">
        <v>74</v>
      </c>
      <c r="BA265" t="s">
        <v>74</v>
      </c>
      <c r="BB265" t="s">
        <v>74</v>
      </c>
      <c r="BC265" t="s">
        <v>74</v>
      </c>
      <c r="BD265">
        <v>103346</v>
      </c>
      <c r="BE265" t="s">
        <v>5620</v>
      </c>
      <c r="BF265" t="str">
        <f>HYPERLINK("http://dx.doi.org/10.1016/j.jmarsys.2020.103346","http://dx.doi.org/10.1016/j.jmarsys.2020.103346")</f>
        <v>http://dx.doi.org/10.1016/j.jmarsys.2020.103346</v>
      </c>
      <c r="BG265" t="s">
        <v>74</v>
      </c>
      <c r="BH265" t="s">
        <v>74</v>
      </c>
      <c r="BI265">
        <v>14</v>
      </c>
      <c r="BJ265" t="s">
        <v>5605</v>
      </c>
      <c r="BK265" t="s">
        <v>102</v>
      </c>
      <c r="BL265" t="s">
        <v>5606</v>
      </c>
      <c r="BM265" t="s">
        <v>5607</v>
      </c>
      <c r="BN265" t="s">
        <v>74</v>
      </c>
      <c r="BO265" t="s">
        <v>74</v>
      </c>
      <c r="BP265" t="s">
        <v>74</v>
      </c>
      <c r="BQ265" t="s">
        <v>74</v>
      </c>
      <c r="BR265" t="s">
        <v>106</v>
      </c>
      <c r="BS265" t="s">
        <v>5621</v>
      </c>
      <c r="BT265" t="str">
        <f>HYPERLINK("https%3A%2F%2Fwww.webofscience.com%2Fwos%2Fwoscc%2Ffull-record%2FWOS:000530669800009","View Full Record in Web of Science")</f>
        <v>View Full Record in Web of Science</v>
      </c>
    </row>
    <row r="266" spans="1:72" x14ac:dyDescent="0.15">
      <c r="A266" t="s">
        <v>72</v>
      </c>
      <c r="B266" t="s">
        <v>5622</v>
      </c>
      <c r="C266" t="s">
        <v>74</v>
      </c>
      <c r="D266" t="s">
        <v>74</v>
      </c>
      <c r="E266" t="s">
        <v>74</v>
      </c>
      <c r="F266" t="s">
        <v>5623</v>
      </c>
      <c r="G266" t="s">
        <v>74</v>
      </c>
      <c r="H266" t="s">
        <v>74</v>
      </c>
      <c r="I266" t="s">
        <v>5624</v>
      </c>
      <c r="J266" t="s">
        <v>5587</v>
      </c>
      <c r="K266" t="s">
        <v>74</v>
      </c>
      <c r="L266" t="s">
        <v>74</v>
      </c>
      <c r="M266" t="s">
        <v>78</v>
      </c>
      <c r="N266" t="s">
        <v>79</v>
      </c>
      <c r="O266" t="s">
        <v>74</v>
      </c>
      <c r="P266" t="s">
        <v>74</v>
      </c>
      <c r="Q266" t="s">
        <v>74</v>
      </c>
      <c r="R266" t="s">
        <v>74</v>
      </c>
      <c r="S266" t="s">
        <v>74</v>
      </c>
      <c r="T266" t="s">
        <v>5625</v>
      </c>
      <c r="U266" t="s">
        <v>5626</v>
      </c>
      <c r="V266" t="s">
        <v>5627</v>
      </c>
      <c r="W266" t="s">
        <v>5628</v>
      </c>
      <c r="X266" t="s">
        <v>5629</v>
      </c>
      <c r="Y266" t="s">
        <v>5630</v>
      </c>
      <c r="Z266" t="s">
        <v>5631</v>
      </c>
      <c r="AA266" t="s">
        <v>5632</v>
      </c>
      <c r="AB266" t="s">
        <v>5633</v>
      </c>
      <c r="AC266" t="s">
        <v>5634</v>
      </c>
      <c r="AD266" t="s">
        <v>5635</v>
      </c>
      <c r="AE266" t="s">
        <v>5636</v>
      </c>
      <c r="AF266" t="s">
        <v>74</v>
      </c>
      <c r="AG266">
        <v>76</v>
      </c>
      <c r="AH266">
        <v>14</v>
      </c>
      <c r="AI266">
        <v>14</v>
      </c>
      <c r="AJ266">
        <v>1</v>
      </c>
      <c r="AK266">
        <v>22</v>
      </c>
      <c r="AL266" t="s">
        <v>284</v>
      </c>
      <c r="AM266" t="s">
        <v>285</v>
      </c>
      <c r="AN266" t="s">
        <v>286</v>
      </c>
      <c r="AO266" t="s">
        <v>5600</v>
      </c>
      <c r="AP266" t="s">
        <v>5601</v>
      </c>
      <c r="AQ266" t="s">
        <v>74</v>
      </c>
      <c r="AR266" t="s">
        <v>5602</v>
      </c>
      <c r="AS266" t="s">
        <v>5603</v>
      </c>
      <c r="AT266" t="s">
        <v>3950</v>
      </c>
      <c r="AU266">
        <v>2020</v>
      </c>
      <c r="AV266">
        <v>207</v>
      </c>
      <c r="AW266" t="s">
        <v>74</v>
      </c>
      <c r="AX266" t="s">
        <v>74</v>
      </c>
      <c r="AY266" t="s">
        <v>74</v>
      </c>
      <c r="AZ266" t="s">
        <v>74</v>
      </c>
      <c r="BA266" t="s">
        <v>74</v>
      </c>
      <c r="BB266" t="s">
        <v>74</v>
      </c>
      <c r="BC266" t="s">
        <v>74</v>
      </c>
      <c r="BD266">
        <v>103103</v>
      </c>
      <c r="BE266" t="s">
        <v>5637</v>
      </c>
      <c r="BF266" t="str">
        <f>HYPERLINK("http://dx.doi.org/10.1016/j.jmarsys.2018.07.002","http://dx.doi.org/10.1016/j.jmarsys.2018.07.002")</f>
        <v>http://dx.doi.org/10.1016/j.jmarsys.2018.07.002</v>
      </c>
      <c r="BG266" t="s">
        <v>74</v>
      </c>
      <c r="BH266" t="s">
        <v>74</v>
      </c>
      <c r="BI266">
        <v>15</v>
      </c>
      <c r="BJ266" t="s">
        <v>5605</v>
      </c>
      <c r="BK266" t="s">
        <v>102</v>
      </c>
      <c r="BL266" t="s">
        <v>5606</v>
      </c>
      <c r="BM266" t="s">
        <v>5607</v>
      </c>
      <c r="BN266" t="s">
        <v>74</v>
      </c>
      <c r="BO266" t="s">
        <v>74</v>
      </c>
      <c r="BP266" t="s">
        <v>74</v>
      </c>
      <c r="BQ266" t="s">
        <v>74</v>
      </c>
      <c r="BR266" t="s">
        <v>106</v>
      </c>
      <c r="BS266" t="s">
        <v>5638</v>
      </c>
      <c r="BT266" t="str">
        <f>HYPERLINK("https%3A%2F%2Fwww.webofscience.com%2Fwos%2Fwoscc%2Ffull-record%2FWOS:000530669800001","View Full Record in Web of Science")</f>
        <v>View Full Record in Web of Science</v>
      </c>
    </row>
    <row r="267" spans="1:72" x14ac:dyDescent="0.15">
      <c r="A267" t="s">
        <v>72</v>
      </c>
      <c r="B267" t="s">
        <v>5639</v>
      </c>
      <c r="C267" t="s">
        <v>74</v>
      </c>
      <c r="D267" t="s">
        <v>74</v>
      </c>
      <c r="E267" t="s">
        <v>74</v>
      </c>
      <c r="F267" t="s">
        <v>5640</v>
      </c>
      <c r="G267" t="s">
        <v>74</v>
      </c>
      <c r="H267" t="s">
        <v>74</v>
      </c>
      <c r="I267" t="s">
        <v>5641</v>
      </c>
      <c r="J267" t="s">
        <v>2456</v>
      </c>
      <c r="K267" t="s">
        <v>74</v>
      </c>
      <c r="L267" t="s">
        <v>74</v>
      </c>
      <c r="M267" t="s">
        <v>78</v>
      </c>
      <c r="N267" t="s">
        <v>79</v>
      </c>
      <c r="O267" t="s">
        <v>74</v>
      </c>
      <c r="P267" t="s">
        <v>74</v>
      </c>
      <c r="Q267" t="s">
        <v>74</v>
      </c>
      <c r="R267" t="s">
        <v>74</v>
      </c>
      <c r="S267" t="s">
        <v>74</v>
      </c>
      <c r="T267" t="s">
        <v>5642</v>
      </c>
      <c r="U267" t="s">
        <v>5643</v>
      </c>
      <c r="V267" t="s">
        <v>5644</v>
      </c>
      <c r="W267" t="s">
        <v>5645</v>
      </c>
      <c r="X267" t="s">
        <v>5646</v>
      </c>
      <c r="Y267" t="s">
        <v>5647</v>
      </c>
      <c r="Z267" t="s">
        <v>5648</v>
      </c>
      <c r="AA267" t="s">
        <v>5649</v>
      </c>
      <c r="AB267" t="s">
        <v>5650</v>
      </c>
      <c r="AC267" t="s">
        <v>5651</v>
      </c>
      <c r="AD267" t="s">
        <v>5651</v>
      </c>
      <c r="AE267" t="s">
        <v>5652</v>
      </c>
      <c r="AF267" t="s">
        <v>74</v>
      </c>
      <c r="AG267">
        <v>40</v>
      </c>
      <c r="AH267">
        <v>2</v>
      </c>
      <c r="AI267">
        <v>2</v>
      </c>
      <c r="AJ267">
        <v>0</v>
      </c>
      <c r="AK267">
        <v>10</v>
      </c>
      <c r="AL267" t="s">
        <v>1024</v>
      </c>
      <c r="AM267" t="s">
        <v>1025</v>
      </c>
      <c r="AN267" t="s">
        <v>1026</v>
      </c>
      <c r="AO267" t="s">
        <v>74</v>
      </c>
      <c r="AP267" t="s">
        <v>2469</v>
      </c>
      <c r="AQ267" t="s">
        <v>74</v>
      </c>
      <c r="AR267" t="s">
        <v>2470</v>
      </c>
      <c r="AS267" t="s">
        <v>2471</v>
      </c>
      <c r="AT267" t="s">
        <v>5653</v>
      </c>
      <c r="AU267">
        <v>2020</v>
      </c>
      <c r="AV267">
        <v>8</v>
      </c>
      <c r="AW267" t="s">
        <v>74</v>
      </c>
      <c r="AX267" t="s">
        <v>74</v>
      </c>
      <c r="AY267" t="s">
        <v>74</v>
      </c>
      <c r="AZ267" t="s">
        <v>74</v>
      </c>
      <c r="BA267" t="s">
        <v>74</v>
      </c>
      <c r="BB267" t="s">
        <v>74</v>
      </c>
      <c r="BC267" t="s">
        <v>74</v>
      </c>
      <c r="BD267">
        <v>258</v>
      </c>
      <c r="BE267" t="s">
        <v>5654</v>
      </c>
      <c r="BF267" t="str">
        <f>HYPERLINK("http://dx.doi.org/10.3389/feart.2020.00258","http://dx.doi.org/10.3389/feart.2020.00258")</f>
        <v>http://dx.doi.org/10.3389/feart.2020.00258</v>
      </c>
      <c r="BG267" t="s">
        <v>74</v>
      </c>
      <c r="BH267" t="s">
        <v>74</v>
      </c>
      <c r="BI267">
        <v>13</v>
      </c>
      <c r="BJ267" t="s">
        <v>471</v>
      </c>
      <c r="BK267" t="s">
        <v>102</v>
      </c>
      <c r="BL267" t="s">
        <v>472</v>
      </c>
      <c r="BM267" t="s">
        <v>5655</v>
      </c>
      <c r="BN267" t="s">
        <v>74</v>
      </c>
      <c r="BO267" t="s">
        <v>1778</v>
      </c>
      <c r="BP267" t="s">
        <v>74</v>
      </c>
      <c r="BQ267" t="s">
        <v>74</v>
      </c>
      <c r="BR267" t="s">
        <v>106</v>
      </c>
      <c r="BS267" t="s">
        <v>5656</v>
      </c>
      <c r="BT267" t="str">
        <f>HYPERLINK("https%3A%2F%2Fwww.webofscience.com%2Fwos%2Fwoscc%2Ffull-record%2FWOS:000552785000001","View Full Record in Web of Science")</f>
        <v>View Full Record in Web of Science</v>
      </c>
    </row>
    <row r="268" spans="1:72" x14ac:dyDescent="0.15">
      <c r="A268" t="s">
        <v>72</v>
      </c>
      <c r="B268" t="s">
        <v>5657</v>
      </c>
      <c r="C268" t="s">
        <v>74</v>
      </c>
      <c r="D268" t="s">
        <v>74</v>
      </c>
      <c r="E268" t="s">
        <v>74</v>
      </c>
      <c r="F268" t="s">
        <v>5658</v>
      </c>
      <c r="G268" t="s">
        <v>74</v>
      </c>
      <c r="H268" t="s">
        <v>74</v>
      </c>
      <c r="I268" t="s">
        <v>5659</v>
      </c>
      <c r="J268" t="s">
        <v>1065</v>
      </c>
      <c r="K268" t="s">
        <v>74</v>
      </c>
      <c r="L268" t="s">
        <v>74</v>
      </c>
      <c r="M268" t="s">
        <v>78</v>
      </c>
      <c r="N268" t="s">
        <v>79</v>
      </c>
      <c r="O268" t="s">
        <v>74</v>
      </c>
      <c r="P268" t="s">
        <v>74</v>
      </c>
      <c r="Q268" t="s">
        <v>74</v>
      </c>
      <c r="R268" t="s">
        <v>74</v>
      </c>
      <c r="S268" t="s">
        <v>74</v>
      </c>
      <c r="T268" t="s">
        <v>5660</v>
      </c>
      <c r="U268" t="s">
        <v>5661</v>
      </c>
      <c r="V268" t="s">
        <v>5662</v>
      </c>
      <c r="W268" t="s">
        <v>5663</v>
      </c>
      <c r="X268" t="s">
        <v>5664</v>
      </c>
      <c r="Y268" t="s">
        <v>5665</v>
      </c>
      <c r="Z268" t="s">
        <v>5666</v>
      </c>
      <c r="AA268" t="s">
        <v>5667</v>
      </c>
      <c r="AB268" t="s">
        <v>5668</v>
      </c>
      <c r="AC268" t="s">
        <v>5669</v>
      </c>
      <c r="AD268" t="s">
        <v>5670</v>
      </c>
      <c r="AE268" t="s">
        <v>5671</v>
      </c>
      <c r="AF268" t="s">
        <v>74</v>
      </c>
      <c r="AG268">
        <v>106</v>
      </c>
      <c r="AH268">
        <v>16</v>
      </c>
      <c r="AI268">
        <v>16</v>
      </c>
      <c r="AJ268">
        <v>0</v>
      </c>
      <c r="AK268">
        <v>22</v>
      </c>
      <c r="AL268" t="s">
        <v>1024</v>
      </c>
      <c r="AM268" t="s">
        <v>1025</v>
      </c>
      <c r="AN268" t="s">
        <v>1026</v>
      </c>
      <c r="AO268" t="s">
        <v>74</v>
      </c>
      <c r="AP268" t="s">
        <v>1078</v>
      </c>
      <c r="AQ268" t="s">
        <v>74</v>
      </c>
      <c r="AR268" t="s">
        <v>1079</v>
      </c>
      <c r="AS268" t="s">
        <v>1080</v>
      </c>
      <c r="AT268" t="s">
        <v>5653</v>
      </c>
      <c r="AU268">
        <v>2020</v>
      </c>
      <c r="AV268">
        <v>7</v>
      </c>
      <c r="AW268" t="s">
        <v>74</v>
      </c>
      <c r="AX268" t="s">
        <v>74</v>
      </c>
      <c r="AY268" t="s">
        <v>74</v>
      </c>
      <c r="AZ268" t="s">
        <v>74</v>
      </c>
      <c r="BA268" t="s">
        <v>74</v>
      </c>
      <c r="BB268" t="s">
        <v>74</v>
      </c>
      <c r="BC268" t="s">
        <v>74</v>
      </c>
      <c r="BD268">
        <v>480</v>
      </c>
      <c r="BE268" t="s">
        <v>5672</v>
      </c>
      <c r="BF268" t="str">
        <f>HYPERLINK("http://dx.doi.org/10.3389/fmars.2020.00480","http://dx.doi.org/10.3389/fmars.2020.00480")</f>
        <v>http://dx.doi.org/10.3389/fmars.2020.00480</v>
      </c>
      <c r="BG268" t="s">
        <v>74</v>
      </c>
      <c r="BH268" t="s">
        <v>74</v>
      </c>
      <c r="BI268">
        <v>24</v>
      </c>
      <c r="BJ268" t="s">
        <v>237</v>
      </c>
      <c r="BK268" t="s">
        <v>102</v>
      </c>
      <c r="BL268" t="s">
        <v>238</v>
      </c>
      <c r="BM268" t="s">
        <v>5673</v>
      </c>
      <c r="BN268" t="s">
        <v>74</v>
      </c>
      <c r="BO268" t="s">
        <v>1778</v>
      </c>
      <c r="BP268" t="s">
        <v>74</v>
      </c>
      <c r="BQ268" t="s">
        <v>74</v>
      </c>
      <c r="BR268" t="s">
        <v>106</v>
      </c>
      <c r="BS268" t="s">
        <v>5674</v>
      </c>
      <c r="BT268" t="str">
        <f>HYPERLINK("https%3A%2F%2Fwww.webofscience.com%2Fwos%2Fwoscc%2Ffull-record%2FWOS:000548185800001","View Full Record in Web of Science")</f>
        <v>View Full Record in Web of Science</v>
      </c>
    </row>
    <row r="269" spans="1:72" x14ac:dyDescent="0.15">
      <c r="A269" t="s">
        <v>72</v>
      </c>
      <c r="B269" t="s">
        <v>5675</v>
      </c>
      <c r="C269" t="s">
        <v>74</v>
      </c>
      <c r="D269" t="s">
        <v>74</v>
      </c>
      <c r="E269" t="s">
        <v>74</v>
      </c>
      <c r="F269" t="s">
        <v>5676</v>
      </c>
      <c r="G269" t="s">
        <v>74</v>
      </c>
      <c r="H269" t="s">
        <v>74</v>
      </c>
      <c r="I269" t="s">
        <v>5677</v>
      </c>
      <c r="J269" t="s">
        <v>2007</v>
      </c>
      <c r="K269" t="s">
        <v>74</v>
      </c>
      <c r="L269" t="s">
        <v>74</v>
      </c>
      <c r="M269" t="s">
        <v>78</v>
      </c>
      <c r="N269" t="s">
        <v>79</v>
      </c>
      <c r="O269" t="s">
        <v>74</v>
      </c>
      <c r="P269" t="s">
        <v>74</v>
      </c>
      <c r="Q269" t="s">
        <v>74</v>
      </c>
      <c r="R269" t="s">
        <v>74</v>
      </c>
      <c r="S269" t="s">
        <v>74</v>
      </c>
      <c r="T269" t="s">
        <v>74</v>
      </c>
      <c r="U269" t="s">
        <v>5678</v>
      </c>
      <c r="V269" t="s">
        <v>5679</v>
      </c>
      <c r="W269" t="s">
        <v>5680</v>
      </c>
      <c r="X269" t="s">
        <v>5681</v>
      </c>
      <c r="Y269" t="s">
        <v>5682</v>
      </c>
      <c r="Z269" t="s">
        <v>5683</v>
      </c>
      <c r="AA269" t="s">
        <v>5684</v>
      </c>
      <c r="AB269" t="s">
        <v>5685</v>
      </c>
      <c r="AC269" t="s">
        <v>5686</v>
      </c>
      <c r="AD269" t="s">
        <v>992</v>
      </c>
      <c r="AE269" t="s">
        <v>5687</v>
      </c>
      <c r="AF269" t="s">
        <v>74</v>
      </c>
      <c r="AG269">
        <v>69</v>
      </c>
      <c r="AH269">
        <v>13</v>
      </c>
      <c r="AI269">
        <v>13</v>
      </c>
      <c r="AJ269">
        <v>1</v>
      </c>
      <c r="AK269">
        <v>4</v>
      </c>
      <c r="AL269" t="s">
        <v>1049</v>
      </c>
      <c r="AM269" t="s">
        <v>1050</v>
      </c>
      <c r="AN269" t="s">
        <v>1051</v>
      </c>
      <c r="AO269" t="s">
        <v>2019</v>
      </c>
      <c r="AP269" t="s">
        <v>2020</v>
      </c>
      <c r="AQ269" t="s">
        <v>74</v>
      </c>
      <c r="AR269" t="s">
        <v>2007</v>
      </c>
      <c r="AS269" t="s">
        <v>2021</v>
      </c>
      <c r="AT269" t="s">
        <v>5653</v>
      </c>
      <c r="AU269">
        <v>2020</v>
      </c>
      <c r="AV269">
        <v>14</v>
      </c>
      <c r="AW269">
        <v>6</v>
      </c>
      <c r="AX269" t="s">
        <v>74</v>
      </c>
      <c r="AY269" t="s">
        <v>74</v>
      </c>
      <c r="AZ269" t="s">
        <v>74</v>
      </c>
      <c r="BA269" t="s">
        <v>74</v>
      </c>
      <c r="BB269">
        <v>2103</v>
      </c>
      <c r="BC269">
        <v>2114</v>
      </c>
      <c r="BD269" t="s">
        <v>74</v>
      </c>
      <c r="BE269" t="s">
        <v>5688</v>
      </c>
      <c r="BF269" t="str">
        <f>HYPERLINK("http://dx.doi.org/10.5194/tc-14-2103-2020","http://dx.doi.org/10.5194/tc-14-2103-2020")</f>
        <v>http://dx.doi.org/10.5194/tc-14-2103-2020</v>
      </c>
      <c r="BG269" t="s">
        <v>74</v>
      </c>
      <c r="BH269" t="s">
        <v>74</v>
      </c>
      <c r="BI269">
        <v>12</v>
      </c>
      <c r="BJ269" t="s">
        <v>694</v>
      </c>
      <c r="BK269" t="s">
        <v>102</v>
      </c>
      <c r="BL269" t="s">
        <v>695</v>
      </c>
      <c r="BM269" t="s">
        <v>5689</v>
      </c>
      <c r="BN269" t="s">
        <v>74</v>
      </c>
      <c r="BO269" t="s">
        <v>5690</v>
      </c>
      <c r="BP269" t="s">
        <v>74</v>
      </c>
      <c r="BQ269" t="s">
        <v>74</v>
      </c>
      <c r="BR269" t="s">
        <v>106</v>
      </c>
      <c r="BS269" t="s">
        <v>5691</v>
      </c>
      <c r="BT269" t="str">
        <f>HYPERLINK("https%3A%2F%2Fwww.webofscience.com%2Fwos%2Fwoscc%2Ffull-record%2FWOS:000545958000001","View Full Record in Web of Science")</f>
        <v>View Full Record in Web of Science</v>
      </c>
    </row>
    <row r="270" spans="1:72" x14ac:dyDescent="0.15">
      <c r="A270" t="s">
        <v>72</v>
      </c>
      <c r="B270" t="s">
        <v>5692</v>
      </c>
      <c r="C270" t="s">
        <v>74</v>
      </c>
      <c r="D270" t="s">
        <v>74</v>
      </c>
      <c r="E270" t="s">
        <v>74</v>
      </c>
      <c r="F270" t="s">
        <v>5693</v>
      </c>
      <c r="G270" t="s">
        <v>74</v>
      </c>
      <c r="H270" t="s">
        <v>74</v>
      </c>
      <c r="I270" t="s">
        <v>5694</v>
      </c>
      <c r="J270" t="s">
        <v>2007</v>
      </c>
      <c r="K270" t="s">
        <v>74</v>
      </c>
      <c r="L270" t="s">
        <v>74</v>
      </c>
      <c r="M270" t="s">
        <v>78</v>
      </c>
      <c r="N270" t="s">
        <v>79</v>
      </c>
      <c r="O270" t="s">
        <v>74</v>
      </c>
      <c r="P270" t="s">
        <v>74</v>
      </c>
      <c r="Q270" t="s">
        <v>74</v>
      </c>
      <c r="R270" t="s">
        <v>74</v>
      </c>
      <c r="S270" t="s">
        <v>74</v>
      </c>
      <c r="T270" t="s">
        <v>74</v>
      </c>
      <c r="U270" t="s">
        <v>5695</v>
      </c>
      <c r="V270" t="s">
        <v>5696</v>
      </c>
      <c r="W270" t="s">
        <v>5697</v>
      </c>
      <c r="X270" t="s">
        <v>5698</v>
      </c>
      <c r="Y270" t="s">
        <v>5699</v>
      </c>
      <c r="Z270" t="s">
        <v>5700</v>
      </c>
      <c r="AA270" t="s">
        <v>74</v>
      </c>
      <c r="AB270" t="s">
        <v>5701</v>
      </c>
      <c r="AC270" t="s">
        <v>5702</v>
      </c>
      <c r="AD270" t="s">
        <v>5703</v>
      </c>
      <c r="AE270" t="s">
        <v>5704</v>
      </c>
      <c r="AF270" t="s">
        <v>74</v>
      </c>
      <c r="AG270">
        <v>62</v>
      </c>
      <c r="AH270">
        <v>6</v>
      </c>
      <c r="AI270">
        <v>6</v>
      </c>
      <c r="AJ270">
        <v>0</v>
      </c>
      <c r="AK270">
        <v>5</v>
      </c>
      <c r="AL270" t="s">
        <v>1049</v>
      </c>
      <c r="AM270" t="s">
        <v>1050</v>
      </c>
      <c r="AN270" t="s">
        <v>1051</v>
      </c>
      <c r="AO270" t="s">
        <v>2019</v>
      </c>
      <c r="AP270" t="s">
        <v>2020</v>
      </c>
      <c r="AQ270" t="s">
        <v>74</v>
      </c>
      <c r="AR270" t="s">
        <v>2007</v>
      </c>
      <c r="AS270" t="s">
        <v>2021</v>
      </c>
      <c r="AT270" t="s">
        <v>5653</v>
      </c>
      <c r="AU270">
        <v>2020</v>
      </c>
      <c r="AV270">
        <v>14</v>
      </c>
      <c r="AW270">
        <v>6</v>
      </c>
      <c r="AX270" t="s">
        <v>74</v>
      </c>
      <c r="AY270" t="s">
        <v>74</v>
      </c>
      <c r="AZ270" t="s">
        <v>74</v>
      </c>
      <c r="BA270" t="s">
        <v>74</v>
      </c>
      <c r="BB270">
        <v>2115</v>
      </c>
      <c r="BC270">
        <v>2135</v>
      </c>
      <c r="BD270" t="s">
        <v>74</v>
      </c>
      <c r="BE270" t="s">
        <v>5705</v>
      </c>
      <c r="BF270" t="str">
        <f>HYPERLINK("http://dx.doi.org/10.5194/tc-14-2115-2020","http://dx.doi.org/10.5194/tc-14-2115-2020")</f>
        <v>http://dx.doi.org/10.5194/tc-14-2115-2020</v>
      </c>
      <c r="BG270" t="s">
        <v>74</v>
      </c>
      <c r="BH270" t="s">
        <v>74</v>
      </c>
      <c r="BI270">
        <v>21</v>
      </c>
      <c r="BJ270" t="s">
        <v>694</v>
      </c>
      <c r="BK270" t="s">
        <v>102</v>
      </c>
      <c r="BL270" t="s">
        <v>695</v>
      </c>
      <c r="BM270" t="s">
        <v>5689</v>
      </c>
      <c r="BN270" t="s">
        <v>74</v>
      </c>
      <c r="BO270" t="s">
        <v>5706</v>
      </c>
      <c r="BP270" t="s">
        <v>74</v>
      </c>
      <c r="BQ270" t="s">
        <v>74</v>
      </c>
      <c r="BR270" t="s">
        <v>106</v>
      </c>
      <c r="BS270" t="s">
        <v>5707</v>
      </c>
      <c r="BT270" t="str">
        <f>HYPERLINK("https%3A%2F%2Fwww.webofscience.com%2Fwos%2Fwoscc%2Ffull-record%2FWOS:000545958000002","View Full Record in Web of Science")</f>
        <v>View Full Record in Web of Science</v>
      </c>
    </row>
    <row r="271" spans="1:72" x14ac:dyDescent="0.15">
      <c r="A271" t="s">
        <v>72</v>
      </c>
      <c r="B271" t="s">
        <v>5708</v>
      </c>
      <c r="C271" t="s">
        <v>74</v>
      </c>
      <c r="D271" t="s">
        <v>74</v>
      </c>
      <c r="E271" t="s">
        <v>74</v>
      </c>
      <c r="F271" t="s">
        <v>5709</v>
      </c>
      <c r="G271" t="s">
        <v>74</v>
      </c>
      <c r="H271" t="s">
        <v>74</v>
      </c>
      <c r="I271" t="s">
        <v>5710</v>
      </c>
      <c r="J271" t="s">
        <v>5711</v>
      </c>
      <c r="K271" t="s">
        <v>74</v>
      </c>
      <c r="L271" t="s">
        <v>74</v>
      </c>
      <c r="M271" t="s">
        <v>78</v>
      </c>
      <c r="N271" t="s">
        <v>79</v>
      </c>
      <c r="O271" t="s">
        <v>74</v>
      </c>
      <c r="P271" t="s">
        <v>74</v>
      </c>
      <c r="Q271" t="s">
        <v>74</v>
      </c>
      <c r="R271" t="s">
        <v>74</v>
      </c>
      <c r="S271" t="s">
        <v>74</v>
      </c>
      <c r="T271" t="s">
        <v>74</v>
      </c>
      <c r="U271" t="s">
        <v>5712</v>
      </c>
      <c r="V271" t="s">
        <v>5713</v>
      </c>
      <c r="W271" t="s">
        <v>5714</v>
      </c>
      <c r="X271" t="s">
        <v>5715</v>
      </c>
      <c r="Y271" t="s">
        <v>5716</v>
      </c>
      <c r="Z271" t="s">
        <v>5717</v>
      </c>
      <c r="AA271" t="s">
        <v>5718</v>
      </c>
      <c r="AB271" t="s">
        <v>5719</v>
      </c>
      <c r="AC271" t="s">
        <v>5720</v>
      </c>
      <c r="AD271" t="s">
        <v>5721</v>
      </c>
      <c r="AE271" t="s">
        <v>5722</v>
      </c>
      <c r="AF271" t="s">
        <v>74</v>
      </c>
      <c r="AG271">
        <v>31</v>
      </c>
      <c r="AH271">
        <v>6</v>
      </c>
      <c r="AI271">
        <v>6</v>
      </c>
      <c r="AJ271">
        <v>0</v>
      </c>
      <c r="AK271">
        <v>7</v>
      </c>
      <c r="AL271" t="s">
        <v>1049</v>
      </c>
      <c r="AM271" t="s">
        <v>1050</v>
      </c>
      <c r="AN271" t="s">
        <v>1051</v>
      </c>
      <c r="AO271" t="s">
        <v>5723</v>
      </c>
      <c r="AP271" t="s">
        <v>5724</v>
      </c>
      <c r="AQ271" t="s">
        <v>74</v>
      </c>
      <c r="AR271" t="s">
        <v>5725</v>
      </c>
      <c r="AS271" t="s">
        <v>5726</v>
      </c>
      <c r="AT271" t="s">
        <v>5653</v>
      </c>
      <c r="AU271">
        <v>2020</v>
      </c>
      <c r="AV271">
        <v>13</v>
      </c>
      <c r="AW271">
        <v>6</v>
      </c>
      <c r="AX271" t="s">
        <v>74</v>
      </c>
      <c r="AY271" t="s">
        <v>74</v>
      </c>
      <c r="AZ271" t="s">
        <v>74</v>
      </c>
      <c r="BA271" t="s">
        <v>74</v>
      </c>
      <c r="BB271">
        <v>3487</v>
      </c>
      <c r="BC271">
        <v>3506</v>
      </c>
      <c r="BD271" t="s">
        <v>74</v>
      </c>
      <c r="BE271" t="s">
        <v>5727</v>
      </c>
      <c r="BF271" t="str">
        <f>HYPERLINK("http://dx.doi.org/10.5194/amt-13-3487-2020","http://dx.doi.org/10.5194/amt-13-3487-2020")</f>
        <v>http://dx.doi.org/10.5194/amt-13-3487-2020</v>
      </c>
      <c r="BG271" t="s">
        <v>74</v>
      </c>
      <c r="BH271" t="s">
        <v>74</v>
      </c>
      <c r="BI271">
        <v>20</v>
      </c>
      <c r="BJ271" t="s">
        <v>159</v>
      </c>
      <c r="BK271" t="s">
        <v>102</v>
      </c>
      <c r="BL271" t="s">
        <v>159</v>
      </c>
      <c r="BM271" t="s">
        <v>5728</v>
      </c>
      <c r="BN271" t="s">
        <v>74</v>
      </c>
      <c r="BO271" t="s">
        <v>5729</v>
      </c>
      <c r="BP271" t="s">
        <v>74</v>
      </c>
      <c r="BQ271" t="s">
        <v>74</v>
      </c>
      <c r="BR271" t="s">
        <v>106</v>
      </c>
      <c r="BS271" t="s">
        <v>5730</v>
      </c>
      <c r="BT271" t="str">
        <f>HYPERLINK("https%3A%2F%2Fwww.webofscience.com%2Fwos%2Fwoscc%2Ffull-record%2FWOS:000545953600002","View Full Record in Web of Science")</f>
        <v>View Full Record in Web of Science</v>
      </c>
    </row>
    <row r="272" spans="1:72" x14ac:dyDescent="0.15">
      <c r="A272" t="s">
        <v>72</v>
      </c>
      <c r="B272" t="s">
        <v>5731</v>
      </c>
      <c r="C272" t="s">
        <v>74</v>
      </c>
      <c r="D272" t="s">
        <v>74</v>
      </c>
      <c r="E272" t="s">
        <v>74</v>
      </c>
      <c r="F272" t="s">
        <v>5732</v>
      </c>
      <c r="G272" t="s">
        <v>74</v>
      </c>
      <c r="H272" t="s">
        <v>74</v>
      </c>
      <c r="I272" t="s">
        <v>5733</v>
      </c>
      <c r="J272" t="s">
        <v>5734</v>
      </c>
      <c r="K272" t="s">
        <v>74</v>
      </c>
      <c r="L272" t="s">
        <v>74</v>
      </c>
      <c r="M272" t="s">
        <v>78</v>
      </c>
      <c r="N272" t="s">
        <v>79</v>
      </c>
      <c r="O272" t="s">
        <v>74</v>
      </c>
      <c r="P272" t="s">
        <v>74</v>
      </c>
      <c r="Q272" t="s">
        <v>74</v>
      </c>
      <c r="R272" t="s">
        <v>74</v>
      </c>
      <c r="S272" t="s">
        <v>74</v>
      </c>
      <c r="T272" t="s">
        <v>74</v>
      </c>
      <c r="U272" t="s">
        <v>5735</v>
      </c>
      <c r="V272" t="s">
        <v>5736</v>
      </c>
      <c r="W272" t="s">
        <v>5737</v>
      </c>
      <c r="X272" t="s">
        <v>5738</v>
      </c>
      <c r="Y272" t="s">
        <v>5739</v>
      </c>
      <c r="Z272" t="s">
        <v>5740</v>
      </c>
      <c r="AA272" t="s">
        <v>5741</v>
      </c>
      <c r="AB272" t="s">
        <v>5742</v>
      </c>
      <c r="AC272" t="s">
        <v>5743</v>
      </c>
      <c r="AD272" t="s">
        <v>5743</v>
      </c>
      <c r="AE272" t="s">
        <v>5744</v>
      </c>
      <c r="AF272" t="s">
        <v>74</v>
      </c>
      <c r="AG272">
        <v>105</v>
      </c>
      <c r="AH272">
        <v>10</v>
      </c>
      <c r="AI272">
        <v>10</v>
      </c>
      <c r="AJ272">
        <v>0</v>
      </c>
      <c r="AK272">
        <v>20</v>
      </c>
      <c r="AL272" t="s">
        <v>994</v>
      </c>
      <c r="AM272" t="s">
        <v>995</v>
      </c>
      <c r="AN272" t="s">
        <v>996</v>
      </c>
      <c r="AO272" t="s">
        <v>5745</v>
      </c>
      <c r="AP272" t="s">
        <v>5746</v>
      </c>
      <c r="AQ272" t="s">
        <v>74</v>
      </c>
      <c r="AR272" t="s">
        <v>5747</v>
      </c>
      <c r="AS272" t="s">
        <v>5748</v>
      </c>
      <c r="AT272" t="s">
        <v>99</v>
      </c>
      <c r="AU272">
        <v>2020</v>
      </c>
      <c r="AV272">
        <v>22</v>
      </c>
      <c r="AW272">
        <v>8</v>
      </c>
      <c r="AX272" t="s">
        <v>74</v>
      </c>
      <c r="AY272" t="s">
        <v>74</v>
      </c>
      <c r="AZ272" t="s">
        <v>74</v>
      </c>
      <c r="BA272" t="s">
        <v>74</v>
      </c>
      <c r="BB272">
        <v>3463</v>
      </c>
      <c r="BC272">
        <v>3477</v>
      </c>
      <c r="BD272" t="s">
        <v>74</v>
      </c>
      <c r="BE272" t="s">
        <v>5749</v>
      </c>
      <c r="BF272" t="str">
        <f>HYPERLINK("http://dx.doi.org/10.1111/1462-2920.15117","http://dx.doi.org/10.1111/1462-2920.15117")</f>
        <v>http://dx.doi.org/10.1111/1462-2920.15117</v>
      </c>
      <c r="BG272" t="s">
        <v>74</v>
      </c>
      <c r="BH272" t="s">
        <v>5750</v>
      </c>
      <c r="BI272">
        <v>15</v>
      </c>
      <c r="BJ272" t="s">
        <v>2045</v>
      </c>
      <c r="BK272" t="s">
        <v>102</v>
      </c>
      <c r="BL272" t="s">
        <v>2045</v>
      </c>
      <c r="BM272" t="s">
        <v>5751</v>
      </c>
      <c r="BN272">
        <v>32510727</v>
      </c>
      <c r="BO272" t="s">
        <v>74</v>
      </c>
      <c r="BP272" t="s">
        <v>74</v>
      </c>
      <c r="BQ272" t="s">
        <v>74</v>
      </c>
      <c r="BR272" t="s">
        <v>106</v>
      </c>
      <c r="BS272" t="s">
        <v>5752</v>
      </c>
      <c r="BT272" t="str">
        <f>HYPERLINK("https%3A%2F%2Fwww.webofscience.com%2Fwos%2Fwoscc%2Ffull-record%2FWOS:000544115700001","View Full Record in Web of Science")</f>
        <v>View Full Record in Web of Science</v>
      </c>
    </row>
    <row r="273" spans="1:72" x14ac:dyDescent="0.15">
      <c r="A273" t="s">
        <v>72</v>
      </c>
      <c r="B273" t="s">
        <v>5753</v>
      </c>
      <c r="C273" t="s">
        <v>74</v>
      </c>
      <c r="D273" t="s">
        <v>74</v>
      </c>
      <c r="E273" t="s">
        <v>74</v>
      </c>
      <c r="F273" t="s">
        <v>5754</v>
      </c>
      <c r="G273" t="s">
        <v>74</v>
      </c>
      <c r="H273" t="s">
        <v>74</v>
      </c>
      <c r="I273" t="s">
        <v>5755</v>
      </c>
      <c r="J273" t="s">
        <v>2902</v>
      </c>
      <c r="K273" t="s">
        <v>74</v>
      </c>
      <c r="L273" t="s">
        <v>74</v>
      </c>
      <c r="M273" t="s">
        <v>78</v>
      </c>
      <c r="N273" t="s">
        <v>79</v>
      </c>
      <c r="O273" t="s">
        <v>74</v>
      </c>
      <c r="P273" t="s">
        <v>74</v>
      </c>
      <c r="Q273" t="s">
        <v>74</v>
      </c>
      <c r="R273" t="s">
        <v>74</v>
      </c>
      <c r="S273" t="s">
        <v>74</v>
      </c>
      <c r="T273" t="s">
        <v>5756</v>
      </c>
      <c r="U273" t="s">
        <v>5757</v>
      </c>
      <c r="V273" t="s">
        <v>5758</v>
      </c>
      <c r="W273" t="s">
        <v>5759</v>
      </c>
      <c r="X273" t="s">
        <v>5760</v>
      </c>
      <c r="Y273" t="s">
        <v>5761</v>
      </c>
      <c r="Z273" t="s">
        <v>5762</v>
      </c>
      <c r="AA273" t="s">
        <v>5763</v>
      </c>
      <c r="AB273" t="s">
        <v>5764</v>
      </c>
      <c r="AC273" t="s">
        <v>5765</v>
      </c>
      <c r="AD273" t="s">
        <v>5766</v>
      </c>
      <c r="AE273" t="s">
        <v>5767</v>
      </c>
      <c r="AF273" t="s">
        <v>74</v>
      </c>
      <c r="AG273">
        <v>71</v>
      </c>
      <c r="AH273">
        <v>16</v>
      </c>
      <c r="AI273">
        <v>16</v>
      </c>
      <c r="AJ273">
        <v>0</v>
      </c>
      <c r="AK273">
        <v>26</v>
      </c>
      <c r="AL273" t="s">
        <v>284</v>
      </c>
      <c r="AM273" t="s">
        <v>285</v>
      </c>
      <c r="AN273" t="s">
        <v>713</v>
      </c>
      <c r="AO273" t="s">
        <v>2914</v>
      </c>
      <c r="AP273" t="s">
        <v>2915</v>
      </c>
      <c r="AQ273" t="s">
        <v>74</v>
      </c>
      <c r="AR273" t="s">
        <v>2902</v>
      </c>
      <c r="AS273" t="s">
        <v>2916</v>
      </c>
      <c r="AT273" t="s">
        <v>5653</v>
      </c>
      <c r="AU273">
        <v>2020</v>
      </c>
      <c r="AV273">
        <v>523</v>
      </c>
      <c r="AW273" t="s">
        <v>74</v>
      </c>
      <c r="AX273" t="s">
        <v>74</v>
      </c>
      <c r="AY273" t="s">
        <v>74</v>
      </c>
      <c r="AZ273" t="s">
        <v>74</v>
      </c>
      <c r="BA273" t="s">
        <v>74</v>
      </c>
      <c r="BB273" t="s">
        <v>74</v>
      </c>
      <c r="BC273" t="s">
        <v>74</v>
      </c>
      <c r="BD273">
        <v>735203</v>
      </c>
      <c r="BE273" t="s">
        <v>5768</v>
      </c>
      <c r="BF273" t="str">
        <f>HYPERLINK("http://dx.doi.org/10.1016/j.aquaculture.2020.735203","http://dx.doi.org/10.1016/j.aquaculture.2020.735203")</f>
        <v>http://dx.doi.org/10.1016/j.aquaculture.2020.735203</v>
      </c>
      <c r="BG273" t="s">
        <v>74</v>
      </c>
      <c r="BH273" t="s">
        <v>74</v>
      </c>
      <c r="BI273">
        <v>12</v>
      </c>
      <c r="BJ273" t="s">
        <v>1986</v>
      </c>
      <c r="BK273" t="s">
        <v>102</v>
      </c>
      <c r="BL273" t="s">
        <v>1986</v>
      </c>
      <c r="BM273" t="s">
        <v>5769</v>
      </c>
      <c r="BN273" t="s">
        <v>74</v>
      </c>
      <c r="BO273" t="s">
        <v>74</v>
      </c>
      <c r="BP273" t="s">
        <v>74</v>
      </c>
      <c r="BQ273" t="s">
        <v>74</v>
      </c>
      <c r="BR273" t="s">
        <v>106</v>
      </c>
      <c r="BS273" t="s">
        <v>5770</v>
      </c>
      <c r="BT273" t="str">
        <f>HYPERLINK("https%3A%2F%2Fwww.webofscience.com%2Fwos%2Fwoscc%2Ffull-record%2FWOS:000526415400050","View Full Record in Web of Science")</f>
        <v>View Full Record in Web of Science</v>
      </c>
    </row>
    <row r="274" spans="1:72" x14ac:dyDescent="0.15">
      <c r="A274" t="s">
        <v>72</v>
      </c>
      <c r="B274" t="s">
        <v>5771</v>
      </c>
      <c r="C274" t="s">
        <v>74</v>
      </c>
      <c r="D274" t="s">
        <v>74</v>
      </c>
      <c r="E274" t="s">
        <v>74</v>
      </c>
      <c r="F274" t="s">
        <v>5772</v>
      </c>
      <c r="G274" t="s">
        <v>74</v>
      </c>
      <c r="H274" t="s">
        <v>74</v>
      </c>
      <c r="I274" t="s">
        <v>5773</v>
      </c>
      <c r="J274" t="s">
        <v>5774</v>
      </c>
      <c r="K274" t="s">
        <v>74</v>
      </c>
      <c r="L274" t="s">
        <v>74</v>
      </c>
      <c r="M274" t="s">
        <v>78</v>
      </c>
      <c r="N274" t="s">
        <v>1850</v>
      </c>
      <c r="O274" t="s">
        <v>74</v>
      </c>
      <c r="P274" t="s">
        <v>74</v>
      </c>
      <c r="Q274" t="s">
        <v>74</v>
      </c>
      <c r="R274" t="s">
        <v>74</v>
      </c>
      <c r="S274" t="s">
        <v>74</v>
      </c>
      <c r="T274" t="s">
        <v>74</v>
      </c>
      <c r="U274" t="s">
        <v>5775</v>
      </c>
      <c r="V274" t="s">
        <v>5776</v>
      </c>
      <c r="W274" t="s">
        <v>5777</v>
      </c>
      <c r="X274" t="s">
        <v>5778</v>
      </c>
      <c r="Y274" t="s">
        <v>5779</v>
      </c>
      <c r="Z274" t="s">
        <v>5780</v>
      </c>
      <c r="AA274" t="s">
        <v>74</v>
      </c>
      <c r="AB274" t="s">
        <v>5781</v>
      </c>
      <c r="AC274" t="s">
        <v>74</v>
      </c>
      <c r="AD274" t="s">
        <v>74</v>
      </c>
      <c r="AE274" t="s">
        <v>74</v>
      </c>
      <c r="AF274" t="s">
        <v>74</v>
      </c>
      <c r="AG274">
        <v>15</v>
      </c>
      <c r="AH274">
        <v>19</v>
      </c>
      <c r="AI274">
        <v>20</v>
      </c>
      <c r="AJ274">
        <v>2</v>
      </c>
      <c r="AK274">
        <v>21</v>
      </c>
      <c r="AL274" t="s">
        <v>1389</v>
      </c>
      <c r="AM274" t="s">
        <v>945</v>
      </c>
      <c r="AN274" t="s">
        <v>1390</v>
      </c>
      <c r="AO274" t="s">
        <v>5782</v>
      </c>
      <c r="AP274" t="s">
        <v>5783</v>
      </c>
      <c r="AQ274" t="s">
        <v>74</v>
      </c>
      <c r="AR274" t="s">
        <v>5784</v>
      </c>
      <c r="AS274" t="s">
        <v>5785</v>
      </c>
      <c r="AT274" t="s">
        <v>99</v>
      </c>
      <c r="AU274">
        <v>2020</v>
      </c>
      <c r="AV274">
        <v>10</v>
      </c>
      <c r="AW274">
        <v>8</v>
      </c>
      <c r="AX274" t="s">
        <v>74</v>
      </c>
      <c r="AY274" t="s">
        <v>74</v>
      </c>
      <c r="AZ274" t="s">
        <v>74</v>
      </c>
      <c r="BA274" t="s">
        <v>74</v>
      </c>
      <c r="BB274">
        <v>710</v>
      </c>
      <c r="BC274">
        <v>711</v>
      </c>
      <c r="BD274" t="s">
        <v>74</v>
      </c>
      <c r="BE274" t="s">
        <v>5786</v>
      </c>
      <c r="BF274" t="str">
        <f>HYPERLINK("http://dx.doi.org/10.1038/s41558-020-0827-8","http://dx.doi.org/10.1038/s41558-020-0827-8")</f>
        <v>http://dx.doi.org/10.1038/s41558-020-0827-8</v>
      </c>
      <c r="BG274" t="s">
        <v>74</v>
      </c>
      <c r="BH274" t="s">
        <v>5750</v>
      </c>
      <c r="BI274">
        <v>2</v>
      </c>
      <c r="BJ274" t="s">
        <v>5787</v>
      </c>
      <c r="BK274" t="s">
        <v>925</v>
      </c>
      <c r="BL274" t="s">
        <v>2069</v>
      </c>
      <c r="BM274" t="s">
        <v>5788</v>
      </c>
      <c r="BN274" t="s">
        <v>74</v>
      </c>
      <c r="BO274" t="s">
        <v>74</v>
      </c>
      <c r="BP274" t="s">
        <v>74</v>
      </c>
      <c r="BQ274" t="s">
        <v>74</v>
      </c>
      <c r="BR274" t="s">
        <v>106</v>
      </c>
      <c r="BS274" t="s">
        <v>5789</v>
      </c>
      <c r="BT274" t="str">
        <f>HYPERLINK("https%3A%2F%2Fwww.webofscience.com%2Fwos%2Fwoscc%2Ffull-record%2FWOS:000544168800008","View Full Record in Web of Science")</f>
        <v>View Full Record in Web of Science</v>
      </c>
    </row>
    <row r="275" spans="1:72" x14ac:dyDescent="0.15">
      <c r="A275" t="s">
        <v>72</v>
      </c>
      <c r="B275" t="s">
        <v>5790</v>
      </c>
      <c r="C275" t="s">
        <v>74</v>
      </c>
      <c r="D275" t="s">
        <v>74</v>
      </c>
      <c r="E275" t="s">
        <v>74</v>
      </c>
      <c r="F275" t="s">
        <v>5791</v>
      </c>
      <c r="G275" t="s">
        <v>74</v>
      </c>
      <c r="H275" t="s">
        <v>74</v>
      </c>
      <c r="I275" t="s">
        <v>5792</v>
      </c>
      <c r="J275" t="s">
        <v>3068</v>
      </c>
      <c r="K275" t="s">
        <v>74</v>
      </c>
      <c r="L275" t="s">
        <v>74</v>
      </c>
      <c r="M275" t="s">
        <v>78</v>
      </c>
      <c r="N275" t="s">
        <v>79</v>
      </c>
      <c r="O275" t="s">
        <v>74</v>
      </c>
      <c r="P275" t="s">
        <v>74</v>
      </c>
      <c r="Q275" t="s">
        <v>74</v>
      </c>
      <c r="R275" t="s">
        <v>74</v>
      </c>
      <c r="S275" t="s">
        <v>74</v>
      </c>
      <c r="T275" t="s">
        <v>5793</v>
      </c>
      <c r="U275" t="s">
        <v>5794</v>
      </c>
      <c r="V275" t="s">
        <v>5795</v>
      </c>
      <c r="W275" t="s">
        <v>5796</v>
      </c>
      <c r="X275" t="s">
        <v>5797</v>
      </c>
      <c r="Y275" t="s">
        <v>5798</v>
      </c>
      <c r="Z275" t="s">
        <v>5799</v>
      </c>
      <c r="AA275" t="s">
        <v>5800</v>
      </c>
      <c r="AB275" t="s">
        <v>5801</v>
      </c>
      <c r="AC275" t="s">
        <v>5802</v>
      </c>
      <c r="AD275" t="s">
        <v>5803</v>
      </c>
      <c r="AE275" t="s">
        <v>5804</v>
      </c>
      <c r="AF275" t="s">
        <v>74</v>
      </c>
      <c r="AG275">
        <v>25</v>
      </c>
      <c r="AH275">
        <v>1</v>
      </c>
      <c r="AI275">
        <v>1</v>
      </c>
      <c r="AJ275">
        <v>2</v>
      </c>
      <c r="AK275">
        <v>8</v>
      </c>
      <c r="AL275" t="s">
        <v>3079</v>
      </c>
      <c r="AM275" t="s">
        <v>3080</v>
      </c>
      <c r="AN275" t="s">
        <v>3081</v>
      </c>
      <c r="AO275" t="s">
        <v>3082</v>
      </c>
      <c r="AP275" t="s">
        <v>3083</v>
      </c>
      <c r="AQ275" t="s">
        <v>74</v>
      </c>
      <c r="AR275" t="s">
        <v>3084</v>
      </c>
      <c r="AS275" t="s">
        <v>3085</v>
      </c>
      <c r="AT275" t="s">
        <v>5805</v>
      </c>
      <c r="AU275">
        <v>2020</v>
      </c>
      <c r="AV275">
        <v>39</v>
      </c>
      <c r="AW275" t="s">
        <v>74</v>
      </c>
      <c r="AX275" t="s">
        <v>74</v>
      </c>
      <c r="AY275" t="s">
        <v>74</v>
      </c>
      <c r="AZ275" t="s">
        <v>74</v>
      </c>
      <c r="BA275" t="s">
        <v>74</v>
      </c>
      <c r="BB275" t="s">
        <v>74</v>
      </c>
      <c r="BC275" t="s">
        <v>74</v>
      </c>
      <c r="BD275">
        <v>3702</v>
      </c>
      <c r="BE275" t="s">
        <v>5806</v>
      </c>
      <c r="BF275" t="str">
        <f>HYPERLINK("http://dx.doi.org/10.33265/polar.v39.3702","http://dx.doi.org/10.33265/polar.v39.3702")</f>
        <v>http://dx.doi.org/10.33265/polar.v39.3702</v>
      </c>
      <c r="BG275" t="s">
        <v>74</v>
      </c>
      <c r="BH275" t="s">
        <v>74</v>
      </c>
      <c r="BI275">
        <v>5</v>
      </c>
      <c r="BJ275" t="s">
        <v>3087</v>
      </c>
      <c r="BK275" t="s">
        <v>102</v>
      </c>
      <c r="BL275" t="s">
        <v>3088</v>
      </c>
      <c r="BM275" t="s">
        <v>5807</v>
      </c>
      <c r="BN275" t="s">
        <v>74</v>
      </c>
      <c r="BO275" t="s">
        <v>105</v>
      </c>
      <c r="BP275" t="s">
        <v>74</v>
      </c>
      <c r="BQ275" t="s">
        <v>74</v>
      </c>
      <c r="BR275" t="s">
        <v>106</v>
      </c>
      <c r="BS275" t="s">
        <v>5808</v>
      </c>
      <c r="BT275" t="str">
        <f>HYPERLINK("https%3A%2F%2Fwww.webofscience.com%2Fwos%2Fwoscc%2Ffull-record%2FWOS:000550672500001","View Full Record in Web of Science")</f>
        <v>View Full Record in Web of Science</v>
      </c>
    </row>
    <row r="276" spans="1:72" x14ac:dyDescent="0.15">
      <c r="A276" t="s">
        <v>72</v>
      </c>
      <c r="B276" t="s">
        <v>5809</v>
      </c>
      <c r="C276" t="s">
        <v>74</v>
      </c>
      <c r="D276" t="s">
        <v>74</v>
      </c>
      <c r="E276" t="s">
        <v>74</v>
      </c>
      <c r="F276" t="s">
        <v>5810</v>
      </c>
      <c r="G276" t="s">
        <v>74</v>
      </c>
      <c r="H276" t="s">
        <v>74</v>
      </c>
      <c r="I276" t="s">
        <v>5811</v>
      </c>
      <c r="J276" t="s">
        <v>5812</v>
      </c>
      <c r="K276" t="s">
        <v>74</v>
      </c>
      <c r="L276" t="s">
        <v>74</v>
      </c>
      <c r="M276" t="s">
        <v>78</v>
      </c>
      <c r="N276" t="s">
        <v>79</v>
      </c>
      <c r="O276" t="s">
        <v>74</v>
      </c>
      <c r="P276" t="s">
        <v>74</v>
      </c>
      <c r="Q276" t="s">
        <v>74</v>
      </c>
      <c r="R276" t="s">
        <v>74</v>
      </c>
      <c r="S276" t="s">
        <v>74</v>
      </c>
      <c r="T276" t="s">
        <v>5813</v>
      </c>
      <c r="U276" t="s">
        <v>5814</v>
      </c>
      <c r="V276" t="s">
        <v>5815</v>
      </c>
      <c r="W276" t="s">
        <v>5816</v>
      </c>
      <c r="X276" t="s">
        <v>5817</v>
      </c>
      <c r="Y276" t="s">
        <v>5818</v>
      </c>
      <c r="Z276" t="s">
        <v>5819</v>
      </c>
      <c r="AA276" t="s">
        <v>5820</v>
      </c>
      <c r="AB276" t="s">
        <v>5821</v>
      </c>
      <c r="AC276" t="s">
        <v>5822</v>
      </c>
      <c r="AD276" t="s">
        <v>5823</v>
      </c>
      <c r="AE276" t="s">
        <v>5824</v>
      </c>
      <c r="AF276" t="s">
        <v>74</v>
      </c>
      <c r="AG276">
        <v>88</v>
      </c>
      <c r="AH276">
        <v>10</v>
      </c>
      <c r="AI276">
        <v>10</v>
      </c>
      <c r="AJ276">
        <v>0</v>
      </c>
      <c r="AK276">
        <v>3</v>
      </c>
      <c r="AL276" t="s">
        <v>2615</v>
      </c>
      <c r="AM276" t="s">
        <v>1412</v>
      </c>
      <c r="AN276" t="s">
        <v>2616</v>
      </c>
      <c r="AO276" t="s">
        <v>5825</v>
      </c>
      <c r="AP276" t="s">
        <v>5826</v>
      </c>
      <c r="AQ276" t="s">
        <v>74</v>
      </c>
      <c r="AR276" t="s">
        <v>5827</v>
      </c>
      <c r="AS276" t="s">
        <v>5828</v>
      </c>
      <c r="AT276" t="s">
        <v>5829</v>
      </c>
      <c r="AU276">
        <v>2021</v>
      </c>
      <c r="AV276">
        <v>103</v>
      </c>
      <c r="AW276">
        <v>1</v>
      </c>
      <c r="AX276" t="s">
        <v>74</v>
      </c>
      <c r="AY276" t="s">
        <v>74</v>
      </c>
      <c r="AZ276" t="s">
        <v>2622</v>
      </c>
      <c r="BA276" t="s">
        <v>74</v>
      </c>
      <c r="BB276">
        <v>22</v>
      </c>
      <c r="BC276">
        <v>42</v>
      </c>
      <c r="BD276" t="s">
        <v>74</v>
      </c>
      <c r="BE276" t="s">
        <v>5830</v>
      </c>
      <c r="BF276" t="str">
        <f>HYPERLINK("http://dx.doi.org/10.1080/03736245.2020.1786445","http://dx.doi.org/10.1080/03736245.2020.1786445")</f>
        <v>http://dx.doi.org/10.1080/03736245.2020.1786445</v>
      </c>
      <c r="BG276" t="s">
        <v>74</v>
      </c>
      <c r="BH276" t="s">
        <v>5750</v>
      </c>
      <c r="BI276">
        <v>21</v>
      </c>
      <c r="BJ276" t="s">
        <v>5831</v>
      </c>
      <c r="BK276" t="s">
        <v>607</v>
      </c>
      <c r="BL276" t="s">
        <v>5831</v>
      </c>
      <c r="BM276" t="s">
        <v>5832</v>
      </c>
      <c r="BN276" t="s">
        <v>74</v>
      </c>
      <c r="BO276" t="s">
        <v>976</v>
      </c>
      <c r="BP276" t="s">
        <v>74</v>
      </c>
      <c r="BQ276" t="s">
        <v>74</v>
      </c>
      <c r="BR276" t="s">
        <v>106</v>
      </c>
      <c r="BS276" t="s">
        <v>5833</v>
      </c>
      <c r="BT276" t="str">
        <f>HYPERLINK("https%3A%2F%2Fwww.webofscience.com%2Fwos%2Fwoscc%2Ffull-record%2FWOS:000549476200001","View Full Record in Web of Science")</f>
        <v>View Full Record in Web of Science</v>
      </c>
    </row>
    <row r="277" spans="1:72" x14ac:dyDescent="0.15">
      <c r="A277" t="s">
        <v>72</v>
      </c>
      <c r="B277" t="s">
        <v>5834</v>
      </c>
      <c r="C277" t="s">
        <v>74</v>
      </c>
      <c r="D277" t="s">
        <v>74</v>
      </c>
      <c r="E277" t="s">
        <v>74</v>
      </c>
      <c r="F277" t="s">
        <v>5835</v>
      </c>
      <c r="G277" t="s">
        <v>74</v>
      </c>
      <c r="H277" t="s">
        <v>74</v>
      </c>
      <c r="I277" t="s">
        <v>5836</v>
      </c>
      <c r="J277" t="s">
        <v>2744</v>
      </c>
      <c r="K277" t="s">
        <v>74</v>
      </c>
      <c r="L277" t="s">
        <v>74</v>
      </c>
      <c r="M277" t="s">
        <v>78</v>
      </c>
      <c r="N277" t="s">
        <v>79</v>
      </c>
      <c r="O277" t="s">
        <v>74</v>
      </c>
      <c r="P277" t="s">
        <v>74</v>
      </c>
      <c r="Q277" t="s">
        <v>74</v>
      </c>
      <c r="R277" t="s">
        <v>74</v>
      </c>
      <c r="S277" t="s">
        <v>74</v>
      </c>
      <c r="T277" t="s">
        <v>5837</v>
      </c>
      <c r="U277" t="s">
        <v>5838</v>
      </c>
      <c r="V277" t="s">
        <v>5839</v>
      </c>
      <c r="W277" t="s">
        <v>5840</v>
      </c>
      <c r="X277" t="s">
        <v>5841</v>
      </c>
      <c r="Y277" t="s">
        <v>5842</v>
      </c>
      <c r="Z277" t="s">
        <v>5843</v>
      </c>
      <c r="AA277" t="s">
        <v>5844</v>
      </c>
      <c r="AB277" t="s">
        <v>5845</v>
      </c>
      <c r="AC277" t="s">
        <v>5846</v>
      </c>
      <c r="AD277" t="s">
        <v>5847</v>
      </c>
      <c r="AE277" t="s">
        <v>5846</v>
      </c>
      <c r="AF277" t="s">
        <v>74</v>
      </c>
      <c r="AG277">
        <v>69</v>
      </c>
      <c r="AH277">
        <v>5</v>
      </c>
      <c r="AI277">
        <v>5</v>
      </c>
      <c r="AJ277">
        <v>1</v>
      </c>
      <c r="AK277">
        <v>12</v>
      </c>
      <c r="AL277" t="s">
        <v>994</v>
      </c>
      <c r="AM277" t="s">
        <v>995</v>
      </c>
      <c r="AN277" t="s">
        <v>996</v>
      </c>
      <c r="AO277" t="s">
        <v>2756</v>
      </c>
      <c r="AP277" t="s">
        <v>74</v>
      </c>
      <c r="AQ277" t="s">
        <v>74</v>
      </c>
      <c r="AR277" t="s">
        <v>2757</v>
      </c>
      <c r="AS277" t="s">
        <v>2758</v>
      </c>
      <c r="AT277" t="s">
        <v>3950</v>
      </c>
      <c r="AU277">
        <v>2020</v>
      </c>
      <c r="AV277">
        <v>10</v>
      </c>
      <c r="AW277">
        <v>14</v>
      </c>
      <c r="AX277" t="s">
        <v>74</v>
      </c>
      <c r="AY277" t="s">
        <v>74</v>
      </c>
      <c r="AZ277" t="s">
        <v>74</v>
      </c>
      <c r="BA277" t="s">
        <v>74</v>
      </c>
      <c r="BB277">
        <v>6954</v>
      </c>
      <c r="BC277">
        <v>6966</v>
      </c>
      <c r="BD277" t="s">
        <v>74</v>
      </c>
      <c r="BE277" t="s">
        <v>5848</v>
      </c>
      <c r="BF277" t="str">
        <f>HYPERLINK("http://dx.doi.org/10.1002/ece3.6347","http://dx.doi.org/10.1002/ece3.6347")</f>
        <v>http://dx.doi.org/10.1002/ece3.6347</v>
      </c>
      <c r="BG277" t="s">
        <v>74</v>
      </c>
      <c r="BH277" t="s">
        <v>5750</v>
      </c>
      <c r="BI277">
        <v>13</v>
      </c>
      <c r="BJ277" t="s">
        <v>2760</v>
      </c>
      <c r="BK277" t="s">
        <v>102</v>
      </c>
      <c r="BL277" t="s">
        <v>2761</v>
      </c>
      <c r="BM277" t="s">
        <v>5849</v>
      </c>
      <c r="BN277">
        <v>32760504</v>
      </c>
      <c r="BO277" t="s">
        <v>1778</v>
      </c>
      <c r="BP277" t="s">
        <v>74</v>
      </c>
      <c r="BQ277" t="s">
        <v>74</v>
      </c>
      <c r="BR277" t="s">
        <v>106</v>
      </c>
      <c r="BS277" t="s">
        <v>5850</v>
      </c>
      <c r="BT277" t="str">
        <f>HYPERLINK("https%3A%2F%2Fwww.webofscience.com%2Fwos%2Fwoscc%2Ffull-record%2FWOS:000548001000001","View Full Record in Web of Science")</f>
        <v>View Full Record in Web of Science</v>
      </c>
    </row>
    <row r="278" spans="1:72" x14ac:dyDescent="0.15">
      <c r="A278" t="s">
        <v>72</v>
      </c>
      <c r="B278" t="s">
        <v>5851</v>
      </c>
      <c r="C278" t="s">
        <v>74</v>
      </c>
      <c r="D278" t="s">
        <v>74</v>
      </c>
      <c r="E278" t="s">
        <v>74</v>
      </c>
      <c r="F278" t="s">
        <v>5852</v>
      </c>
      <c r="G278" t="s">
        <v>74</v>
      </c>
      <c r="H278" t="s">
        <v>74</v>
      </c>
      <c r="I278" t="s">
        <v>5853</v>
      </c>
      <c r="J278" t="s">
        <v>5854</v>
      </c>
      <c r="K278" t="s">
        <v>74</v>
      </c>
      <c r="L278" t="s">
        <v>74</v>
      </c>
      <c r="M278" t="s">
        <v>78</v>
      </c>
      <c r="N278" t="s">
        <v>79</v>
      </c>
      <c r="O278" t="s">
        <v>74</v>
      </c>
      <c r="P278" t="s">
        <v>74</v>
      </c>
      <c r="Q278" t="s">
        <v>74</v>
      </c>
      <c r="R278" t="s">
        <v>74</v>
      </c>
      <c r="S278" t="s">
        <v>74</v>
      </c>
      <c r="T278" t="s">
        <v>5855</v>
      </c>
      <c r="U278" t="s">
        <v>5856</v>
      </c>
      <c r="V278" t="s">
        <v>5857</v>
      </c>
      <c r="W278" t="s">
        <v>5858</v>
      </c>
      <c r="X278" t="s">
        <v>5859</v>
      </c>
      <c r="Y278" t="s">
        <v>5860</v>
      </c>
      <c r="Z278" t="s">
        <v>5861</v>
      </c>
      <c r="AA278" t="s">
        <v>74</v>
      </c>
      <c r="AB278" t="s">
        <v>74</v>
      </c>
      <c r="AC278" t="s">
        <v>5862</v>
      </c>
      <c r="AD278" t="s">
        <v>5863</v>
      </c>
      <c r="AE278" t="s">
        <v>5864</v>
      </c>
      <c r="AF278" t="s">
        <v>74</v>
      </c>
      <c r="AG278">
        <v>41</v>
      </c>
      <c r="AH278">
        <v>6</v>
      </c>
      <c r="AI278">
        <v>6</v>
      </c>
      <c r="AJ278">
        <v>6</v>
      </c>
      <c r="AK278">
        <v>41</v>
      </c>
      <c r="AL278" t="s">
        <v>1321</v>
      </c>
      <c r="AM278" t="s">
        <v>1322</v>
      </c>
      <c r="AN278" t="s">
        <v>1323</v>
      </c>
      <c r="AO278" t="s">
        <v>5865</v>
      </c>
      <c r="AP278" t="s">
        <v>5866</v>
      </c>
      <c r="AQ278" t="s">
        <v>74</v>
      </c>
      <c r="AR278" t="s">
        <v>5867</v>
      </c>
      <c r="AS278" t="s">
        <v>5868</v>
      </c>
      <c r="AT278" t="s">
        <v>1001</v>
      </c>
      <c r="AU278">
        <v>2020</v>
      </c>
      <c r="AV278">
        <v>22</v>
      </c>
      <c r="AW278">
        <v>4</v>
      </c>
      <c r="AX278" t="s">
        <v>74</v>
      </c>
      <c r="AY278" t="s">
        <v>74</v>
      </c>
      <c r="AZ278" t="s">
        <v>74</v>
      </c>
      <c r="BA278" t="s">
        <v>74</v>
      </c>
      <c r="BB278">
        <v>447</v>
      </c>
      <c r="BC278">
        <v>468</v>
      </c>
      <c r="BD278" t="s">
        <v>74</v>
      </c>
      <c r="BE278" t="s">
        <v>5869</v>
      </c>
      <c r="BF278" t="str">
        <f>HYPERLINK("http://dx.doi.org/10.1007/s10109-020-00330-6","http://dx.doi.org/10.1007/s10109-020-00330-6")</f>
        <v>http://dx.doi.org/10.1007/s10109-020-00330-6</v>
      </c>
      <c r="BG278" t="s">
        <v>74</v>
      </c>
      <c r="BH278" t="s">
        <v>5750</v>
      </c>
      <c r="BI278">
        <v>22</v>
      </c>
      <c r="BJ278" t="s">
        <v>5831</v>
      </c>
      <c r="BK278" t="s">
        <v>607</v>
      </c>
      <c r="BL278" t="s">
        <v>5831</v>
      </c>
      <c r="BM278" t="s">
        <v>5870</v>
      </c>
      <c r="BN278">
        <v>32837308</v>
      </c>
      <c r="BO278" t="s">
        <v>3733</v>
      </c>
      <c r="BP278" t="s">
        <v>74</v>
      </c>
      <c r="BQ278" t="s">
        <v>74</v>
      </c>
      <c r="BR278" t="s">
        <v>106</v>
      </c>
      <c r="BS278" t="s">
        <v>5871</v>
      </c>
      <c r="BT278" t="str">
        <f>HYPERLINK("https%3A%2F%2Fwww.webofscience.com%2Fwos%2Fwoscc%2Ffull-record%2FWOS:000544183600001","View Full Record in Web of Science")</f>
        <v>View Full Record in Web of Science</v>
      </c>
    </row>
    <row r="279" spans="1:72" x14ac:dyDescent="0.15">
      <c r="A279" t="s">
        <v>72</v>
      </c>
      <c r="B279" t="s">
        <v>5872</v>
      </c>
      <c r="C279" t="s">
        <v>74</v>
      </c>
      <c r="D279" t="s">
        <v>74</v>
      </c>
      <c r="E279" t="s">
        <v>74</v>
      </c>
      <c r="F279" t="s">
        <v>5873</v>
      </c>
      <c r="G279" t="s">
        <v>74</v>
      </c>
      <c r="H279" t="s">
        <v>74</v>
      </c>
      <c r="I279" t="s">
        <v>5874</v>
      </c>
      <c r="J279" t="s">
        <v>5774</v>
      </c>
      <c r="K279" t="s">
        <v>74</v>
      </c>
      <c r="L279" t="s">
        <v>74</v>
      </c>
      <c r="M279" t="s">
        <v>78</v>
      </c>
      <c r="N279" t="s">
        <v>79</v>
      </c>
      <c r="O279" t="s">
        <v>74</v>
      </c>
      <c r="P279" t="s">
        <v>74</v>
      </c>
      <c r="Q279" t="s">
        <v>74</v>
      </c>
      <c r="R279" t="s">
        <v>74</v>
      </c>
      <c r="S279" t="s">
        <v>74</v>
      </c>
      <c r="T279" t="s">
        <v>74</v>
      </c>
      <c r="U279" t="s">
        <v>5875</v>
      </c>
      <c r="V279" t="s">
        <v>5876</v>
      </c>
      <c r="W279" t="s">
        <v>5877</v>
      </c>
      <c r="X279" t="s">
        <v>5878</v>
      </c>
      <c r="Y279" t="s">
        <v>5879</v>
      </c>
      <c r="Z279" t="s">
        <v>5880</v>
      </c>
      <c r="AA279" t="s">
        <v>5881</v>
      </c>
      <c r="AB279" t="s">
        <v>5882</v>
      </c>
      <c r="AC279" t="s">
        <v>5883</v>
      </c>
      <c r="AD279" t="s">
        <v>5884</v>
      </c>
      <c r="AE279" t="s">
        <v>5885</v>
      </c>
      <c r="AF279" t="s">
        <v>74</v>
      </c>
      <c r="AG279">
        <v>56</v>
      </c>
      <c r="AH279">
        <v>83</v>
      </c>
      <c r="AI279">
        <v>93</v>
      </c>
      <c r="AJ279">
        <v>13</v>
      </c>
      <c r="AK279">
        <v>72</v>
      </c>
      <c r="AL279" t="s">
        <v>1118</v>
      </c>
      <c r="AM279" t="s">
        <v>1119</v>
      </c>
      <c r="AN279" t="s">
        <v>1120</v>
      </c>
      <c r="AO279" t="s">
        <v>5782</v>
      </c>
      <c r="AP279" t="s">
        <v>5783</v>
      </c>
      <c r="AQ279" t="s">
        <v>74</v>
      </c>
      <c r="AR279" t="s">
        <v>5784</v>
      </c>
      <c r="AS279" t="s">
        <v>5785</v>
      </c>
      <c r="AT279" t="s">
        <v>99</v>
      </c>
      <c r="AU279">
        <v>2020</v>
      </c>
      <c r="AV279">
        <v>10</v>
      </c>
      <c r="AW279">
        <v>8</v>
      </c>
      <c r="AX279" t="s">
        <v>74</v>
      </c>
      <c r="AY279" t="s">
        <v>74</v>
      </c>
      <c r="AZ279" t="s">
        <v>74</v>
      </c>
      <c r="BA279" t="s">
        <v>74</v>
      </c>
      <c r="BB279">
        <v>762</v>
      </c>
      <c r="BC279" t="s">
        <v>1244</v>
      </c>
      <c r="BD279" t="s">
        <v>74</v>
      </c>
      <c r="BE279" t="s">
        <v>5886</v>
      </c>
      <c r="BF279" t="str">
        <f>HYPERLINK("http://dx.doi.org/10.1038/s41558-020-0815-z","http://dx.doi.org/10.1038/s41558-020-0815-z")</f>
        <v>http://dx.doi.org/10.1038/s41558-020-0815-z</v>
      </c>
      <c r="BG279" t="s">
        <v>74</v>
      </c>
      <c r="BH279" t="s">
        <v>5750</v>
      </c>
      <c r="BI279">
        <v>18</v>
      </c>
      <c r="BJ279" t="s">
        <v>5787</v>
      </c>
      <c r="BK279" t="s">
        <v>925</v>
      </c>
      <c r="BL279" t="s">
        <v>2069</v>
      </c>
      <c r="BM279" t="s">
        <v>5788</v>
      </c>
      <c r="BN279" t="s">
        <v>74</v>
      </c>
      <c r="BO279" t="s">
        <v>74</v>
      </c>
      <c r="BP279" t="s">
        <v>74</v>
      </c>
      <c r="BQ279" t="s">
        <v>74</v>
      </c>
      <c r="BR279" t="s">
        <v>106</v>
      </c>
      <c r="BS279" t="s">
        <v>5887</v>
      </c>
      <c r="BT279" t="str">
        <f>HYPERLINK("https%3A%2F%2Fwww.webofscience.com%2Fwos%2Fwoscc%2Ffull-record%2FWOS:000544168800007","View Full Record in Web of Science")</f>
        <v>View Full Record in Web of Science</v>
      </c>
    </row>
    <row r="280" spans="1:72" x14ac:dyDescent="0.15">
      <c r="A280" t="s">
        <v>72</v>
      </c>
      <c r="B280" t="s">
        <v>5888</v>
      </c>
      <c r="C280" t="s">
        <v>74</v>
      </c>
      <c r="D280" t="s">
        <v>74</v>
      </c>
      <c r="E280" t="s">
        <v>74</v>
      </c>
      <c r="F280" t="s">
        <v>5889</v>
      </c>
      <c r="G280" t="s">
        <v>74</v>
      </c>
      <c r="H280" t="s">
        <v>74</v>
      </c>
      <c r="I280" t="s">
        <v>5890</v>
      </c>
      <c r="J280" t="s">
        <v>1505</v>
      </c>
      <c r="K280" t="s">
        <v>74</v>
      </c>
      <c r="L280" t="s">
        <v>74</v>
      </c>
      <c r="M280" t="s">
        <v>78</v>
      </c>
      <c r="N280" t="s">
        <v>79</v>
      </c>
      <c r="O280" t="s">
        <v>74</v>
      </c>
      <c r="P280" t="s">
        <v>74</v>
      </c>
      <c r="Q280" t="s">
        <v>74</v>
      </c>
      <c r="R280" t="s">
        <v>74</v>
      </c>
      <c r="S280" t="s">
        <v>74</v>
      </c>
      <c r="T280" t="s">
        <v>5891</v>
      </c>
      <c r="U280" t="s">
        <v>5892</v>
      </c>
      <c r="V280" t="s">
        <v>5893</v>
      </c>
      <c r="W280" t="s">
        <v>5894</v>
      </c>
      <c r="X280" t="s">
        <v>5895</v>
      </c>
      <c r="Y280" t="s">
        <v>5896</v>
      </c>
      <c r="Z280" t="s">
        <v>5897</v>
      </c>
      <c r="AA280" t="s">
        <v>5898</v>
      </c>
      <c r="AB280" t="s">
        <v>5899</v>
      </c>
      <c r="AC280" t="s">
        <v>5900</v>
      </c>
      <c r="AD280" t="s">
        <v>5901</v>
      </c>
      <c r="AE280" t="s">
        <v>5902</v>
      </c>
      <c r="AF280" t="s">
        <v>74</v>
      </c>
      <c r="AG280">
        <v>51</v>
      </c>
      <c r="AH280">
        <v>8</v>
      </c>
      <c r="AI280">
        <v>10</v>
      </c>
      <c r="AJ280">
        <v>4</v>
      </c>
      <c r="AK280">
        <v>11</v>
      </c>
      <c r="AL280" t="s">
        <v>151</v>
      </c>
      <c r="AM280" t="s">
        <v>152</v>
      </c>
      <c r="AN280" t="s">
        <v>153</v>
      </c>
      <c r="AO280" t="s">
        <v>1517</v>
      </c>
      <c r="AP280" t="s">
        <v>1518</v>
      </c>
      <c r="AQ280" t="s">
        <v>74</v>
      </c>
      <c r="AR280" t="s">
        <v>1519</v>
      </c>
      <c r="AS280" t="s">
        <v>1520</v>
      </c>
      <c r="AT280" t="s">
        <v>5903</v>
      </c>
      <c r="AU280">
        <v>2020</v>
      </c>
      <c r="AV280">
        <v>47</v>
      </c>
      <c r="AW280">
        <v>12</v>
      </c>
      <c r="AX280" t="s">
        <v>74</v>
      </c>
      <c r="AY280" t="s">
        <v>74</v>
      </c>
      <c r="AZ280" t="s">
        <v>74</v>
      </c>
      <c r="BA280" t="s">
        <v>74</v>
      </c>
      <c r="BB280" t="s">
        <v>74</v>
      </c>
      <c r="BC280" t="s">
        <v>74</v>
      </c>
      <c r="BD280" t="s">
        <v>5904</v>
      </c>
      <c r="BE280" t="s">
        <v>5905</v>
      </c>
      <c r="BF280" t="str">
        <f>HYPERLINK("http://dx.doi.org/10.1029/2019GL086724","http://dx.doi.org/10.1029/2019GL086724")</f>
        <v>http://dx.doi.org/10.1029/2019GL086724</v>
      </c>
      <c r="BG280" t="s">
        <v>74</v>
      </c>
      <c r="BH280" t="s">
        <v>74</v>
      </c>
      <c r="BI280">
        <v>10</v>
      </c>
      <c r="BJ280" t="s">
        <v>471</v>
      </c>
      <c r="BK280" t="s">
        <v>102</v>
      </c>
      <c r="BL280" t="s">
        <v>472</v>
      </c>
      <c r="BM280" t="s">
        <v>5906</v>
      </c>
      <c r="BN280" t="s">
        <v>74</v>
      </c>
      <c r="BO280" t="s">
        <v>448</v>
      </c>
      <c r="BP280" t="s">
        <v>74</v>
      </c>
      <c r="BQ280" t="s">
        <v>74</v>
      </c>
      <c r="BR280" t="s">
        <v>106</v>
      </c>
      <c r="BS280" t="s">
        <v>5907</v>
      </c>
      <c r="BT280" t="str">
        <f>HYPERLINK("https%3A%2F%2Fwww.webofscience.com%2Fwos%2Fwoscc%2Ffull-record%2FWOS:000551464800008","View Full Record in Web of Science")</f>
        <v>View Full Record in Web of Science</v>
      </c>
    </row>
    <row r="281" spans="1:72" x14ac:dyDescent="0.15">
      <c r="A281" t="s">
        <v>72</v>
      </c>
      <c r="B281" t="s">
        <v>5908</v>
      </c>
      <c r="C281" t="s">
        <v>74</v>
      </c>
      <c r="D281" t="s">
        <v>74</v>
      </c>
      <c r="E281" t="s">
        <v>74</v>
      </c>
      <c r="F281" t="s">
        <v>5909</v>
      </c>
      <c r="G281" t="s">
        <v>74</v>
      </c>
      <c r="H281" t="s">
        <v>74</v>
      </c>
      <c r="I281" t="s">
        <v>5910</v>
      </c>
      <c r="J281" t="s">
        <v>1505</v>
      </c>
      <c r="K281" t="s">
        <v>74</v>
      </c>
      <c r="L281" t="s">
        <v>74</v>
      </c>
      <c r="M281" t="s">
        <v>78</v>
      </c>
      <c r="N281" t="s">
        <v>79</v>
      </c>
      <c r="O281" t="s">
        <v>74</v>
      </c>
      <c r="P281" t="s">
        <v>74</v>
      </c>
      <c r="Q281" t="s">
        <v>74</v>
      </c>
      <c r="R281" t="s">
        <v>74</v>
      </c>
      <c r="S281" t="s">
        <v>74</v>
      </c>
      <c r="T281" t="s">
        <v>74</v>
      </c>
      <c r="U281" t="s">
        <v>5911</v>
      </c>
      <c r="V281" t="s">
        <v>5912</v>
      </c>
      <c r="W281" t="s">
        <v>5913</v>
      </c>
      <c r="X281" t="s">
        <v>390</v>
      </c>
      <c r="Y281" t="s">
        <v>5914</v>
      </c>
      <c r="Z281" t="s">
        <v>5915</v>
      </c>
      <c r="AA281" t="s">
        <v>5916</v>
      </c>
      <c r="AB281" t="s">
        <v>5917</v>
      </c>
      <c r="AC281" t="s">
        <v>5918</v>
      </c>
      <c r="AD281" t="s">
        <v>5919</v>
      </c>
      <c r="AE281" t="s">
        <v>5920</v>
      </c>
      <c r="AF281" t="s">
        <v>74</v>
      </c>
      <c r="AG281">
        <v>16</v>
      </c>
      <c r="AH281">
        <v>12</v>
      </c>
      <c r="AI281">
        <v>12</v>
      </c>
      <c r="AJ281">
        <v>1</v>
      </c>
      <c r="AK281">
        <v>15</v>
      </c>
      <c r="AL281" t="s">
        <v>151</v>
      </c>
      <c r="AM281" t="s">
        <v>152</v>
      </c>
      <c r="AN281" t="s">
        <v>153</v>
      </c>
      <c r="AO281" t="s">
        <v>1517</v>
      </c>
      <c r="AP281" t="s">
        <v>1518</v>
      </c>
      <c r="AQ281" t="s">
        <v>74</v>
      </c>
      <c r="AR281" t="s">
        <v>1519</v>
      </c>
      <c r="AS281" t="s">
        <v>1520</v>
      </c>
      <c r="AT281" t="s">
        <v>5903</v>
      </c>
      <c r="AU281">
        <v>2020</v>
      </c>
      <c r="AV281">
        <v>47</v>
      </c>
      <c r="AW281">
        <v>12</v>
      </c>
      <c r="AX281" t="s">
        <v>74</v>
      </c>
      <c r="AY281" t="s">
        <v>74</v>
      </c>
      <c r="AZ281" t="s">
        <v>74</v>
      </c>
      <c r="BA281" t="s">
        <v>74</v>
      </c>
      <c r="BB281" t="s">
        <v>74</v>
      </c>
      <c r="BC281" t="s">
        <v>74</v>
      </c>
      <c r="BD281" t="s">
        <v>5921</v>
      </c>
      <c r="BE281" t="s">
        <v>5922</v>
      </c>
      <c r="BF281" t="str">
        <f>HYPERLINK("http://dx.doi.org/10.1029/2020GL087493","http://dx.doi.org/10.1029/2020GL087493")</f>
        <v>http://dx.doi.org/10.1029/2020GL087493</v>
      </c>
      <c r="BG281" t="s">
        <v>74</v>
      </c>
      <c r="BH281" t="s">
        <v>74</v>
      </c>
      <c r="BI281">
        <v>8</v>
      </c>
      <c r="BJ281" t="s">
        <v>471</v>
      </c>
      <c r="BK281" t="s">
        <v>102</v>
      </c>
      <c r="BL281" t="s">
        <v>472</v>
      </c>
      <c r="BM281" t="s">
        <v>5906</v>
      </c>
      <c r="BN281" t="s">
        <v>74</v>
      </c>
      <c r="BO281" t="s">
        <v>3041</v>
      </c>
      <c r="BP281" t="s">
        <v>74</v>
      </c>
      <c r="BQ281" t="s">
        <v>74</v>
      </c>
      <c r="BR281" t="s">
        <v>106</v>
      </c>
      <c r="BS281" t="s">
        <v>5923</v>
      </c>
      <c r="BT281" t="str">
        <f>HYPERLINK("https%3A%2F%2Fwww.webofscience.com%2Fwos%2Fwoscc%2Ffull-record%2FWOS:000551464800038","View Full Record in Web of Science")</f>
        <v>View Full Record in Web of Science</v>
      </c>
    </row>
    <row r="282" spans="1:72" x14ac:dyDescent="0.15">
      <c r="A282" t="s">
        <v>72</v>
      </c>
      <c r="B282" t="s">
        <v>5924</v>
      </c>
      <c r="C282" t="s">
        <v>74</v>
      </c>
      <c r="D282" t="s">
        <v>74</v>
      </c>
      <c r="E282" t="s">
        <v>74</v>
      </c>
      <c r="F282" t="s">
        <v>5925</v>
      </c>
      <c r="G282" t="s">
        <v>74</v>
      </c>
      <c r="H282" t="s">
        <v>74</v>
      </c>
      <c r="I282" t="s">
        <v>5926</v>
      </c>
      <c r="J282" t="s">
        <v>1505</v>
      </c>
      <c r="K282" t="s">
        <v>74</v>
      </c>
      <c r="L282" t="s">
        <v>74</v>
      </c>
      <c r="M282" t="s">
        <v>78</v>
      </c>
      <c r="N282" t="s">
        <v>79</v>
      </c>
      <c r="O282" t="s">
        <v>74</v>
      </c>
      <c r="P282" t="s">
        <v>74</v>
      </c>
      <c r="Q282" t="s">
        <v>74</v>
      </c>
      <c r="R282" t="s">
        <v>74</v>
      </c>
      <c r="S282" t="s">
        <v>74</v>
      </c>
      <c r="T282" t="s">
        <v>5927</v>
      </c>
      <c r="U282" t="s">
        <v>5928</v>
      </c>
      <c r="V282" t="s">
        <v>5929</v>
      </c>
      <c r="W282" t="s">
        <v>5930</v>
      </c>
      <c r="X282" t="s">
        <v>5931</v>
      </c>
      <c r="Y282" t="s">
        <v>5932</v>
      </c>
      <c r="Z282" t="s">
        <v>5933</v>
      </c>
      <c r="AA282" t="s">
        <v>5934</v>
      </c>
      <c r="AB282" t="s">
        <v>5935</v>
      </c>
      <c r="AC282" t="s">
        <v>5936</v>
      </c>
      <c r="AD282" t="s">
        <v>5937</v>
      </c>
      <c r="AE282" t="s">
        <v>5938</v>
      </c>
      <c r="AF282" t="s">
        <v>74</v>
      </c>
      <c r="AG282">
        <v>57</v>
      </c>
      <c r="AH282">
        <v>10</v>
      </c>
      <c r="AI282">
        <v>12</v>
      </c>
      <c r="AJ282">
        <v>1</v>
      </c>
      <c r="AK282">
        <v>18</v>
      </c>
      <c r="AL282" t="s">
        <v>151</v>
      </c>
      <c r="AM282" t="s">
        <v>152</v>
      </c>
      <c r="AN282" t="s">
        <v>153</v>
      </c>
      <c r="AO282" t="s">
        <v>1517</v>
      </c>
      <c r="AP282" t="s">
        <v>1518</v>
      </c>
      <c r="AQ282" t="s">
        <v>74</v>
      </c>
      <c r="AR282" t="s">
        <v>1519</v>
      </c>
      <c r="AS282" t="s">
        <v>1520</v>
      </c>
      <c r="AT282" t="s">
        <v>5903</v>
      </c>
      <c r="AU282">
        <v>2020</v>
      </c>
      <c r="AV282">
        <v>47</v>
      </c>
      <c r="AW282">
        <v>12</v>
      </c>
      <c r="AX282" t="s">
        <v>74</v>
      </c>
      <c r="AY282" t="s">
        <v>74</v>
      </c>
      <c r="AZ282" t="s">
        <v>74</v>
      </c>
      <c r="BA282" t="s">
        <v>74</v>
      </c>
      <c r="BB282" t="s">
        <v>74</v>
      </c>
      <c r="BC282" t="s">
        <v>74</v>
      </c>
      <c r="BD282" t="s">
        <v>5939</v>
      </c>
      <c r="BE282" t="s">
        <v>5940</v>
      </c>
      <c r="BF282" t="str">
        <f>HYPERLINK("http://dx.doi.org/10.1029/2020GL088063","http://dx.doi.org/10.1029/2020GL088063")</f>
        <v>http://dx.doi.org/10.1029/2020GL088063</v>
      </c>
      <c r="BG282" t="s">
        <v>74</v>
      </c>
      <c r="BH282" t="s">
        <v>74</v>
      </c>
      <c r="BI282">
        <v>11</v>
      </c>
      <c r="BJ282" t="s">
        <v>471</v>
      </c>
      <c r="BK282" t="s">
        <v>102</v>
      </c>
      <c r="BL282" t="s">
        <v>472</v>
      </c>
      <c r="BM282" t="s">
        <v>5906</v>
      </c>
      <c r="BN282" t="s">
        <v>74</v>
      </c>
      <c r="BO282" t="s">
        <v>189</v>
      </c>
      <c r="BP282" t="s">
        <v>74</v>
      </c>
      <c r="BQ282" t="s">
        <v>74</v>
      </c>
      <c r="BR282" t="s">
        <v>106</v>
      </c>
      <c r="BS282" t="s">
        <v>5941</v>
      </c>
      <c r="BT282" t="str">
        <f>HYPERLINK("https%3A%2F%2Fwww.webofscience.com%2Fwos%2Fwoscc%2Ffull-record%2FWOS:000551464800042","View Full Record in Web of Science")</f>
        <v>View Full Record in Web of Science</v>
      </c>
    </row>
    <row r="283" spans="1:72" x14ac:dyDescent="0.15">
      <c r="A283" t="s">
        <v>72</v>
      </c>
      <c r="B283" t="s">
        <v>5942</v>
      </c>
      <c r="C283" t="s">
        <v>74</v>
      </c>
      <c r="D283" t="s">
        <v>74</v>
      </c>
      <c r="E283" t="s">
        <v>74</v>
      </c>
      <c r="F283" t="s">
        <v>5943</v>
      </c>
      <c r="G283" t="s">
        <v>74</v>
      </c>
      <c r="H283" t="s">
        <v>74</v>
      </c>
      <c r="I283" t="s">
        <v>5944</v>
      </c>
      <c r="J283" t="s">
        <v>5945</v>
      </c>
      <c r="K283" t="s">
        <v>74</v>
      </c>
      <c r="L283" t="s">
        <v>74</v>
      </c>
      <c r="M283" t="s">
        <v>78</v>
      </c>
      <c r="N283" t="s">
        <v>1850</v>
      </c>
      <c r="O283" t="s">
        <v>74</v>
      </c>
      <c r="P283" t="s">
        <v>74</v>
      </c>
      <c r="Q283" t="s">
        <v>74</v>
      </c>
      <c r="R283" t="s">
        <v>74</v>
      </c>
      <c r="S283" t="s">
        <v>74</v>
      </c>
      <c r="T283" t="s">
        <v>5946</v>
      </c>
      <c r="U283" t="s">
        <v>74</v>
      </c>
      <c r="V283" t="s">
        <v>74</v>
      </c>
      <c r="W283" t="s">
        <v>5947</v>
      </c>
      <c r="X283" t="s">
        <v>5948</v>
      </c>
      <c r="Y283" t="s">
        <v>5949</v>
      </c>
      <c r="Z283" t="s">
        <v>5950</v>
      </c>
      <c r="AA283" t="s">
        <v>5951</v>
      </c>
      <c r="AB283" t="s">
        <v>5952</v>
      </c>
      <c r="AC283" t="s">
        <v>74</v>
      </c>
      <c r="AD283" t="s">
        <v>74</v>
      </c>
      <c r="AE283" t="s">
        <v>74</v>
      </c>
      <c r="AF283" t="s">
        <v>74</v>
      </c>
      <c r="AG283">
        <v>12</v>
      </c>
      <c r="AH283">
        <v>2</v>
      </c>
      <c r="AI283">
        <v>2</v>
      </c>
      <c r="AJ283">
        <v>0</v>
      </c>
      <c r="AK283">
        <v>4</v>
      </c>
      <c r="AL283" t="s">
        <v>5953</v>
      </c>
      <c r="AM283" t="s">
        <v>5954</v>
      </c>
      <c r="AN283" t="s">
        <v>5955</v>
      </c>
      <c r="AO283" t="s">
        <v>5956</v>
      </c>
      <c r="AP283" t="s">
        <v>5957</v>
      </c>
      <c r="AQ283" t="s">
        <v>74</v>
      </c>
      <c r="AR283" t="s">
        <v>5958</v>
      </c>
      <c r="AS283" t="s">
        <v>5959</v>
      </c>
      <c r="AT283" t="s">
        <v>99</v>
      </c>
      <c r="AU283">
        <v>2020</v>
      </c>
      <c r="AV283">
        <v>114</v>
      </c>
      <c r="AW283">
        <v>4</v>
      </c>
      <c r="AX283" t="s">
        <v>74</v>
      </c>
      <c r="AY283" t="s">
        <v>74</v>
      </c>
      <c r="AZ283" t="s">
        <v>74</v>
      </c>
      <c r="BA283" t="s">
        <v>74</v>
      </c>
      <c r="BB283">
        <v>357</v>
      </c>
      <c r="BC283">
        <v>359</v>
      </c>
      <c r="BD283" t="s">
        <v>74</v>
      </c>
      <c r="BE283" t="s">
        <v>5960</v>
      </c>
      <c r="BF283" t="str">
        <f>HYPERLINK("http://dx.doi.org/10.1007/s00710-020-00713-z","http://dx.doi.org/10.1007/s00710-020-00713-z")</f>
        <v>http://dx.doi.org/10.1007/s00710-020-00713-z</v>
      </c>
      <c r="BG283" t="s">
        <v>74</v>
      </c>
      <c r="BH283" t="s">
        <v>5750</v>
      </c>
      <c r="BI283">
        <v>3</v>
      </c>
      <c r="BJ283" t="s">
        <v>5961</v>
      </c>
      <c r="BK283" t="s">
        <v>102</v>
      </c>
      <c r="BL283" t="s">
        <v>5961</v>
      </c>
      <c r="BM283" t="s">
        <v>5962</v>
      </c>
      <c r="BN283" t="s">
        <v>74</v>
      </c>
      <c r="BO283" t="s">
        <v>74</v>
      </c>
      <c r="BP283" t="s">
        <v>74</v>
      </c>
      <c r="BQ283" t="s">
        <v>74</v>
      </c>
      <c r="BR283" t="s">
        <v>106</v>
      </c>
      <c r="BS283" t="s">
        <v>5963</v>
      </c>
      <c r="BT283" t="str">
        <f>HYPERLINK("https%3A%2F%2Fwww.webofscience.com%2Fwos%2Fwoscc%2Ffull-record%2FWOS:000543708800001","View Full Record in Web of Science")</f>
        <v>View Full Record in Web of Science</v>
      </c>
    </row>
    <row r="284" spans="1:72" x14ac:dyDescent="0.15">
      <c r="A284" t="s">
        <v>72</v>
      </c>
      <c r="B284" t="s">
        <v>5964</v>
      </c>
      <c r="C284" t="s">
        <v>74</v>
      </c>
      <c r="D284" t="s">
        <v>74</v>
      </c>
      <c r="E284" t="s">
        <v>74</v>
      </c>
      <c r="F284" t="s">
        <v>5965</v>
      </c>
      <c r="G284" t="s">
        <v>74</v>
      </c>
      <c r="H284" t="s">
        <v>74</v>
      </c>
      <c r="I284" t="s">
        <v>5966</v>
      </c>
      <c r="J284" t="s">
        <v>5945</v>
      </c>
      <c r="K284" t="s">
        <v>74</v>
      </c>
      <c r="L284" t="s">
        <v>74</v>
      </c>
      <c r="M284" t="s">
        <v>78</v>
      </c>
      <c r="N284" t="s">
        <v>1850</v>
      </c>
      <c r="O284" t="s">
        <v>74</v>
      </c>
      <c r="P284" t="s">
        <v>74</v>
      </c>
      <c r="Q284" t="s">
        <v>74</v>
      </c>
      <c r="R284" t="s">
        <v>74</v>
      </c>
      <c r="S284" t="s">
        <v>74</v>
      </c>
      <c r="T284" t="s">
        <v>74</v>
      </c>
      <c r="U284" t="s">
        <v>74</v>
      </c>
      <c r="V284" t="s">
        <v>74</v>
      </c>
      <c r="W284" t="s">
        <v>5967</v>
      </c>
      <c r="X284" t="s">
        <v>5968</v>
      </c>
      <c r="Y284" t="s">
        <v>5969</v>
      </c>
      <c r="Z284" t="s">
        <v>5970</v>
      </c>
      <c r="AA284" t="s">
        <v>5971</v>
      </c>
      <c r="AB284" t="s">
        <v>5972</v>
      </c>
      <c r="AC284" t="s">
        <v>74</v>
      </c>
      <c r="AD284" t="s">
        <v>74</v>
      </c>
      <c r="AE284" t="s">
        <v>74</v>
      </c>
      <c r="AF284" t="s">
        <v>74</v>
      </c>
      <c r="AG284">
        <v>1</v>
      </c>
      <c r="AH284">
        <v>0</v>
      </c>
      <c r="AI284">
        <v>0</v>
      </c>
      <c r="AJ284">
        <v>0</v>
      </c>
      <c r="AK284">
        <v>4</v>
      </c>
      <c r="AL284" t="s">
        <v>5953</v>
      </c>
      <c r="AM284" t="s">
        <v>5954</v>
      </c>
      <c r="AN284" t="s">
        <v>5955</v>
      </c>
      <c r="AO284" t="s">
        <v>5956</v>
      </c>
      <c r="AP284" t="s">
        <v>5957</v>
      </c>
      <c r="AQ284" t="s">
        <v>74</v>
      </c>
      <c r="AR284" t="s">
        <v>5958</v>
      </c>
      <c r="AS284" t="s">
        <v>5959</v>
      </c>
      <c r="AT284" t="s">
        <v>99</v>
      </c>
      <c r="AU284">
        <v>2020</v>
      </c>
      <c r="AV284">
        <v>114</v>
      </c>
      <c r="AW284">
        <v>4</v>
      </c>
      <c r="AX284" t="s">
        <v>74</v>
      </c>
      <c r="AY284" t="s">
        <v>74</v>
      </c>
      <c r="AZ284" t="s">
        <v>74</v>
      </c>
      <c r="BA284" t="s">
        <v>74</v>
      </c>
      <c r="BB284">
        <v>361</v>
      </c>
      <c r="BC284">
        <v>361</v>
      </c>
      <c r="BD284" t="s">
        <v>74</v>
      </c>
      <c r="BE284" t="s">
        <v>5973</v>
      </c>
      <c r="BF284" t="str">
        <f>HYPERLINK("http://dx.doi.org/10.1007/s00710-020-00714-y","http://dx.doi.org/10.1007/s00710-020-00714-y")</f>
        <v>http://dx.doi.org/10.1007/s00710-020-00714-y</v>
      </c>
      <c r="BG284" t="s">
        <v>74</v>
      </c>
      <c r="BH284" t="s">
        <v>5750</v>
      </c>
      <c r="BI284">
        <v>1</v>
      </c>
      <c r="BJ284" t="s">
        <v>5961</v>
      </c>
      <c r="BK284" t="s">
        <v>102</v>
      </c>
      <c r="BL284" t="s">
        <v>5961</v>
      </c>
      <c r="BM284" t="s">
        <v>5962</v>
      </c>
      <c r="BN284" t="s">
        <v>74</v>
      </c>
      <c r="BO284" t="s">
        <v>1657</v>
      </c>
      <c r="BP284" t="s">
        <v>74</v>
      </c>
      <c r="BQ284" t="s">
        <v>74</v>
      </c>
      <c r="BR284" t="s">
        <v>106</v>
      </c>
      <c r="BS284" t="s">
        <v>5974</v>
      </c>
      <c r="BT284" t="str">
        <f>HYPERLINK("https%3A%2F%2Fwww.webofscience.com%2Fwos%2Fwoscc%2Ffull-record%2FWOS:000543708800002","View Full Record in Web of Science")</f>
        <v>View Full Record in Web of Science</v>
      </c>
    </row>
    <row r="285" spans="1:72" x14ac:dyDescent="0.15">
      <c r="A285" t="s">
        <v>72</v>
      </c>
      <c r="B285" t="s">
        <v>5975</v>
      </c>
      <c r="C285" t="s">
        <v>74</v>
      </c>
      <c r="D285" t="s">
        <v>74</v>
      </c>
      <c r="E285" t="s">
        <v>74</v>
      </c>
      <c r="F285" t="s">
        <v>5976</v>
      </c>
      <c r="G285" t="s">
        <v>74</v>
      </c>
      <c r="H285" t="s">
        <v>74</v>
      </c>
      <c r="I285" t="s">
        <v>5977</v>
      </c>
      <c r="J285" t="s">
        <v>5978</v>
      </c>
      <c r="K285" t="s">
        <v>74</v>
      </c>
      <c r="L285" t="s">
        <v>74</v>
      </c>
      <c r="M285" t="s">
        <v>78</v>
      </c>
      <c r="N285" t="s">
        <v>79</v>
      </c>
      <c r="O285" t="s">
        <v>74</v>
      </c>
      <c r="P285" t="s">
        <v>74</v>
      </c>
      <c r="Q285" t="s">
        <v>74</v>
      </c>
      <c r="R285" t="s">
        <v>74</v>
      </c>
      <c r="S285" t="s">
        <v>74</v>
      </c>
      <c r="T285" t="s">
        <v>5979</v>
      </c>
      <c r="U285" t="s">
        <v>5980</v>
      </c>
      <c r="V285" t="s">
        <v>5981</v>
      </c>
      <c r="W285" t="s">
        <v>5982</v>
      </c>
      <c r="X285" t="s">
        <v>5983</v>
      </c>
      <c r="Y285" t="s">
        <v>5984</v>
      </c>
      <c r="Z285" t="s">
        <v>5985</v>
      </c>
      <c r="AA285" t="s">
        <v>5986</v>
      </c>
      <c r="AB285" t="s">
        <v>5987</v>
      </c>
      <c r="AC285" t="s">
        <v>5988</v>
      </c>
      <c r="AD285" t="s">
        <v>5988</v>
      </c>
      <c r="AE285" t="s">
        <v>5988</v>
      </c>
      <c r="AF285" t="s">
        <v>74</v>
      </c>
      <c r="AG285">
        <v>87</v>
      </c>
      <c r="AH285">
        <v>25</v>
      </c>
      <c r="AI285">
        <v>25</v>
      </c>
      <c r="AJ285">
        <v>5</v>
      </c>
      <c r="AK285">
        <v>20</v>
      </c>
      <c r="AL285" t="s">
        <v>994</v>
      </c>
      <c r="AM285" t="s">
        <v>995</v>
      </c>
      <c r="AN285" t="s">
        <v>996</v>
      </c>
      <c r="AO285" t="s">
        <v>5989</v>
      </c>
      <c r="AP285" t="s">
        <v>5990</v>
      </c>
      <c r="AQ285" t="s">
        <v>74</v>
      </c>
      <c r="AR285" t="s">
        <v>5991</v>
      </c>
      <c r="AS285" t="s">
        <v>5992</v>
      </c>
      <c r="AT285" t="s">
        <v>5993</v>
      </c>
      <c r="AU285">
        <v>2021</v>
      </c>
      <c r="AV285">
        <v>52</v>
      </c>
      <c r="AW285">
        <v>2</v>
      </c>
      <c r="AX285" t="s">
        <v>74</v>
      </c>
      <c r="AY285" t="s">
        <v>74</v>
      </c>
      <c r="AZ285" t="s">
        <v>74</v>
      </c>
      <c r="BA285" t="s">
        <v>74</v>
      </c>
      <c r="BB285">
        <v>284</v>
      </c>
      <c r="BC285">
        <v>302</v>
      </c>
      <c r="BD285" t="s">
        <v>74</v>
      </c>
      <c r="BE285" t="s">
        <v>5994</v>
      </c>
      <c r="BF285" t="str">
        <f>HYPERLINK("http://dx.doi.org/10.1111/jwas.12722","http://dx.doi.org/10.1111/jwas.12722")</f>
        <v>http://dx.doi.org/10.1111/jwas.12722</v>
      </c>
      <c r="BG285" t="s">
        <v>74</v>
      </c>
      <c r="BH285" t="s">
        <v>5750</v>
      </c>
      <c r="BI285">
        <v>19</v>
      </c>
      <c r="BJ285" t="s">
        <v>4943</v>
      </c>
      <c r="BK285" t="s">
        <v>102</v>
      </c>
      <c r="BL285" t="s">
        <v>4943</v>
      </c>
      <c r="BM285" t="s">
        <v>5995</v>
      </c>
      <c r="BN285" t="s">
        <v>74</v>
      </c>
      <c r="BO285" t="s">
        <v>74</v>
      </c>
      <c r="BP285" t="s">
        <v>74</v>
      </c>
      <c r="BQ285" t="s">
        <v>74</v>
      </c>
      <c r="BR285" t="s">
        <v>106</v>
      </c>
      <c r="BS285" t="s">
        <v>5996</v>
      </c>
      <c r="BT285" t="str">
        <f>HYPERLINK("https%3A%2F%2Fwww.webofscience.com%2Fwos%2Fwoscc%2Ffull-record%2FWOS:000543352300001","View Full Record in Web of Science")</f>
        <v>View Full Record in Web of Science</v>
      </c>
    </row>
    <row r="286" spans="1:72" x14ac:dyDescent="0.15">
      <c r="A286" t="s">
        <v>72</v>
      </c>
      <c r="B286" t="s">
        <v>5997</v>
      </c>
      <c r="C286" t="s">
        <v>74</v>
      </c>
      <c r="D286" t="s">
        <v>74</v>
      </c>
      <c r="E286" t="s">
        <v>74</v>
      </c>
      <c r="F286" t="s">
        <v>5998</v>
      </c>
      <c r="G286" t="s">
        <v>74</v>
      </c>
      <c r="H286" t="s">
        <v>74</v>
      </c>
      <c r="I286" t="s">
        <v>5999</v>
      </c>
      <c r="J286" t="s">
        <v>6000</v>
      </c>
      <c r="K286" t="s">
        <v>74</v>
      </c>
      <c r="L286" t="s">
        <v>74</v>
      </c>
      <c r="M286" t="s">
        <v>78</v>
      </c>
      <c r="N286" t="s">
        <v>79</v>
      </c>
      <c r="O286" t="s">
        <v>74</v>
      </c>
      <c r="P286" t="s">
        <v>74</v>
      </c>
      <c r="Q286" t="s">
        <v>74</v>
      </c>
      <c r="R286" t="s">
        <v>74</v>
      </c>
      <c r="S286" t="s">
        <v>74</v>
      </c>
      <c r="T286" t="s">
        <v>74</v>
      </c>
      <c r="U286" t="s">
        <v>6001</v>
      </c>
      <c r="V286" t="s">
        <v>6002</v>
      </c>
      <c r="W286" t="s">
        <v>6003</v>
      </c>
      <c r="X286" t="s">
        <v>6004</v>
      </c>
      <c r="Y286" t="s">
        <v>6005</v>
      </c>
      <c r="Z286" t="s">
        <v>6006</v>
      </c>
      <c r="AA286" t="s">
        <v>6007</v>
      </c>
      <c r="AB286" t="s">
        <v>6008</v>
      </c>
      <c r="AC286" t="s">
        <v>6009</v>
      </c>
      <c r="AD286" t="s">
        <v>6010</v>
      </c>
      <c r="AE286" t="s">
        <v>6011</v>
      </c>
      <c r="AF286" t="s">
        <v>74</v>
      </c>
      <c r="AG286">
        <v>46</v>
      </c>
      <c r="AH286">
        <v>6</v>
      </c>
      <c r="AI286">
        <v>6</v>
      </c>
      <c r="AJ286">
        <v>0</v>
      </c>
      <c r="AK286">
        <v>8</v>
      </c>
      <c r="AL286" t="s">
        <v>994</v>
      </c>
      <c r="AM286" t="s">
        <v>995</v>
      </c>
      <c r="AN286" t="s">
        <v>996</v>
      </c>
      <c r="AO286" t="s">
        <v>6012</v>
      </c>
      <c r="AP286" t="s">
        <v>6013</v>
      </c>
      <c r="AQ286" t="s">
        <v>74</v>
      </c>
      <c r="AR286" t="s">
        <v>6014</v>
      </c>
      <c r="AS286" t="s">
        <v>6015</v>
      </c>
      <c r="AT286" t="s">
        <v>3950</v>
      </c>
      <c r="AU286">
        <v>2020</v>
      </c>
      <c r="AV286">
        <v>55</v>
      </c>
      <c r="AW286">
        <v>7</v>
      </c>
      <c r="AX286" t="s">
        <v>74</v>
      </c>
      <c r="AY286" t="s">
        <v>74</v>
      </c>
      <c r="AZ286" t="s">
        <v>74</v>
      </c>
      <c r="BA286" t="s">
        <v>74</v>
      </c>
      <c r="BB286">
        <v>1665</v>
      </c>
      <c r="BC286">
        <v>1680</v>
      </c>
      <c r="BD286" t="s">
        <v>74</v>
      </c>
      <c r="BE286" t="s">
        <v>6016</v>
      </c>
      <c r="BF286" t="str">
        <f>HYPERLINK("http://dx.doi.org/10.1111/maps.13480","http://dx.doi.org/10.1111/maps.13480")</f>
        <v>http://dx.doi.org/10.1111/maps.13480</v>
      </c>
      <c r="BG286" t="s">
        <v>74</v>
      </c>
      <c r="BH286" t="s">
        <v>5750</v>
      </c>
      <c r="BI286">
        <v>16</v>
      </c>
      <c r="BJ286" t="s">
        <v>131</v>
      </c>
      <c r="BK286" t="s">
        <v>102</v>
      </c>
      <c r="BL286" t="s">
        <v>131</v>
      </c>
      <c r="BM286" t="s">
        <v>6017</v>
      </c>
      <c r="BN286" t="s">
        <v>74</v>
      </c>
      <c r="BO286" t="s">
        <v>74</v>
      </c>
      <c r="BP286" t="s">
        <v>74</v>
      </c>
      <c r="BQ286" t="s">
        <v>74</v>
      </c>
      <c r="BR286" t="s">
        <v>106</v>
      </c>
      <c r="BS286" t="s">
        <v>6018</v>
      </c>
      <c r="BT286" t="str">
        <f>HYPERLINK("https%3A%2F%2Fwww.webofscience.com%2Fwos%2Fwoscc%2Ffull-record%2FWOS:000543156200001","View Full Record in Web of Science")</f>
        <v>View Full Record in Web of Science</v>
      </c>
    </row>
    <row r="287" spans="1:72" x14ac:dyDescent="0.15">
      <c r="A287" t="s">
        <v>72</v>
      </c>
      <c r="B287" t="s">
        <v>6019</v>
      </c>
      <c r="C287" t="s">
        <v>74</v>
      </c>
      <c r="D287" t="s">
        <v>74</v>
      </c>
      <c r="E287" t="s">
        <v>74</v>
      </c>
      <c r="F287" t="s">
        <v>6020</v>
      </c>
      <c r="G287" t="s">
        <v>74</v>
      </c>
      <c r="H287" t="s">
        <v>74</v>
      </c>
      <c r="I287" t="s">
        <v>6021</v>
      </c>
      <c r="J287" t="s">
        <v>1783</v>
      </c>
      <c r="K287" t="s">
        <v>74</v>
      </c>
      <c r="L287" t="s">
        <v>74</v>
      </c>
      <c r="M287" t="s">
        <v>78</v>
      </c>
      <c r="N287" t="s">
        <v>79</v>
      </c>
      <c r="O287" t="s">
        <v>74</v>
      </c>
      <c r="P287" t="s">
        <v>74</v>
      </c>
      <c r="Q287" t="s">
        <v>74</v>
      </c>
      <c r="R287" t="s">
        <v>74</v>
      </c>
      <c r="S287" t="s">
        <v>74</v>
      </c>
      <c r="T287" t="s">
        <v>6022</v>
      </c>
      <c r="U287" t="s">
        <v>6023</v>
      </c>
      <c r="V287" t="s">
        <v>6024</v>
      </c>
      <c r="W287" t="s">
        <v>6025</v>
      </c>
      <c r="X287" t="s">
        <v>6026</v>
      </c>
      <c r="Y287" t="s">
        <v>6027</v>
      </c>
      <c r="Z287" t="s">
        <v>6028</v>
      </c>
      <c r="AA287" t="s">
        <v>6029</v>
      </c>
      <c r="AB287" t="s">
        <v>6030</v>
      </c>
      <c r="AC287" t="s">
        <v>6031</v>
      </c>
      <c r="AD287" t="s">
        <v>2701</v>
      </c>
      <c r="AE287" t="s">
        <v>6032</v>
      </c>
      <c r="AF287" t="s">
        <v>74</v>
      </c>
      <c r="AG287">
        <v>130</v>
      </c>
      <c r="AH287">
        <v>17</v>
      </c>
      <c r="AI287">
        <v>17</v>
      </c>
      <c r="AJ287">
        <v>0</v>
      </c>
      <c r="AK287">
        <v>11</v>
      </c>
      <c r="AL287" t="s">
        <v>1440</v>
      </c>
      <c r="AM287" t="s">
        <v>399</v>
      </c>
      <c r="AN287" t="s">
        <v>1441</v>
      </c>
      <c r="AO287" t="s">
        <v>1796</v>
      </c>
      <c r="AP287" t="s">
        <v>1797</v>
      </c>
      <c r="AQ287" t="s">
        <v>74</v>
      </c>
      <c r="AR287" t="s">
        <v>1798</v>
      </c>
      <c r="AS287" t="s">
        <v>1799</v>
      </c>
      <c r="AT287" t="s">
        <v>1930</v>
      </c>
      <c r="AU287">
        <v>2020</v>
      </c>
      <c r="AV287">
        <v>43</v>
      </c>
      <c r="AW287">
        <v>9</v>
      </c>
      <c r="AX287" t="s">
        <v>74</v>
      </c>
      <c r="AY287" t="s">
        <v>74</v>
      </c>
      <c r="AZ287" t="s">
        <v>74</v>
      </c>
      <c r="BA287" t="s">
        <v>74</v>
      </c>
      <c r="BB287">
        <v>1217</v>
      </c>
      <c r="BC287">
        <v>1231</v>
      </c>
      <c r="BD287" t="s">
        <v>74</v>
      </c>
      <c r="BE287" t="s">
        <v>6033</v>
      </c>
      <c r="BF287" t="str">
        <f>HYPERLINK("http://dx.doi.org/10.1007/s00300-020-02702-6","http://dx.doi.org/10.1007/s00300-020-02702-6")</f>
        <v>http://dx.doi.org/10.1007/s00300-020-02702-6</v>
      </c>
      <c r="BG287" t="s">
        <v>74</v>
      </c>
      <c r="BH287" t="s">
        <v>5750</v>
      </c>
      <c r="BI287">
        <v>15</v>
      </c>
      <c r="BJ287" t="s">
        <v>1004</v>
      </c>
      <c r="BK287" t="s">
        <v>102</v>
      </c>
      <c r="BL287" t="s">
        <v>1005</v>
      </c>
      <c r="BM287" t="s">
        <v>1949</v>
      </c>
      <c r="BN287" t="s">
        <v>74</v>
      </c>
      <c r="BO287" t="s">
        <v>74</v>
      </c>
      <c r="BP287" t="s">
        <v>74</v>
      </c>
      <c r="BQ287" t="s">
        <v>74</v>
      </c>
      <c r="BR287" t="s">
        <v>106</v>
      </c>
      <c r="BS287" t="s">
        <v>6034</v>
      </c>
      <c r="BT287" t="str">
        <f>HYPERLINK("https%3A%2F%2Fwww.webofscience.com%2Fwos%2Fwoscc%2Ffull-record%2FWOS:000543594200001","View Full Record in Web of Science")</f>
        <v>View Full Record in Web of Science</v>
      </c>
    </row>
    <row r="288" spans="1:72" x14ac:dyDescent="0.15">
      <c r="A288" t="s">
        <v>72</v>
      </c>
      <c r="B288" t="s">
        <v>6035</v>
      </c>
      <c r="C288" t="s">
        <v>74</v>
      </c>
      <c r="D288" t="s">
        <v>74</v>
      </c>
      <c r="E288" t="s">
        <v>74</v>
      </c>
      <c r="F288" t="s">
        <v>6036</v>
      </c>
      <c r="G288" t="s">
        <v>74</v>
      </c>
      <c r="H288" t="s">
        <v>74</v>
      </c>
      <c r="I288" t="s">
        <v>6037</v>
      </c>
      <c r="J288" t="s">
        <v>1106</v>
      </c>
      <c r="K288" t="s">
        <v>74</v>
      </c>
      <c r="L288" t="s">
        <v>74</v>
      </c>
      <c r="M288" t="s">
        <v>78</v>
      </c>
      <c r="N288" t="s">
        <v>2846</v>
      </c>
      <c r="O288" t="s">
        <v>74</v>
      </c>
      <c r="P288" t="s">
        <v>74</v>
      </c>
      <c r="Q288" t="s">
        <v>74</v>
      </c>
      <c r="R288" t="s">
        <v>74</v>
      </c>
      <c r="S288" t="s">
        <v>74</v>
      </c>
      <c r="T288" t="s">
        <v>74</v>
      </c>
      <c r="U288" t="s">
        <v>74</v>
      </c>
      <c r="V288" t="s">
        <v>74</v>
      </c>
      <c r="W288" t="s">
        <v>74</v>
      </c>
      <c r="X288" t="s">
        <v>74</v>
      </c>
      <c r="Y288" t="s">
        <v>74</v>
      </c>
      <c r="Z288" t="s">
        <v>6038</v>
      </c>
      <c r="AA288" t="s">
        <v>6039</v>
      </c>
      <c r="AB288" t="s">
        <v>6040</v>
      </c>
      <c r="AC288" t="s">
        <v>6041</v>
      </c>
      <c r="AD288" t="s">
        <v>6042</v>
      </c>
      <c r="AE288" t="s">
        <v>6043</v>
      </c>
      <c r="AF288" t="s">
        <v>74</v>
      </c>
      <c r="AG288">
        <v>1</v>
      </c>
      <c r="AH288">
        <v>0</v>
      </c>
      <c r="AI288">
        <v>0</v>
      </c>
      <c r="AJ288">
        <v>0</v>
      </c>
      <c r="AK288">
        <v>4</v>
      </c>
      <c r="AL288" t="s">
        <v>1389</v>
      </c>
      <c r="AM288" t="s">
        <v>945</v>
      </c>
      <c r="AN288" t="s">
        <v>1390</v>
      </c>
      <c r="AO288" t="s">
        <v>1121</v>
      </c>
      <c r="AP288" t="s">
        <v>74</v>
      </c>
      <c r="AQ288" t="s">
        <v>74</v>
      </c>
      <c r="AR288" t="s">
        <v>1122</v>
      </c>
      <c r="AS288" t="s">
        <v>1123</v>
      </c>
      <c r="AT288" t="s">
        <v>6044</v>
      </c>
      <c r="AU288">
        <v>2020</v>
      </c>
      <c r="AV288">
        <v>10</v>
      </c>
      <c r="AW288">
        <v>1</v>
      </c>
      <c r="AX288" t="s">
        <v>74</v>
      </c>
      <c r="AY288" t="s">
        <v>74</v>
      </c>
      <c r="AZ288" t="s">
        <v>74</v>
      </c>
      <c r="BA288" t="s">
        <v>74</v>
      </c>
      <c r="BB288" t="s">
        <v>74</v>
      </c>
      <c r="BC288" t="s">
        <v>74</v>
      </c>
      <c r="BD288">
        <v>10663</v>
      </c>
      <c r="BE288" t="s">
        <v>6045</v>
      </c>
      <c r="BF288" t="str">
        <f>HYPERLINK("http://dx.doi.org/10.1038/s41598-020-67554-w","http://dx.doi.org/10.1038/s41598-020-67554-w")</f>
        <v>http://dx.doi.org/10.1038/s41598-020-67554-w</v>
      </c>
      <c r="BG288" t="s">
        <v>74</v>
      </c>
      <c r="BH288" t="s">
        <v>74</v>
      </c>
      <c r="BI288">
        <v>1</v>
      </c>
      <c r="BJ288" t="s">
        <v>1125</v>
      </c>
      <c r="BK288" t="s">
        <v>102</v>
      </c>
      <c r="BL288" t="s">
        <v>1126</v>
      </c>
      <c r="BM288" t="s">
        <v>6046</v>
      </c>
      <c r="BN288">
        <v>32581310</v>
      </c>
      <c r="BO288" t="s">
        <v>161</v>
      </c>
      <c r="BP288" t="s">
        <v>74</v>
      </c>
      <c r="BQ288" t="s">
        <v>74</v>
      </c>
      <c r="BR288" t="s">
        <v>106</v>
      </c>
      <c r="BS288" t="s">
        <v>6047</v>
      </c>
      <c r="BT288" t="str">
        <f>HYPERLINK("https%3A%2F%2Fwww.webofscience.com%2Fwos%2Fwoscc%2Ffull-record%2FWOS:000546713000002","View Full Record in Web of Science")</f>
        <v>View Full Record in Web of Science</v>
      </c>
    </row>
    <row r="289" spans="1:72" x14ac:dyDescent="0.15">
      <c r="A289" t="s">
        <v>72</v>
      </c>
      <c r="B289" t="s">
        <v>6048</v>
      </c>
      <c r="C289" t="s">
        <v>74</v>
      </c>
      <c r="D289" t="s">
        <v>74</v>
      </c>
      <c r="E289" t="s">
        <v>74</v>
      </c>
      <c r="F289" t="s">
        <v>6049</v>
      </c>
      <c r="G289" t="s">
        <v>74</v>
      </c>
      <c r="H289" t="s">
        <v>74</v>
      </c>
      <c r="I289" t="s">
        <v>6050</v>
      </c>
      <c r="J289" t="s">
        <v>2007</v>
      </c>
      <c r="K289" t="s">
        <v>74</v>
      </c>
      <c r="L289" t="s">
        <v>74</v>
      </c>
      <c r="M289" t="s">
        <v>78</v>
      </c>
      <c r="N289" t="s">
        <v>79</v>
      </c>
      <c r="O289" t="s">
        <v>74</v>
      </c>
      <c r="P289" t="s">
        <v>74</v>
      </c>
      <c r="Q289" t="s">
        <v>74</v>
      </c>
      <c r="R289" t="s">
        <v>74</v>
      </c>
      <c r="S289" t="s">
        <v>74</v>
      </c>
      <c r="T289" t="s">
        <v>74</v>
      </c>
      <c r="U289" t="s">
        <v>6051</v>
      </c>
      <c r="V289" t="s">
        <v>6052</v>
      </c>
      <c r="W289" t="s">
        <v>6053</v>
      </c>
      <c r="X289" t="s">
        <v>6054</v>
      </c>
      <c r="Y289" t="s">
        <v>6055</v>
      </c>
      <c r="Z289" t="s">
        <v>6056</v>
      </c>
      <c r="AA289" t="s">
        <v>6057</v>
      </c>
      <c r="AB289" t="s">
        <v>6058</v>
      </c>
      <c r="AC289" t="s">
        <v>6059</v>
      </c>
      <c r="AD289" t="s">
        <v>6060</v>
      </c>
      <c r="AE289" t="s">
        <v>6061</v>
      </c>
      <c r="AF289" t="s">
        <v>74</v>
      </c>
      <c r="AG289">
        <v>46</v>
      </c>
      <c r="AH289">
        <v>6</v>
      </c>
      <c r="AI289">
        <v>7</v>
      </c>
      <c r="AJ289">
        <v>2</v>
      </c>
      <c r="AK289">
        <v>7</v>
      </c>
      <c r="AL289" t="s">
        <v>1049</v>
      </c>
      <c r="AM289" t="s">
        <v>1050</v>
      </c>
      <c r="AN289" t="s">
        <v>1051</v>
      </c>
      <c r="AO289" t="s">
        <v>2019</v>
      </c>
      <c r="AP289" t="s">
        <v>2020</v>
      </c>
      <c r="AQ289" t="s">
        <v>74</v>
      </c>
      <c r="AR289" t="s">
        <v>2007</v>
      </c>
      <c r="AS289" t="s">
        <v>2021</v>
      </c>
      <c r="AT289" t="s">
        <v>6044</v>
      </c>
      <c r="AU289">
        <v>2020</v>
      </c>
      <c r="AV289">
        <v>14</v>
      </c>
      <c r="AW289">
        <v>6</v>
      </c>
      <c r="AX289" t="s">
        <v>74</v>
      </c>
      <c r="AY289" t="s">
        <v>74</v>
      </c>
      <c r="AZ289" t="s">
        <v>74</v>
      </c>
      <c r="BA289" t="s">
        <v>74</v>
      </c>
      <c r="BB289">
        <v>2071</v>
      </c>
      <c r="BC289">
        <v>2086</v>
      </c>
      <c r="BD289" t="s">
        <v>74</v>
      </c>
      <c r="BE289" t="s">
        <v>6062</v>
      </c>
      <c r="BF289" t="str">
        <f>HYPERLINK("http://dx.doi.org/10.5194/tc-14-2071-2020","http://dx.doi.org/10.5194/tc-14-2071-2020")</f>
        <v>http://dx.doi.org/10.5194/tc-14-2071-2020</v>
      </c>
      <c r="BG289" t="s">
        <v>74</v>
      </c>
      <c r="BH289" t="s">
        <v>74</v>
      </c>
      <c r="BI289">
        <v>16</v>
      </c>
      <c r="BJ289" t="s">
        <v>694</v>
      </c>
      <c r="BK289" t="s">
        <v>102</v>
      </c>
      <c r="BL289" t="s">
        <v>695</v>
      </c>
      <c r="BM289" t="s">
        <v>6063</v>
      </c>
      <c r="BN289" t="s">
        <v>74</v>
      </c>
      <c r="BO289" t="s">
        <v>1060</v>
      </c>
      <c r="BP289" t="s">
        <v>74</v>
      </c>
      <c r="BQ289" t="s">
        <v>74</v>
      </c>
      <c r="BR289" t="s">
        <v>106</v>
      </c>
      <c r="BS289" t="s">
        <v>6064</v>
      </c>
      <c r="BT289" t="str">
        <f>HYPERLINK("https%3A%2F%2Fwww.webofscience.com%2Fwos%2Fwoscc%2Ffull-record%2FWOS:000543788100001","View Full Record in Web of Science")</f>
        <v>View Full Record in Web of Science</v>
      </c>
    </row>
    <row r="290" spans="1:72" x14ac:dyDescent="0.15">
      <c r="A290" t="s">
        <v>72</v>
      </c>
      <c r="B290" t="s">
        <v>6065</v>
      </c>
      <c r="C290" t="s">
        <v>74</v>
      </c>
      <c r="D290" t="s">
        <v>74</v>
      </c>
      <c r="E290" t="s">
        <v>74</v>
      </c>
      <c r="F290" t="s">
        <v>6066</v>
      </c>
      <c r="G290" t="s">
        <v>74</v>
      </c>
      <c r="H290" t="s">
        <v>74</v>
      </c>
      <c r="I290" t="s">
        <v>6067</v>
      </c>
      <c r="J290" t="s">
        <v>2390</v>
      </c>
      <c r="K290" t="s">
        <v>74</v>
      </c>
      <c r="L290" t="s">
        <v>74</v>
      </c>
      <c r="M290" t="s">
        <v>78</v>
      </c>
      <c r="N290" t="s">
        <v>79</v>
      </c>
      <c r="O290" t="s">
        <v>74</v>
      </c>
      <c r="P290" t="s">
        <v>74</v>
      </c>
      <c r="Q290" t="s">
        <v>74</v>
      </c>
      <c r="R290" t="s">
        <v>74</v>
      </c>
      <c r="S290" t="s">
        <v>74</v>
      </c>
      <c r="T290" t="s">
        <v>74</v>
      </c>
      <c r="U290" t="s">
        <v>6068</v>
      </c>
      <c r="V290" t="s">
        <v>6069</v>
      </c>
      <c r="W290" t="s">
        <v>6070</v>
      </c>
      <c r="X290" t="s">
        <v>6071</v>
      </c>
      <c r="Y290" t="s">
        <v>6072</v>
      </c>
      <c r="Z290" t="s">
        <v>6073</v>
      </c>
      <c r="AA290" t="s">
        <v>6074</v>
      </c>
      <c r="AB290" t="s">
        <v>6075</v>
      </c>
      <c r="AC290" t="s">
        <v>6076</v>
      </c>
      <c r="AD290" t="s">
        <v>6077</v>
      </c>
      <c r="AE290" t="s">
        <v>6078</v>
      </c>
      <c r="AF290" t="s">
        <v>74</v>
      </c>
      <c r="AG290">
        <v>40</v>
      </c>
      <c r="AH290">
        <v>17</v>
      </c>
      <c r="AI290">
        <v>17</v>
      </c>
      <c r="AJ290">
        <v>5</v>
      </c>
      <c r="AK290">
        <v>23</v>
      </c>
      <c r="AL290" t="s">
        <v>1440</v>
      </c>
      <c r="AM290" t="s">
        <v>399</v>
      </c>
      <c r="AN290" t="s">
        <v>1441</v>
      </c>
      <c r="AO290" t="s">
        <v>2402</v>
      </c>
      <c r="AP290" t="s">
        <v>2403</v>
      </c>
      <c r="AQ290" t="s">
        <v>74</v>
      </c>
      <c r="AR290" t="s">
        <v>2404</v>
      </c>
      <c r="AS290" t="s">
        <v>2405</v>
      </c>
      <c r="AT290" t="s">
        <v>1001</v>
      </c>
      <c r="AU290">
        <v>2020</v>
      </c>
      <c r="AV290">
        <v>77</v>
      </c>
      <c r="AW290">
        <v>10</v>
      </c>
      <c r="AX290" t="s">
        <v>74</v>
      </c>
      <c r="AY290" t="s">
        <v>74</v>
      </c>
      <c r="AZ290" t="s">
        <v>74</v>
      </c>
      <c r="BA290" t="s">
        <v>74</v>
      </c>
      <c r="BB290">
        <v>2813</v>
      </c>
      <c r="BC290">
        <v>2820</v>
      </c>
      <c r="BD290" t="s">
        <v>74</v>
      </c>
      <c r="BE290" t="s">
        <v>6079</v>
      </c>
      <c r="BF290" t="str">
        <f>HYPERLINK("http://dx.doi.org/10.1007/s00284-020-02077-1","http://dx.doi.org/10.1007/s00284-020-02077-1")</f>
        <v>http://dx.doi.org/10.1007/s00284-020-02077-1</v>
      </c>
      <c r="BG290" t="s">
        <v>74</v>
      </c>
      <c r="BH290" t="s">
        <v>5750</v>
      </c>
      <c r="BI290">
        <v>8</v>
      </c>
      <c r="BJ290" t="s">
        <v>2045</v>
      </c>
      <c r="BK290" t="s">
        <v>102</v>
      </c>
      <c r="BL290" t="s">
        <v>2045</v>
      </c>
      <c r="BM290" t="s">
        <v>2407</v>
      </c>
      <c r="BN290">
        <v>32588135</v>
      </c>
      <c r="BO290" t="s">
        <v>74</v>
      </c>
      <c r="BP290" t="s">
        <v>74</v>
      </c>
      <c r="BQ290" t="s">
        <v>74</v>
      </c>
      <c r="BR290" t="s">
        <v>106</v>
      </c>
      <c r="BS290" t="s">
        <v>6080</v>
      </c>
      <c r="BT290" t="str">
        <f>HYPERLINK("https%3A%2F%2Fwww.webofscience.com%2Fwos%2Fwoscc%2Ffull-record%2FWOS:000543315600001","View Full Record in Web of Science")</f>
        <v>View Full Record in Web of Science</v>
      </c>
    </row>
    <row r="291" spans="1:72" x14ac:dyDescent="0.15">
      <c r="A291" t="s">
        <v>72</v>
      </c>
      <c r="B291" t="s">
        <v>6081</v>
      </c>
      <c r="C291" t="s">
        <v>74</v>
      </c>
      <c r="D291" t="s">
        <v>74</v>
      </c>
      <c r="E291" t="s">
        <v>74</v>
      </c>
      <c r="F291" t="s">
        <v>6082</v>
      </c>
      <c r="G291" t="s">
        <v>74</v>
      </c>
      <c r="H291" t="s">
        <v>74</v>
      </c>
      <c r="I291" t="s">
        <v>6083</v>
      </c>
      <c r="J291" t="s">
        <v>6084</v>
      </c>
      <c r="K291" t="s">
        <v>74</v>
      </c>
      <c r="L291" t="s">
        <v>74</v>
      </c>
      <c r="M291" t="s">
        <v>78</v>
      </c>
      <c r="N291" t="s">
        <v>79</v>
      </c>
      <c r="O291" t="s">
        <v>74</v>
      </c>
      <c r="P291" t="s">
        <v>74</v>
      </c>
      <c r="Q291" t="s">
        <v>74</v>
      </c>
      <c r="R291" t="s">
        <v>74</v>
      </c>
      <c r="S291" t="s">
        <v>74</v>
      </c>
      <c r="T291" t="s">
        <v>6085</v>
      </c>
      <c r="U291" t="s">
        <v>6086</v>
      </c>
      <c r="V291" t="s">
        <v>6087</v>
      </c>
      <c r="W291" t="s">
        <v>6088</v>
      </c>
      <c r="X291" t="s">
        <v>6089</v>
      </c>
      <c r="Y291" t="s">
        <v>6090</v>
      </c>
      <c r="Z291" t="s">
        <v>6091</v>
      </c>
      <c r="AA291" t="s">
        <v>74</v>
      </c>
      <c r="AB291" t="s">
        <v>6092</v>
      </c>
      <c r="AC291" t="s">
        <v>6093</v>
      </c>
      <c r="AD291" t="s">
        <v>992</v>
      </c>
      <c r="AE291" t="s">
        <v>6094</v>
      </c>
      <c r="AF291" t="s">
        <v>74</v>
      </c>
      <c r="AG291">
        <v>28</v>
      </c>
      <c r="AH291">
        <v>12</v>
      </c>
      <c r="AI291">
        <v>12</v>
      </c>
      <c r="AJ291">
        <v>0</v>
      </c>
      <c r="AK291">
        <v>5</v>
      </c>
      <c r="AL291" t="s">
        <v>4638</v>
      </c>
      <c r="AM291" t="s">
        <v>399</v>
      </c>
      <c r="AN291" t="s">
        <v>4867</v>
      </c>
      <c r="AO291" t="s">
        <v>6095</v>
      </c>
      <c r="AP291" t="s">
        <v>6096</v>
      </c>
      <c r="AQ291" t="s">
        <v>74</v>
      </c>
      <c r="AR291" t="s">
        <v>6097</v>
      </c>
      <c r="AS291" t="s">
        <v>6098</v>
      </c>
      <c r="AT291" t="s">
        <v>6044</v>
      </c>
      <c r="AU291">
        <v>2020</v>
      </c>
      <c r="AV291">
        <v>893</v>
      </c>
      <c r="AW291" t="s">
        <v>74</v>
      </c>
      <c r="AX291" t="s">
        <v>74</v>
      </c>
      <c r="AY291" t="s">
        <v>74</v>
      </c>
      <c r="AZ291" t="s">
        <v>74</v>
      </c>
      <c r="BA291" t="s">
        <v>74</v>
      </c>
      <c r="BB291" t="s">
        <v>74</v>
      </c>
      <c r="BC291" t="s">
        <v>74</v>
      </c>
      <c r="BD291" t="s">
        <v>6099</v>
      </c>
      <c r="BE291" t="s">
        <v>6100</v>
      </c>
      <c r="BF291" t="str">
        <f>HYPERLINK("http://dx.doi.org/10.1017/jfm.2020.259","http://dx.doi.org/10.1017/jfm.2020.259")</f>
        <v>http://dx.doi.org/10.1017/jfm.2020.259</v>
      </c>
      <c r="BG291" t="s">
        <v>74</v>
      </c>
      <c r="BH291" t="s">
        <v>74</v>
      </c>
      <c r="BI291">
        <v>12</v>
      </c>
      <c r="BJ291" t="s">
        <v>6101</v>
      </c>
      <c r="BK291" t="s">
        <v>102</v>
      </c>
      <c r="BL291" t="s">
        <v>6102</v>
      </c>
      <c r="BM291" t="s">
        <v>6103</v>
      </c>
      <c r="BN291" t="s">
        <v>74</v>
      </c>
      <c r="BO291" t="s">
        <v>6104</v>
      </c>
      <c r="BP291" t="s">
        <v>74</v>
      </c>
      <c r="BQ291" t="s">
        <v>74</v>
      </c>
      <c r="BR291" t="s">
        <v>106</v>
      </c>
      <c r="BS291" t="s">
        <v>6105</v>
      </c>
      <c r="BT291" t="str">
        <f>HYPERLINK("https%3A%2F%2Fwww.webofscience.com%2Fwos%2Fwoscc%2Ffull-record%2FWOS:000525852100001","View Full Record in Web of Science")</f>
        <v>View Full Record in Web of Science</v>
      </c>
    </row>
    <row r="292" spans="1:72" x14ac:dyDescent="0.15">
      <c r="A292" t="s">
        <v>72</v>
      </c>
      <c r="B292" t="s">
        <v>6106</v>
      </c>
      <c r="C292" t="s">
        <v>74</v>
      </c>
      <c r="D292" t="s">
        <v>74</v>
      </c>
      <c r="E292" t="s">
        <v>74</v>
      </c>
      <c r="F292" t="s">
        <v>6107</v>
      </c>
      <c r="G292" t="s">
        <v>74</v>
      </c>
      <c r="H292" t="s">
        <v>74</v>
      </c>
      <c r="I292" t="s">
        <v>6108</v>
      </c>
      <c r="J292" t="s">
        <v>6109</v>
      </c>
      <c r="K292" t="s">
        <v>74</v>
      </c>
      <c r="L292" t="s">
        <v>74</v>
      </c>
      <c r="M292" t="s">
        <v>78</v>
      </c>
      <c r="N292" t="s">
        <v>245</v>
      </c>
      <c r="O292" t="s">
        <v>74</v>
      </c>
      <c r="P292" t="s">
        <v>74</v>
      </c>
      <c r="Q292" t="s">
        <v>74</v>
      </c>
      <c r="R292" t="s">
        <v>74</v>
      </c>
      <c r="S292" t="s">
        <v>74</v>
      </c>
      <c r="T292" t="s">
        <v>6110</v>
      </c>
      <c r="U292" t="s">
        <v>6111</v>
      </c>
      <c r="V292" t="s">
        <v>6112</v>
      </c>
      <c r="W292" t="s">
        <v>6113</v>
      </c>
      <c r="X292" t="s">
        <v>6114</v>
      </c>
      <c r="Y292" t="s">
        <v>6115</v>
      </c>
      <c r="Z292" t="s">
        <v>6116</v>
      </c>
      <c r="AA292" t="s">
        <v>6117</v>
      </c>
      <c r="AB292" t="s">
        <v>6118</v>
      </c>
      <c r="AC292" t="s">
        <v>6119</v>
      </c>
      <c r="AD292" t="s">
        <v>6120</v>
      </c>
      <c r="AE292" t="s">
        <v>6121</v>
      </c>
      <c r="AF292" t="s">
        <v>74</v>
      </c>
      <c r="AG292">
        <v>117</v>
      </c>
      <c r="AH292">
        <v>7</v>
      </c>
      <c r="AI292">
        <v>7</v>
      </c>
      <c r="AJ292">
        <v>0</v>
      </c>
      <c r="AK292">
        <v>12</v>
      </c>
      <c r="AL292" t="s">
        <v>1411</v>
      </c>
      <c r="AM292" t="s">
        <v>1412</v>
      </c>
      <c r="AN292" t="s">
        <v>1413</v>
      </c>
      <c r="AO292" t="s">
        <v>6122</v>
      </c>
      <c r="AP292" t="s">
        <v>6123</v>
      </c>
      <c r="AQ292" t="s">
        <v>74</v>
      </c>
      <c r="AR292" t="s">
        <v>6124</v>
      </c>
      <c r="AS292" t="s">
        <v>6125</v>
      </c>
      <c r="AT292" t="s">
        <v>6126</v>
      </c>
      <c r="AU292">
        <v>2020</v>
      </c>
      <c r="AV292">
        <v>63</v>
      </c>
      <c r="AW292">
        <v>4</v>
      </c>
      <c r="AX292" t="s">
        <v>74</v>
      </c>
      <c r="AY292" t="s">
        <v>74</v>
      </c>
      <c r="AZ292" t="s">
        <v>2622</v>
      </c>
      <c r="BA292" t="s">
        <v>74</v>
      </c>
      <c r="BB292">
        <v>578</v>
      </c>
      <c r="BC292">
        <v>588</v>
      </c>
      <c r="BD292" t="s">
        <v>74</v>
      </c>
      <c r="BE292" t="s">
        <v>6127</v>
      </c>
      <c r="BF292" t="str">
        <f>HYPERLINK("http://dx.doi.org/10.1080/00288306.2020.1781666","http://dx.doi.org/10.1080/00288306.2020.1781666")</f>
        <v>http://dx.doi.org/10.1080/00288306.2020.1781666</v>
      </c>
      <c r="BG292" t="s">
        <v>74</v>
      </c>
      <c r="BH292" t="s">
        <v>5750</v>
      </c>
      <c r="BI292">
        <v>11</v>
      </c>
      <c r="BJ292" t="s">
        <v>6128</v>
      </c>
      <c r="BK292" t="s">
        <v>102</v>
      </c>
      <c r="BL292" t="s">
        <v>472</v>
      </c>
      <c r="BM292" t="s">
        <v>6129</v>
      </c>
      <c r="BN292" t="s">
        <v>74</v>
      </c>
      <c r="BO292" t="s">
        <v>976</v>
      </c>
      <c r="BP292" t="s">
        <v>74</v>
      </c>
      <c r="BQ292" t="s">
        <v>74</v>
      </c>
      <c r="BR292" t="s">
        <v>106</v>
      </c>
      <c r="BS292" t="s">
        <v>6130</v>
      </c>
      <c r="BT292" t="str">
        <f>HYPERLINK("https%3A%2F%2Fwww.webofscience.com%2Fwos%2Fwoscc%2Ffull-record%2FWOS:000547116300001","View Full Record in Web of Science")</f>
        <v>View Full Record in Web of Science</v>
      </c>
    </row>
    <row r="293" spans="1:72" x14ac:dyDescent="0.15">
      <c r="A293" t="s">
        <v>72</v>
      </c>
      <c r="B293" t="s">
        <v>6131</v>
      </c>
      <c r="C293" t="s">
        <v>74</v>
      </c>
      <c r="D293" t="s">
        <v>74</v>
      </c>
      <c r="E293" t="s">
        <v>74</v>
      </c>
      <c r="F293" t="s">
        <v>6132</v>
      </c>
      <c r="G293" t="s">
        <v>74</v>
      </c>
      <c r="H293" t="s">
        <v>74</v>
      </c>
      <c r="I293" t="s">
        <v>6133</v>
      </c>
      <c r="J293" t="s">
        <v>6134</v>
      </c>
      <c r="K293" t="s">
        <v>74</v>
      </c>
      <c r="L293" t="s">
        <v>74</v>
      </c>
      <c r="M293" t="s">
        <v>78</v>
      </c>
      <c r="N293" t="s">
        <v>79</v>
      </c>
      <c r="O293" t="s">
        <v>74</v>
      </c>
      <c r="P293" t="s">
        <v>74</v>
      </c>
      <c r="Q293" t="s">
        <v>74</v>
      </c>
      <c r="R293" t="s">
        <v>74</v>
      </c>
      <c r="S293" t="s">
        <v>74</v>
      </c>
      <c r="T293" t="s">
        <v>6135</v>
      </c>
      <c r="U293" t="s">
        <v>6136</v>
      </c>
      <c r="V293" t="s">
        <v>6137</v>
      </c>
      <c r="W293" t="s">
        <v>6138</v>
      </c>
      <c r="X293" t="s">
        <v>6139</v>
      </c>
      <c r="Y293" t="s">
        <v>6140</v>
      </c>
      <c r="Z293" t="s">
        <v>6141</v>
      </c>
      <c r="AA293" t="s">
        <v>6142</v>
      </c>
      <c r="AB293" t="s">
        <v>6143</v>
      </c>
      <c r="AC293" t="s">
        <v>6144</v>
      </c>
      <c r="AD293" t="s">
        <v>6145</v>
      </c>
      <c r="AE293" t="s">
        <v>6146</v>
      </c>
      <c r="AF293" t="s">
        <v>74</v>
      </c>
      <c r="AG293">
        <v>40</v>
      </c>
      <c r="AH293">
        <v>5</v>
      </c>
      <c r="AI293">
        <v>5</v>
      </c>
      <c r="AJ293">
        <v>0</v>
      </c>
      <c r="AK293">
        <v>5</v>
      </c>
      <c r="AL293" t="s">
        <v>3293</v>
      </c>
      <c r="AM293" t="s">
        <v>3294</v>
      </c>
      <c r="AN293" t="s">
        <v>3295</v>
      </c>
      <c r="AO293" t="s">
        <v>6147</v>
      </c>
      <c r="AP293" t="s">
        <v>6148</v>
      </c>
      <c r="AQ293" t="s">
        <v>74</v>
      </c>
      <c r="AR293" t="s">
        <v>6134</v>
      </c>
      <c r="AS293" t="s">
        <v>6149</v>
      </c>
      <c r="AT293" t="s">
        <v>6150</v>
      </c>
      <c r="AU293">
        <v>2020</v>
      </c>
      <c r="AV293">
        <v>450</v>
      </c>
      <c r="AW293">
        <v>1</v>
      </c>
      <c r="AX293" t="s">
        <v>74</v>
      </c>
      <c r="AY293" t="s">
        <v>74</v>
      </c>
      <c r="AZ293" t="s">
        <v>74</v>
      </c>
      <c r="BA293" t="s">
        <v>74</v>
      </c>
      <c r="BB293">
        <v>85</v>
      </c>
      <c r="BC293">
        <v>94</v>
      </c>
      <c r="BD293" t="s">
        <v>74</v>
      </c>
      <c r="BE293" t="s">
        <v>6151</v>
      </c>
      <c r="BF293" t="str">
        <f>HYPERLINK("http://dx.doi.org/10.11646/phytotaxa.450.1.6","http://dx.doi.org/10.11646/phytotaxa.450.1.6")</f>
        <v>http://dx.doi.org/10.11646/phytotaxa.450.1.6</v>
      </c>
      <c r="BG293" t="s">
        <v>74</v>
      </c>
      <c r="BH293" t="s">
        <v>74</v>
      </c>
      <c r="BI293">
        <v>10</v>
      </c>
      <c r="BJ293" t="s">
        <v>1635</v>
      </c>
      <c r="BK293" t="s">
        <v>102</v>
      </c>
      <c r="BL293" t="s">
        <v>1635</v>
      </c>
      <c r="BM293" t="s">
        <v>6152</v>
      </c>
      <c r="BN293" t="s">
        <v>74</v>
      </c>
      <c r="BO293" t="s">
        <v>74</v>
      </c>
      <c r="BP293" t="s">
        <v>74</v>
      </c>
      <c r="BQ293" t="s">
        <v>74</v>
      </c>
      <c r="BR293" t="s">
        <v>106</v>
      </c>
      <c r="BS293" t="s">
        <v>6153</v>
      </c>
      <c r="BT293" t="str">
        <f>HYPERLINK("https%3A%2F%2Fwww.webofscience.com%2Fwos%2Fwoscc%2Ffull-record%2FWOS:000546318600002","View Full Record in Web of Science")</f>
        <v>View Full Record in Web of Science</v>
      </c>
    </row>
    <row r="294" spans="1:72" x14ac:dyDescent="0.15">
      <c r="A294" t="s">
        <v>72</v>
      </c>
      <c r="B294" t="s">
        <v>6154</v>
      </c>
      <c r="C294" t="s">
        <v>74</v>
      </c>
      <c r="D294" t="s">
        <v>74</v>
      </c>
      <c r="E294" t="s">
        <v>74</v>
      </c>
      <c r="F294" t="s">
        <v>6155</v>
      </c>
      <c r="G294" t="s">
        <v>74</v>
      </c>
      <c r="H294" t="s">
        <v>74</v>
      </c>
      <c r="I294" t="s">
        <v>6156</v>
      </c>
      <c r="J294" t="s">
        <v>6157</v>
      </c>
      <c r="K294" t="s">
        <v>74</v>
      </c>
      <c r="L294" t="s">
        <v>74</v>
      </c>
      <c r="M294" t="s">
        <v>78</v>
      </c>
      <c r="N294" t="s">
        <v>79</v>
      </c>
      <c r="O294" t="s">
        <v>74</v>
      </c>
      <c r="P294" t="s">
        <v>74</v>
      </c>
      <c r="Q294" t="s">
        <v>74</v>
      </c>
      <c r="R294" t="s">
        <v>74</v>
      </c>
      <c r="S294" t="s">
        <v>74</v>
      </c>
      <c r="T294" t="s">
        <v>6158</v>
      </c>
      <c r="U294" t="s">
        <v>6159</v>
      </c>
      <c r="V294" t="s">
        <v>6160</v>
      </c>
      <c r="W294" t="s">
        <v>6161</v>
      </c>
      <c r="X294" t="s">
        <v>6162</v>
      </c>
      <c r="Y294" t="s">
        <v>6163</v>
      </c>
      <c r="Z294" t="s">
        <v>6164</v>
      </c>
      <c r="AA294" t="s">
        <v>6165</v>
      </c>
      <c r="AB294" t="s">
        <v>6166</v>
      </c>
      <c r="AC294" t="s">
        <v>6167</v>
      </c>
      <c r="AD294" t="s">
        <v>6168</v>
      </c>
      <c r="AE294" t="s">
        <v>6169</v>
      </c>
      <c r="AF294" t="s">
        <v>74</v>
      </c>
      <c r="AG294">
        <v>57</v>
      </c>
      <c r="AH294">
        <v>48</v>
      </c>
      <c r="AI294">
        <v>57</v>
      </c>
      <c r="AJ294">
        <v>10</v>
      </c>
      <c r="AK294">
        <v>61</v>
      </c>
      <c r="AL294" t="s">
        <v>1464</v>
      </c>
      <c r="AM294" t="s">
        <v>945</v>
      </c>
      <c r="AN294" t="s">
        <v>1465</v>
      </c>
      <c r="AO294" t="s">
        <v>6170</v>
      </c>
      <c r="AP294" t="s">
        <v>6171</v>
      </c>
      <c r="AQ294" t="s">
        <v>74</v>
      </c>
      <c r="AR294" t="s">
        <v>6172</v>
      </c>
      <c r="AS294" t="s">
        <v>6173</v>
      </c>
      <c r="AT294" t="s">
        <v>6150</v>
      </c>
      <c r="AU294">
        <v>2020</v>
      </c>
      <c r="AV294">
        <v>16</v>
      </c>
      <c r="AW294">
        <v>6</v>
      </c>
      <c r="AX294" t="s">
        <v>74</v>
      </c>
      <c r="AY294" t="s">
        <v>74</v>
      </c>
      <c r="AZ294" t="s">
        <v>74</v>
      </c>
      <c r="BA294" t="s">
        <v>74</v>
      </c>
      <c r="BB294" t="s">
        <v>74</v>
      </c>
      <c r="BC294" t="s">
        <v>74</v>
      </c>
      <c r="BD294" t="s">
        <v>74</v>
      </c>
      <c r="BE294" t="s">
        <v>6174</v>
      </c>
      <c r="BF294" t="str">
        <f>HYPERLINK("http://dx.doi.org/10.1098/rsbl.2020.0093","http://dx.doi.org/10.1098/rsbl.2020.0093")</f>
        <v>http://dx.doi.org/10.1098/rsbl.2020.0093</v>
      </c>
      <c r="BG294" t="s">
        <v>74</v>
      </c>
      <c r="BH294" t="s">
        <v>74</v>
      </c>
      <c r="BI294">
        <v>6</v>
      </c>
      <c r="BJ294" t="s">
        <v>1471</v>
      </c>
      <c r="BK294" t="s">
        <v>102</v>
      </c>
      <c r="BL294" t="s">
        <v>1472</v>
      </c>
      <c r="BM294" t="s">
        <v>6175</v>
      </c>
      <c r="BN294">
        <v>32574531</v>
      </c>
      <c r="BO294" t="s">
        <v>6176</v>
      </c>
      <c r="BP294" t="s">
        <v>74</v>
      </c>
      <c r="BQ294" t="s">
        <v>74</v>
      </c>
      <c r="BR294" t="s">
        <v>106</v>
      </c>
      <c r="BS294" t="s">
        <v>6177</v>
      </c>
      <c r="BT294" t="str">
        <f>HYPERLINK("https%3A%2F%2Fwww.webofscience.com%2Fwos%2Fwoscc%2Ffull-record%2FWOS:000544973200001","View Full Record in Web of Science")</f>
        <v>View Full Record in Web of Science</v>
      </c>
    </row>
    <row r="295" spans="1:72" x14ac:dyDescent="0.15">
      <c r="A295" t="s">
        <v>72</v>
      </c>
      <c r="B295" t="s">
        <v>6178</v>
      </c>
      <c r="C295" t="s">
        <v>74</v>
      </c>
      <c r="D295" t="s">
        <v>74</v>
      </c>
      <c r="E295" t="s">
        <v>74</v>
      </c>
      <c r="F295" t="s">
        <v>6179</v>
      </c>
      <c r="G295" t="s">
        <v>74</v>
      </c>
      <c r="H295" t="s">
        <v>74</v>
      </c>
      <c r="I295" t="s">
        <v>6180</v>
      </c>
      <c r="J295" t="s">
        <v>2007</v>
      </c>
      <c r="K295" t="s">
        <v>74</v>
      </c>
      <c r="L295" t="s">
        <v>74</v>
      </c>
      <c r="M295" t="s">
        <v>78</v>
      </c>
      <c r="N295" t="s">
        <v>79</v>
      </c>
      <c r="O295" t="s">
        <v>74</v>
      </c>
      <c r="P295" t="s">
        <v>74</v>
      </c>
      <c r="Q295" t="s">
        <v>74</v>
      </c>
      <c r="R295" t="s">
        <v>74</v>
      </c>
      <c r="S295" t="s">
        <v>74</v>
      </c>
      <c r="T295" t="s">
        <v>74</v>
      </c>
      <c r="U295" t="s">
        <v>6181</v>
      </c>
      <c r="V295" t="s">
        <v>6182</v>
      </c>
      <c r="W295" t="s">
        <v>6183</v>
      </c>
      <c r="X295" t="s">
        <v>6184</v>
      </c>
      <c r="Y295" t="s">
        <v>6185</v>
      </c>
      <c r="Z295" t="s">
        <v>6186</v>
      </c>
      <c r="AA295" t="s">
        <v>6187</v>
      </c>
      <c r="AB295" t="s">
        <v>6188</v>
      </c>
      <c r="AC295" t="s">
        <v>6189</v>
      </c>
      <c r="AD295" t="s">
        <v>6190</v>
      </c>
      <c r="AE295" t="s">
        <v>6191</v>
      </c>
      <c r="AF295" t="s">
        <v>74</v>
      </c>
      <c r="AG295">
        <v>63</v>
      </c>
      <c r="AH295">
        <v>8</v>
      </c>
      <c r="AI295">
        <v>8</v>
      </c>
      <c r="AJ295">
        <v>0</v>
      </c>
      <c r="AK295">
        <v>5</v>
      </c>
      <c r="AL295" t="s">
        <v>1049</v>
      </c>
      <c r="AM295" t="s">
        <v>1050</v>
      </c>
      <c r="AN295" t="s">
        <v>1051</v>
      </c>
      <c r="AO295" t="s">
        <v>2019</v>
      </c>
      <c r="AP295" t="s">
        <v>2020</v>
      </c>
      <c r="AQ295" t="s">
        <v>74</v>
      </c>
      <c r="AR295" t="s">
        <v>2007</v>
      </c>
      <c r="AS295" t="s">
        <v>2021</v>
      </c>
      <c r="AT295" t="s">
        <v>6150</v>
      </c>
      <c r="AU295">
        <v>2020</v>
      </c>
      <c r="AV295">
        <v>14</v>
      </c>
      <c r="AW295">
        <v>6</v>
      </c>
      <c r="AX295" t="s">
        <v>74</v>
      </c>
      <c r="AY295" t="s">
        <v>74</v>
      </c>
      <c r="AZ295" t="s">
        <v>74</v>
      </c>
      <c r="BA295" t="s">
        <v>74</v>
      </c>
      <c r="BB295">
        <v>2053</v>
      </c>
      <c r="BC295">
        <v>2069</v>
      </c>
      <c r="BD295" t="s">
        <v>74</v>
      </c>
      <c r="BE295" t="s">
        <v>6192</v>
      </c>
      <c r="BF295" t="str">
        <f>HYPERLINK("http://dx.doi.org/10.5194/tc-14-2053-2020","http://dx.doi.org/10.5194/tc-14-2053-2020")</f>
        <v>http://dx.doi.org/10.5194/tc-14-2053-2020</v>
      </c>
      <c r="BG295" t="s">
        <v>74</v>
      </c>
      <c r="BH295" t="s">
        <v>74</v>
      </c>
      <c r="BI295">
        <v>17</v>
      </c>
      <c r="BJ295" t="s">
        <v>694</v>
      </c>
      <c r="BK295" t="s">
        <v>102</v>
      </c>
      <c r="BL295" t="s">
        <v>695</v>
      </c>
      <c r="BM295" t="s">
        <v>6193</v>
      </c>
      <c r="BN295" t="s">
        <v>74</v>
      </c>
      <c r="BO295" t="s">
        <v>1352</v>
      </c>
      <c r="BP295" t="s">
        <v>74</v>
      </c>
      <c r="BQ295" t="s">
        <v>74</v>
      </c>
      <c r="BR295" t="s">
        <v>106</v>
      </c>
      <c r="BS295" t="s">
        <v>6194</v>
      </c>
      <c r="BT295" t="str">
        <f>HYPERLINK("https%3A%2F%2Fwww.webofscience.com%2Fwos%2Fwoscc%2Ffull-record%2FWOS:000543727400003","View Full Record in Web of Science")</f>
        <v>View Full Record in Web of Science</v>
      </c>
    </row>
    <row r="296" spans="1:72" x14ac:dyDescent="0.15">
      <c r="A296" t="s">
        <v>72</v>
      </c>
      <c r="B296" t="s">
        <v>6195</v>
      </c>
      <c r="C296" t="s">
        <v>74</v>
      </c>
      <c r="D296" t="s">
        <v>74</v>
      </c>
      <c r="E296" t="s">
        <v>74</v>
      </c>
      <c r="F296" t="s">
        <v>6196</v>
      </c>
      <c r="G296" t="s">
        <v>74</v>
      </c>
      <c r="H296" t="s">
        <v>74</v>
      </c>
      <c r="I296" t="s">
        <v>6197</v>
      </c>
      <c r="J296" t="s">
        <v>6198</v>
      </c>
      <c r="K296" t="s">
        <v>74</v>
      </c>
      <c r="L296" t="s">
        <v>74</v>
      </c>
      <c r="M296" t="s">
        <v>78</v>
      </c>
      <c r="N296" t="s">
        <v>79</v>
      </c>
      <c r="O296" t="s">
        <v>74</v>
      </c>
      <c r="P296" t="s">
        <v>74</v>
      </c>
      <c r="Q296" t="s">
        <v>74</v>
      </c>
      <c r="R296" t="s">
        <v>74</v>
      </c>
      <c r="S296" t="s">
        <v>74</v>
      </c>
      <c r="T296" t="s">
        <v>74</v>
      </c>
      <c r="U296" t="s">
        <v>6199</v>
      </c>
      <c r="V296" t="s">
        <v>6200</v>
      </c>
      <c r="W296" t="s">
        <v>6201</v>
      </c>
      <c r="X296" t="s">
        <v>6202</v>
      </c>
      <c r="Y296" t="s">
        <v>6203</v>
      </c>
      <c r="Z296" t="s">
        <v>6204</v>
      </c>
      <c r="AA296" t="s">
        <v>6205</v>
      </c>
      <c r="AB296" t="s">
        <v>6206</v>
      </c>
      <c r="AC296" t="s">
        <v>6207</v>
      </c>
      <c r="AD296" t="s">
        <v>6208</v>
      </c>
      <c r="AE296" t="s">
        <v>6209</v>
      </c>
      <c r="AF296" t="s">
        <v>74</v>
      </c>
      <c r="AG296">
        <v>59</v>
      </c>
      <c r="AH296">
        <v>10</v>
      </c>
      <c r="AI296">
        <v>10</v>
      </c>
      <c r="AJ296">
        <v>0</v>
      </c>
      <c r="AK296">
        <v>5</v>
      </c>
      <c r="AL296" t="s">
        <v>1049</v>
      </c>
      <c r="AM296" t="s">
        <v>1050</v>
      </c>
      <c r="AN296" t="s">
        <v>1051</v>
      </c>
      <c r="AO296" t="s">
        <v>6210</v>
      </c>
      <c r="AP296" t="s">
        <v>6211</v>
      </c>
      <c r="AQ296" t="s">
        <v>74</v>
      </c>
      <c r="AR296" t="s">
        <v>6212</v>
      </c>
      <c r="AS296" t="s">
        <v>6213</v>
      </c>
      <c r="AT296" t="s">
        <v>6150</v>
      </c>
      <c r="AU296">
        <v>2020</v>
      </c>
      <c r="AV296">
        <v>13</v>
      </c>
      <c r="AW296">
        <v>6</v>
      </c>
      <c r="AX296" t="s">
        <v>74</v>
      </c>
      <c r="AY296" t="s">
        <v>74</v>
      </c>
      <c r="AZ296" t="s">
        <v>74</v>
      </c>
      <c r="BA296" t="s">
        <v>74</v>
      </c>
      <c r="BB296">
        <v>2805</v>
      </c>
      <c r="BC296">
        <v>2823</v>
      </c>
      <c r="BD296" t="s">
        <v>74</v>
      </c>
      <c r="BE296" t="s">
        <v>6214</v>
      </c>
      <c r="BF296" t="str">
        <f>HYPERLINK("http://dx.doi.org/10.5194/gmd-13-2805-2020","http://dx.doi.org/10.5194/gmd-13-2805-2020")</f>
        <v>http://dx.doi.org/10.5194/gmd-13-2805-2020</v>
      </c>
      <c r="BG296" t="s">
        <v>74</v>
      </c>
      <c r="BH296" t="s">
        <v>74</v>
      </c>
      <c r="BI296">
        <v>19</v>
      </c>
      <c r="BJ296" t="s">
        <v>471</v>
      </c>
      <c r="BK296" t="s">
        <v>102</v>
      </c>
      <c r="BL296" t="s">
        <v>472</v>
      </c>
      <c r="BM296" t="s">
        <v>6215</v>
      </c>
      <c r="BN296" t="s">
        <v>74</v>
      </c>
      <c r="BO296" t="s">
        <v>2993</v>
      </c>
      <c r="BP296" t="s">
        <v>74</v>
      </c>
      <c r="BQ296" t="s">
        <v>74</v>
      </c>
      <c r="BR296" t="s">
        <v>106</v>
      </c>
      <c r="BS296" t="s">
        <v>6216</v>
      </c>
      <c r="BT296" t="str">
        <f>HYPERLINK("https%3A%2F%2Fwww.webofscience.com%2Fwos%2Fwoscc%2Ffull-record%2FWOS:000543726900002","View Full Record in Web of Science")</f>
        <v>View Full Record in Web of Science</v>
      </c>
    </row>
    <row r="297" spans="1:72" x14ac:dyDescent="0.15">
      <c r="A297" t="s">
        <v>72</v>
      </c>
      <c r="B297" t="s">
        <v>6217</v>
      </c>
      <c r="C297" t="s">
        <v>74</v>
      </c>
      <c r="D297" t="s">
        <v>74</v>
      </c>
      <c r="E297" t="s">
        <v>74</v>
      </c>
      <c r="F297" t="s">
        <v>6218</v>
      </c>
      <c r="G297" t="s">
        <v>74</v>
      </c>
      <c r="H297" t="s">
        <v>74</v>
      </c>
      <c r="I297" t="s">
        <v>6219</v>
      </c>
      <c r="J297" t="s">
        <v>1783</v>
      </c>
      <c r="K297" t="s">
        <v>74</v>
      </c>
      <c r="L297" t="s">
        <v>74</v>
      </c>
      <c r="M297" t="s">
        <v>78</v>
      </c>
      <c r="N297" t="s">
        <v>79</v>
      </c>
      <c r="O297" t="s">
        <v>74</v>
      </c>
      <c r="P297" t="s">
        <v>74</v>
      </c>
      <c r="Q297" t="s">
        <v>74</v>
      </c>
      <c r="R297" t="s">
        <v>74</v>
      </c>
      <c r="S297" t="s">
        <v>74</v>
      </c>
      <c r="T297" t="s">
        <v>6220</v>
      </c>
      <c r="U297" t="s">
        <v>6221</v>
      </c>
      <c r="V297" t="s">
        <v>6222</v>
      </c>
      <c r="W297" t="s">
        <v>6223</v>
      </c>
      <c r="X297" t="s">
        <v>6224</v>
      </c>
      <c r="Y297" t="s">
        <v>6225</v>
      </c>
      <c r="Z297" t="s">
        <v>6226</v>
      </c>
      <c r="AA297" t="s">
        <v>6227</v>
      </c>
      <c r="AB297" t="s">
        <v>6228</v>
      </c>
      <c r="AC297" t="s">
        <v>6229</v>
      </c>
      <c r="AD297" t="s">
        <v>6230</v>
      </c>
      <c r="AE297" t="s">
        <v>6231</v>
      </c>
      <c r="AF297" t="s">
        <v>74</v>
      </c>
      <c r="AG297">
        <v>33</v>
      </c>
      <c r="AH297">
        <v>4</v>
      </c>
      <c r="AI297">
        <v>4</v>
      </c>
      <c r="AJ297">
        <v>0</v>
      </c>
      <c r="AK297">
        <v>9</v>
      </c>
      <c r="AL297" t="s">
        <v>1440</v>
      </c>
      <c r="AM297" t="s">
        <v>399</v>
      </c>
      <c r="AN297" t="s">
        <v>1441</v>
      </c>
      <c r="AO297" t="s">
        <v>1796</v>
      </c>
      <c r="AP297" t="s">
        <v>1797</v>
      </c>
      <c r="AQ297" t="s">
        <v>74</v>
      </c>
      <c r="AR297" t="s">
        <v>1798</v>
      </c>
      <c r="AS297" t="s">
        <v>1799</v>
      </c>
      <c r="AT297" t="s">
        <v>1930</v>
      </c>
      <c r="AU297">
        <v>2020</v>
      </c>
      <c r="AV297">
        <v>43</v>
      </c>
      <c r="AW297">
        <v>9</v>
      </c>
      <c r="AX297" t="s">
        <v>74</v>
      </c>
      <c r="AY297" t="s">
        <v>74</v>
      </c>
      <c r="AZ297" t="s">
        <v>74</v>
      </c>
      <c r="BA297" t="s">
        <v>74</v>
      </c>
      <c r="BB297">
        <v>1407</v>
      </c>
      <c r="BC297">
        <v>1413</v>
      </c>
      <c r="BD297" t="s">
        <v>74</v>
      </c>
      <c r="BE297" t="s">
        <v>6232</v>
      </c>
      <c r="BF297" t="str">
        <f>HYPERLINK("http://dx.doi.org/10.1007/s00300-020-02699-y","http://dx.doi.org/10.1007/s00300-020-02699-y")</f>
        <v>http://dx.doi.org/10.1007/s00300-020-02699-y</v>
      </c>
      <c r="BG297" t="s">
        <v>74</v>
      </c>
      <c r="BH297" t="s">
        <v>5750</v>
      </c>
      <c r="BI297">
        <v>7</v>
      </c>
      <c r="BJ297" t="s">
        <v>1004</v>
      </c>
      <c r="BK297" t="s">
        <v>102</v>
      </c>
      <c r="BL297" t="s">
        <v>1005</v>
      </c>
      <c r="BM297" t="s">
        <v>1949</v>
      </c>
      <c r="BN297" t="s">
        <v>74</v>
      </c>
      <c r="BO297" t="s">
        <v>74</v>
      </c>
      <c r="BP297" t="s">
        <v>74</v>
      </c>
      <c r="BQ297" t="s">
        <v>74</v>
      </c>
      <c r="BR297" t="s">
        <v>106</v>
      </c>
      <c r="BS297" t="s">
        <v>6233</v>
      </c>
      <c r="BT297" t="str">
        <f>HYPERLINK("https%3A%2F%2Fwww.webofscience.com%2Fwos%2Fwoscc%2Ffull-record%2FWOS:000543032100001","View Full Record in Web of Science")</f>
        <v>View Full Record in Web of Science</v>
      </c>
    </row>
    <row r="298" spans="1:72" x14ac:dyDescent="0.15">
      <c r="A298" t="s">
        <v>72</v>
      </c>
      <c r="B298" t="s">
        <v>6234</v>
      </c>
      <c r="C298" t="s">
        <v>74</v>
      </c>
      <c r="D298" t="s">
        <v>74</v>
      </c>
      <c r="E298" t="s">
        <v>74</v>
      </c>
      <c r="F298" t="s">
        <v>6235</v>
      </c>
      <c r="G298" t="s">
        <v>74</v>
      </c>
      <c r="H298" t="s">
        <v>74</v>
      </c>
      <c r="I298" t="s">
        <v>6236</v>
      </c>
      <c r="J298" t="s">
        <v>5774</v>
      </c>
      <c r="K298" t="s">
        <v>74</v>
      </c>
      <c r="L298" t="s">
        <v>74</v>
      </c>
      <c r="M298" t="s">
        <v>78</v>
      </c>
      <c r="N298" t="s">
        <v>2846</v>
      </c>
      <c r="O298" t="s">
        <v>74</v>
      </c>
      <c r="P298" t="s">
        <v>74</v>
      </c>
      <c r="Q298" t="s">
        <v>74</v>
      </c>
      <c r="R298" t="s">
        <v>74</v>
      </c>
      <c r="S298" t="s">
        <v>74</v>
      </c>
      <c r="T298" t="s">
        <v>74</v>
      </c>
      <c r="U298" t="s">
        <v>74</v>
      </c>
      <c r="V298" t="s">
        <v>74</v>
      </c>
      <c r="W298" t="s">
        <v>6237</v>
      </c>
      <c r="X298" t="s">
        <v>6238</v>
      </c>
      <c r="Y298" t="s">
        <v>6239</v>
      </c>
      <c r="Z298" t="s">
        <v>6240</v>
      </c>
      <c r="AA298" t="s">
        <v>6241</v>
      </c>
      <c r="AB298" t="s">
        <v>6242</v>
      </c>
      <c r="AC298" t="s">
        <v>74</v>
      </c>
      <c r="AD298" t="s">
        <v>74</v>
      </c>
      <c r="AE298" t="s">
        <v>74</v>
      </c>
      <c r="AF298" t="s">
        <v>74</v>
      </c>
      <c r="AG298">
        <v>1</v>
      </c>
      <c r="AH298">
        <v>0</v>
      </c>
      <c r="AI298">
        <v>0</v>
      </c>
      <c r="AJ298">
        <v>1</v>
      </c>
      <c r="AK298">
        <v>7</v>
      </c>
      <c r="AL298" t="s">
        <v>1389</v>
      </c>
      <c r="AM298" t="s">
        <v>945</v>
      </c>
      <c r="AN298" t="s">
        <v>1390</v>
      </c>
      <c r="AO298" t="s">
        <v>5782</v>
      </c>
      <c r="AP298" t="s">
        <v>5783</v>
      </c>
      <c r="AQ298" t="s">
        <v>74</v>
      </c>
      <c r="AR298" t="s">
        <v>5784</v>
      </c>
      <c r="AS298" t="s">
        <v>5785</v>
      </c>
      <c r="AT298" t="s">
        <v>99</v>
      </c>
      <c r="AU298">
        <v>2020</v>
      </c>
      <c r="AV298">
        <v>10</v>
      </c>
      <c r="AW298">
        <v>8</v>
      </c>
      <c r="AX298" t="s">
        <v>74</v>
      </c>
      <c r="AY298" t="s">
        <v>74</v>
      </c>
      <c r="AZ298" t="s">
        <v>74</v>
      </c>
      <c r="BA298" t="s">
        <v>74</v>
      </c>
      <c r="BB298">
        <v>791</v>
      </c>
      <c r="BC298">
        <v>791</v>
      </c>
      <c r="BD298" t="s">
        <v>74</v>
      </c>
      <c r="BE298" t="s">
        <v>6243</v>
      </c>
      <c r="BF298" t="str">
        <f>HYPERLINK("http://dx.doi.org/10.1038/s41558-020-0850-9","http://dx.doi.org/10.1038/s41558-020-0850-9")</f>
        <v>http://dx.doi.org/10.1038/s41558-020-0850-9</v>
      </c>
      <c r="BG298" t="s">
        <v>74</v>
      </c>
      <c r="BH298" t="s">
        <v>5750</v>
      </c>
      <c r="BI298">
        <v>1</v>
      </c>
      <c r="BJ298" t="s">
        <v>5787</v>
      </c>
      <c r="BK298" t="s">
        <v>925</v>
      </c>
      <c r="BL298" t="s">
        <v>2069</v>
      </c>
      <c r="BM298" t="s">
        <v>5788</v>
      </c>
      <c r="BN298" t="s">
        <v>74</v>
      </c>
      <c r="BO298" t="s">
        <v>1657</v>
      </c>
      <c r="BP298" t="s">
        <v>74</v>
      </c>
      <c r="BQ298" t="s">
        <v>74</v>
      </c>
      <c r="BR298" t="s">
        <v>106</v>
      </c>
      <c r="BS298" t="s">
        <v>6244</v>
      </c>
      <c r="BT298" t="str">
        <f>HYPERLINK("https%3A%2F%2Fwww.webofscience.com%2Fwos%2Fwoscc%2Ffull-record%2FWOS:000543143200001","View Full Record in Web of Science")</f>
        <v>View Full Record in Web of Science</v>
      </c>
    </row>
    <row r="299" spans="1:72" x14ac:dyDescent="0.15">
      <c r="A299" t="s">
        <v>72</v>
      </c>
      <c r="B299" t="s">
        <v>6245</v>
      </c>
      <c r="C299" t="s">
        <v>74</v>
      </c>
      <c r="D299" t="s">
        <v>74</v>
      </c>
      <c r="E299" t="s">
        <v>74</v>
      </c>
      <c r="F299" t="s">
        <v>6246</v>
      </c>
      <c r="G299" t="s">
        <v>74</v>
      </c>
      <c r="H299" t="s">
        <v>74</v>
      </c>
      <c r="I299" t="s">
        <v>6247</v>
      </c>
      <c r="J299" t="s">
        <v>1106</v>
      </c>
      <c r="K299" t="s">
        <v>74</v>
      </c>
      <c r="L299" t="s">
        <v>74</v>
      </c>
      <c r="M299" t="s">
        <v>78</v>
      </c>
      <c r="N299" t="s">
        <v>79</v>
      </c>
      <c r="O299" t="s">
        <v>74</v>
      </c>
      <c r="P299" t="s">
        <v>74</v>
      </c>
      <c r="Q299" t="s">
        <v>74</v>
      </c>
      <c r="R299" t="s">
        <v>74</v>
      </c>
      <c r="S299" t="s">
        <v>74</v>
      </c>
      <c r="T299" t="s">
        <v>74</v>
      </c>
      <c r="U299" t="s">
        <v>6248</v>
      </c>
      <c r="V299" t="s">
        <v>6249</v>
      </c>
      <c r="W299" t="s">
        <v>6250</v>
      </c>
      <c r="X299" t="s">
        <v>6251</v>
      </c>
      <c r="Y299" t="s">
        <v>6252</v>
      </c>
      <c r="Z299" t="s">
        <v>6253</v>
      </c>
      <c r="AA299" t="s">
        <v>6254</v>
      </c>
      <c r="AB299" t="s">
        <v>6255</v>
      </c>
      <c r="AC299" t="s">
        <v>6256</v>
      </c>
      <c r="AD299" t="s">
        <v>6257</v>
      </c>
      <c r="AE299" t="s">
        <v>6258</v>
      </c>
      <c r="AF299" t="s">
        <v>74</v>
      </c>
      <c r="AG299">
        <v>75</v>
      </c>
      <c r="AH299">
        <v>20</v>
      </c>
      <c r="AI299">
        <v>20</v>
      </c>
      <c r="AJ299">
        <v>2</v>
      </c>
      <c r="AK299">
        <v>10</v>
      </c>
      <c r="AL299" t="s">
        <v>1118</v>
      </c>
      <c r="AM299" t="s">
        <v>1119</v>
      </c>
      <c r="AN299" t="s">
        <v>1120</v>
      </c>
      <c r="AO299" t="s">
        <v>1121</v>
      </c>
      <c r="AP299" t="s">
        <v>74</v>
      </c>
      <c r="AQ299" t="s">
        <v>74</v>
      </c>
      <c r="AR299" t="s">
        <v>1122</v>
      </c>
      <c r="AS299" t="s">
        <v>1123</v>
      </c>
      <c r="AT299" t="s">
        <v>6150</v>
      </c>
      <c r="AU299">
        <v>2020</v>
      </c>
      <c r="AV299">
        <v>10</v>
      </c>
      <c r="AW299">
        <v>1</v>
      </c>
      <c r="AX299" t="s">
        <v>74</v>
      </c>
      <c r="AY299" t="s">
        <v>74</v>
      </c>
      <c r="AZ299" t="s">
        <v>74</v>
      </c>
      <c r="BA299" t="s">
        <v>74</v>
      </c>
      <c r="BB299" t="s">
        <v>74</v>
      </c>
      <c r="BC299" t="s">
        <v>74</v>
      </c>
      <c r="BD299">
        <v>10277</v>
      </c>
      <c r="BE299" t="s">
        <v>6259</v>
      </c>
      <c r="BF299" t="str">
        <f>HYPERLINK("http://dx.doi.org/10.1038/s41598-020-67248-3","http://dx.doi.org/10.1038/s41598-020-67248-3")</f>
        <v>http://dx.doi.org/10.1038/s41598-020-67248-3</v>
      </c>
      <c r="BG299" t="s">
        <v>74</v>
      </c>
      <c r="BH299" t="s">
        <v>74</v>
      </c>
      <c r="BI299">
        <v>19</v>
      </c>
      <c r="BJ299" t="s">
        <v>1125</v>
      </c>
      <c r="BK299" t="s">
        <v>102</v>
      </c>
      <c r="BL299" t="s">
        <v>1126</v>
      </c>
      <c r="BM299" t="s">
        <v>6260</v>
      </c>
      <c r="BN299">
        <v>32581283</v>
      </c>
      <c r="BO299" t="s">
        <v>1778</v>
      </c>
      <c r="BP299" t="s">
        <v>74</v>
      </c>
      <c r="BQ299" t="s">
        <v>74</v>
      </c>
      <c r="BR299" t="s">
        <v>106</v>
      </c>
      <c r="BS299" t="s">
        <v>6261</v>
      </c>
      <c r="BT299" t="str">
        <f>HYPERLINK("https%3A%2F%2Fwww.webofscience.com%2Fwos%2Fwoscc%2Ffull-record%2FWOS:000546711700026","View Full Record in Web of Science")</f>
        <v>View Full Record in Web of Science</v>
      </c>
    </row>
    <row r="300" spans="1:72" x14ac:dyDescent="0.15">
      <c r="A300" t="s">
        <v>72</v>
      </c>
      <c r="B300" t="s">
        <v>6262</v>
      </c>
      <c r="C300" t="s">
        <v>74</v>
      </c>
      <c r="D300" t="s">
        <v>74</v>
      </c>
      <c r="E300" t="s">
        <v>74</v>
      </c>
      <c r="F300" t="s">
        <v>6263</v>
      </c>
      <c r="G300" t="s">
        <v>74</v>
      </c>
      <c r="H300" t="s">
        <v>74</v>
      </c>
      <c r="I300" t="s">
        <v>6264</v>
      </c>
      <c r="J300" t="s">
        <v>6265</v>
      </c>
      <c r="K300" t="s">
        <v>74</v>
      </c>
      <c r="L300" t="s">
        <v>74</v>
      </c>
      <c r="M300" t="s">
        <v>78</v>
      </c>
      <c r="N300" t="s">
        <v>79</v>
      </c>
      <c r="O300" t="s">
        <v>74</v>
      </c>
      <c r="P300" t="s">
        <v>74</v>
      </c>
      <c r="Q300" t="s">
        <v>74</v>
      </c>
      <c r="R300" t="s">
        <v>74</v>
      </c>
      <c r="S300" t="s">
        <v>74</v>
      </c>
      <c r="T300" t="s">
        <v>6266</v>
      </c>
      <c r="U300" t="s">
        <v>6267</v>
      </c>
      <c r="V300" t="s">
        <v>6268</v>
      </c>
      <c r="W300" t="s">
        <v>6269</v>
      </c>
      <c r="X300" t="s">
        <v>6270</v>
      </c>
      <c r="Y300" t="s">
        <v>6271</v>
      </c>
      <c r="Z300" t="s">
        <v>6272</v>
      </c>
      <c r="AA300" t="s">
        <v>6273</v>
      </c>
      <c r="AB300" t="s">
        <v>6274</v>
      </c>
      <c r="AC300" t="s">
        <v>6275</v>
      </c>
      <c r="AD300" t="s">
        <v>6276</v>
      </c>
      <c r="AE300" t="s">
        <v>6277</v>
      </c>
      <c r="AF300" t="s">
        <v>74</v>
      </c>
      <c r="AG300">
        <v>47</v>
      </c>
      <c r="AH300">
        <v>11</v>
      </c>
      <c r="AI300">
        <v>11</v>
      </c>
      <c r="AJ300">
        <v>1</v>
      </c>
      <c r="AK300">
        <v>2</v>
      </c>
      <c r="AL300" t="s">
        <v>1464</v>
      </c>
      <c r="AM300" t="s">
        <v>945</v>
      </c>
      <c r="AN300" t="s">
        <v>1465</v>
      </c>
      <c r="AO300" t="s">
        <v>6278</v>
      </c>
      <c r="AP300" t="s">
        <v>6279</v>
      </c>
      <c r="AQ300" t="s">
        <v>74</v>
      </c>
      <c r="AR300" t="s">
        <v>6280</v>
      </c>
      <c r="AS300" t="s">
        <v>6281</v>
      </c>
      <c r="AT300" t="s">
        <v>6150</v>
      </c>
      <c r="AU300">
        <v>2020</v>
      </c>
      <c r="AV300">
        <v>476</v>
      </c>
      <c r="AW300">
        <v>2238</v>
      </c>
      <c r="AX300" t="s">
        <v>74</v>
      </c>
      <c r="AY300" t="s">
        <v>74</v>
      </c>
      <c r="AZ300" t="s">
        <v>74</v>
      </c>
      <c r="BA300" t="s">
        <v>74</v>
      </c>
      <c r="BB300" t="s">
        <v>74</v>
      </c>
      <c r="BC300" t="s">
        <v>74</v>
      </c>
      <c r="BD300">
        <v>20190758</v>
      </c>
      <c r="BE300" t="s">
        <v>6282</v>
      </c>
      <c r="BF300" t="str">
        <f>HYPERLINK("http://dx.doi.org/10.1098/rspa.2019.0758","http://dx.doi.org/10.1098/rspa.2019.0758")</f>
        <v>http://dx.doi.org/10.1098/rspa.2019.0758</v>
      </c>
      <c r="BG300" t="s">
        <v>74</v>
      </c>
      <c r="BH300" t="s">
        <v>74</v>
      </c>
      <c r="BI300">
        <v>16</v>
      </c>
      <c r="BJ300" t="s">
        <v>1125</v>
      </c>
      <c r="BK300" t="s">
        <v>102</v>
      </c>
      <c r="BL300" t="s">
        <v>1126</v>
      </c>
      <c r="BM300" t="s">
        <v>6283</v>
      </c>
      <c r="BN300">
        <v>32821235</v>
      </c>
      <c r="BO300" t="s">
        <v>6284</v>
      </c>
      <c r="BP300" t="s">
        <v>74</v>
      </c>
      <c r="BQ300" t="s">
        <v>74</v>
      </c>
      <c r="BR300" t="s">
        <v>106</v>
      </c>
      <c r="BS300" t="s">
        <v>6285</v>
      </c>
      <c r="BT300" t="str">
        <f>HYPERLINK("https%3A%2F%2Fwww.webofscience.com%2Fwos%2Fwoscc%2Ffull-record%2FWOS:000539300100005","View Full Record in Web of Science")</f>
        <v>View Full Record in Web of Science</v>
      </c>
    </row>
    <row r="301" spans="1:72" x14ac:dyDescent="0.15">
      <c r="A301" t="s">
        <v>72</v>
      </c>
      <c r="B301" t="s">
        <v>6286</v>
      </c>
      <c r="C301" t="s">
        <v>74</v>
      </c>
      <c r="D301" t="s">
        <v>74</v>
      </c>
      <c r="E301" t="s">
        <v>74</v>
      </c>
      <c r="F301" t="s">
        <v>6287</v>
      </c>
      <c r="G301" t="s">
        <v>74</v>
      </c>
      <c r="H301" t="s">
        <v>74</v>
      </c>
      <c r="I301" t="s">
        <v>6288</v>
      </c>
      <c r="J301" t="s">
        <v>6289</v>
      </c>
      <c r="K301" t="s">
        <v>74</v>
      </c>
      <c r="L301" t="s">
        <v>74</v>
      </c>
      <c r="M301" t="s">
        <v>78</v>
      </c>
      <c r="N301" t="s">
        <v>79</v>
      </c>
      <c r="O301" t="s">
        <v>74</v>
      </c>
      <c r="P301" t="s">
        <v>74</v>
      </c>
      <c r="Q301" t="s">
        <v>74</v>
      </c>
      <c r="R301" t="s">
        <v>74</v>
      </c>
      <c r="S301" t="s">
        <v>74</v>
      </c>
      <c r="T301" t="s">
        <v>74</v>
      </c>
      <c r="U301" t="s">
        <v>6290</v>
      </c>
      <c r="V301" t="s">
        <v>6291</v>
      </c>
      <c r="W301" t="s">
        <v>6292</v>
      </c>
      <c r="X301" t="s">
        <v>6293</v>
      </c>
      <c r="Y301" t="s">
        <v>6294</v>
      </c>
      <c r="Z301" t="s">
        <v>6295</v>
      </c>
      <c r="AA301" t="s">
        <v>6296</v>
      </c>
      <c r="AB301" t="s">
        <v>6297</v>
      </c>
      <c r="AC301" t="s">
        <v>6298</v>
      </c>
      <c r="AD301" t="s">
        <v>6299</v>
      </c>
      <c r="AE301" t="s">
        <v>6300</v>
      </c>
      <c r="AF301" t="s">
        <v>74</v>
      </c>
      <c r="AG301">
        <v>50</v>
      </c>
      <c r="AH301">
        <v>10</v>
      </c>
      <c r="AI301">
        <v>11</v>
      </c>
      <c r="AJ301">
        <v>2</v>
      </c>
      <c r="AK301">
        <v>10</v>
      </c>
      <c r="AL301" t="s">
        <v>2425</v>
      </c>
      <c r="AM301" t="s">
        <v>152</v>
      </c>
      <c r="AN301" t="s">
        <v>2426</v>
      </c>
      <c r="AO301" t="s">
        <v>6301</v>
      </c>
      <c r="AP301" t="s">
        <v>74</v>
      </c>
      <c r="AQ301" t="s">
        <v>74</v>
      </c>
      <c r="AR301" t="s">
        <v>6289</v>
      </c>
      <c r="AS301" t="s">
        <v>6302</v>
      </c>
      <c r="AT301" t="s">
        <v>6303</v>
      </c>
      <c r="AU301">
        <v>2020</v>
      </c>
      <c r="AV301">
        <v>5</v>
      </c>
      <c r="AW301">
        <v>24</v>
      </c>
      <c r="AX301" t="s">
        <v>74</v>
      </c>
      <c r="AY301" t="s">
        <v>74</v>
      </c>
      <c r="AZ301" t="s">
        <v>74</v>
      </c>
      <c r="BA301" t="s">
        <v>74</v>
      </c>
      <c r="BB301">
        <v>14523</v>
      </c>
      <c r="BC301">
        <v>14534</v>
      </c>
      <c r="BD301" t="s">
        <v>74</v>
      </c>
      <c r="BE301" t="s">
        <v>6304</v>
      </c>
      <c r="BF301" t="str">
        <f>HYPERLINK("http://dx.doi.org/10.1021/acsomega.0c01210","http://dx.doi.org/10.1021/acsomega.0c01210")</f>
        <v>http://dx.doi.org/10.1021/acsomega.0c01210</v>
      </c>
      <c r="BG301" t="s">
        <v>74</v>
      </c>
      <c r="BH301" t="s">
        <v>74</v>
      </c>
      <c r="BI301">
        <v>12</v>
      </c>
      <c r="BJ301" t="s">
        <v>6305</v>
      </c>
      <c r="BK301" t="s">
        <v>102</v>
      </c>
      <c r="BL301" t="s">
        <v>3680</v>
      </c>
      <c r="BM301" t="s">
        <v>6306</v>
      </c>
      <c r="BN301">
        <v>32596590</v>
      </c>
      <c r="BO301" t="s">
        <v>161</v>
      </c>
      <c r="BP301" t="s">
        <v>74</v>
      </c>
      <c r="BQ301" t="s">
        <v>74</v>
      </c>
      <c r="BR301" t="s">
        <v>106</v>
      </c>
      <c r="BS301" t="s">
        <v>6307</v>
      </c>
      <c r="BT301" t="str">
        <f>HYPERLINK("https%3A%2F%2Fwww.webofscience.com%2Fwos%2Fwoscc%2Ffull-record%2FWOS:000543740600035","View Full Record in Web of Science")</f>
        <v>View Full Record in Web of Science</v>
      </c>
    </row>
    <row r="302" spans="1:72" x14ac:dyDescent="0.15">
      <c r="A302" t="s">
        <v>72</v>
      </c>
      <c r="B302" t="s">
        <v>6308</v>
      </c>
      <c r="C302" t="s">
        <v>74</v>
      </c>
      <c r="D302" t="s">
        <v>74</v>
      </c>
      <c r="E302" t="s">
        <v>74</v>
      </c>
      <c r="F302" t="s">
        <v>6309</v>
      </c>
      <c r="G302" t="s">
        <v>74</v>
      </c>
      <c r="H302" t="s">
        <v>74</v>
      </c>
      <c r="I302" t="s">
        <v>6310</v>
      </c>
      <c r="J302" t="s">
        <v>1065</v>
      </c>
      <c r="K302" t="s">
        <v>74</v>
      </c>
      <c r="L302" t="s">
        <v>74</v>
      </c>
      <c r="M302" t="s">
        <v>78</v>
      </c>
      <c r="N302" t="s">
        <v>79</v>
      </c>
      <c r="O302" t="s">
        <v>74</v>
      </c>
      <c r="P302" t="s">
        <v>74</v>
      </c>
      <c r="Q302" t="s">
        <v>74</v>
      </c>
      <c r="R302" t="s">
        <v>74</v>
      </c>
      <c r="S302" t="s">
        <v>74</v>
      </c>
      <c r="T302" t="s">
        <v>6311</v>
      </c>
      <c r="U302" t="s">
        <v>6312</v>
      </c>
      <c r="V302" t="s">
        <v>6313</v>
      </c>
      <c r="W302" t="s">
        <v>6314</v>
      </c>
      <c r="X302" t="s">
        <v>5895</v>
      </c>
      <c r="Y302" t="s">
        <v>6315</v>
      </c>
      <c r="Z302" t="s">
        <v>6316</v>
      </c>
      <c r="AA302" t="s">
        <v>6317</v>
      </c>
      <c r="AB302" t="s">
        <v>6318</v>
      </c>
      <c r="AC302" t="s">
        <v>6319</v>
      </c>
      <c r="AD302" t="s">
        <v>6320</v>
      </c>
      <c r="AE302" t="s">
        <v>6321</v>
      </c>
      <c r="AF302" t="s">
        <v>74</v>
      </c>
      <c r="AG302">
        <v>102</v>
      </c>
      <c r="AH302">
        <v>4</v>
      </c>
      <c r="AI302">
        <v>4</v>
      </c>
      <c r="AJ302">
        <v>1</v>
      </c>
      <c r="AK302">
        <v>9</v>
      </c>
      <c r="AL302" t="s">
        <v>1024</v>
      </c>
      <c r="AM302" t="s">
        <v>1025</v>
      </c>
      <c r="AN302" t="s">
        <v>1026</v>
      </c>
      <c r="AO302" t="s">
        <v>74</v>
      </c>
      <c r="AP302" t="s">
        <v>1078</v>
      </c>
      <c r="AQ302" t="s">
        <v>74</v>
      </c>
      <c r="AR302" t="s">
        <v>1079</v>
      </c>
      <c r="AS302" t="s">
        <v>1080</v>
      </c>
      <c r="AT302" t="s">
        <v>6303</v>
      </c>
      <c r="AU302">
        <v>2020</v>
      </c>
      <c r="AV302">
        <v>7</v>
      </c>
      <c r="AW302" t="s">
        <v>74</v>
      </c>
      <c r="AX302" t="s">
        <v>74</v>
      </c>
      <c r="AY302" t="s">
        <v>74</v>
      </c>
      <c r="AZ302" t="s">
        <v>74</v>
      </c>
      <c r="BA302" t="s">
        <v>74</v>
      </c>
      <c r="BB302" t="s">
        <v>74</v>
      </c>
      <c r="BC302" t="s">
        <v>74</v>
      </c>
      <c r="BD302">
        <v>478</v>
      </c>
      <c r="BE302" t="s">
        <v>6322</v>
      </c>
      <c r="BF302" t="str">
        <f>HYPERLINK("http://dx.doi.org/10.3389/fmars.2020.00478","http://dx.doi.org/10.3389/fmars.2020.00478")</f>
        <v>http://dx.doi.org/10.3389/fmars.2020.00478</v>
      </c>
      <c r="BG302" t="s">
        <v>74</v>
      </c>
      <c r="BH302" t="s">
        <v>74</v>
      </c>
      <c r="BI302">
        <v>13</v>
      </c>
      <c r="BJ302" t="s">
        <v>237</v>
      </c>
      <c r="BK302" t="s">
        <v>102</v>
      </c>
      <c r="BL302" t="s">
        <v>238</v>
      </c>
      <c r="BM302" t="s">
        <v>6323</v>
      </c>
      <c r="BN302" t="s">
        <v>74</v>
      </c>
      <c r="BO302" t="s">
        <v>1778</v>
      </c>
      <c r="BP302" t="s">
        <v>74</v>
      </c>
      <c r="BQ302" t="s">
        <v>74</v>
      </c>
      <c r="BR302" t="s">
        <v>106</v>
      </c>
      <c r="BS302" t="s">
        <v>6324</v>
      </c>
      <c r="BT302" t="str">
        <f>HYPERLINK("https%3A%2F%2Fwww.webofscience.com%2Fwos%2Fwoscc%2Ffull-record%2FWOS:000541732900001","View Full Record in Web of Science")</f>
        <v>View Full Record in Web of Science</v>
      </c>
    </row>
    <row r="303" spans="1:72" x14ac:dyDescent="0.15">
      <c r="A303" t="s">
        <v>72</v>
      </c>
      <c r="B303" t="s">
        <v>6325</v>
      </c>
      <c r="C303" t="s">
        <v>74</v>
      </c>
      <c r="D303" t="s">
        <v>74</v>
      </c>
      <c r="E303" t="s">
        <v>74</v>
      </c>
      <c r="F303" t="s">
        <v>6326</v>
      </c>
      <c r="G303" t="s">
        <v>74</v>
      </c>
      <c r="H303" t="s">
        <v>74</v>
      </c>
      <c r="I303" t="s">
        <v>6327</v>
      </c>
      <c r="J303" t="s">
        <v>1065</v>
      </c>
      <c r="K303" t="s">
        <v>74</v>
      </c>
      <c r="L303" t="s">
        <v>74</v>
      </c>
      <c r="M303" t="s">
        <v>78</v>
      </c>
      <c r="N303" t="s">
        <v>79</v>
      </c>
      <c r="O303" t="s">
        <v>74</v>
      </c>
      <c r="P303" t="s">
        <v>74</v>
      </c>
      <c r="Q303" t="s">
        <v>74</v>
      </c>
      <c r="R303" t="s">
        <v>74</v>
      </c>
      <c r="S303" t="s">
        <v>74</v>
      </c>
      <c r="T303" t="s">
        <v>6328</v>
      </c>
      <c r="U303" t="s">
        <v>6329</v>
      </c>
      <c r="V303" t="s">
        <v>6330</v>
      </c>
      <c r="W303" t="s">
        <v>6331</v>
      </c>
      <c r="X303" t="s">
        <v>6332</v>
      </c>
      <c r="Y303" t="s">
        <v>6333</v>
      </c>
      <c r="Z303" t="s">
        <v>6334</v>
      </c>
      <c r="AA303" t="s">
        <v>6335</v>
      </c>
      <c r="AB303" t="s">
        <v>6336</v>
      </c>
      <c r="AC303" t="s">
        <v>6337</v>
      </c>
      <c r="AD303" t="s">
        <v>6338</v>
      </c>
      <c r="AE303" t="s">
        <v>6339</v>
      </c>
      <c r="AF303" t="s">
        <v>74</v>
      </c>
      <c r="AG303">
        <v>72</v>
      </c>
      <c r="AH303">
        <v>9</v>
      </c>
      <c r="AI303">
        <v>9</v>
      </c>
      <c r="AJ303">
        <v>0</v>
      </c>
      <c r="AK303">
        <v>12</v>
      </c>
      <c r="AL303" t="s">
        <v>1024</v>
      </c>
      <c r="AM303" t="s">
        <v>1025</v>
      </c>
      <c r="AN303" t="s">
        <v>1026</v>
      </c>
      <c r="AO303" t="s">
        <v>74</v>
      </c>
      <c r="AP303" t="s">
        <v>1078</v>
      </c>
      <c r="AQ303" t="s">
        <v>74</v>
      </c>
      <c r="AR303" t="s">
        <v>1079</v>
      </c>
      <c r="AS303" t="s">
        <v>1080</v>
      </c>
      <c r="AT303" t="s">
        <v>6303</v>
      </c>
      <c r="AU303">
        <v>2020</v>
      </c>
      <c r="AV303">
        <v>7</v>
      </c>
      <c r="AW303" t="s">
        <v>74</v>
      </c>
      <c r="AX303" t="s">
        <v>74</v>
      </c>
      <c r="AY303" t="s">
        <v>74</v>
      </c>
      <c r="AZ303" t="s">
        <v>74</v>
      </c>
      <c r="BA303" t="s">
        <v>74</v>
      </c>
      <c r="BB303" t="s">
        <v>74</v>
      </c>
      <c r="BC303" t="s">
        <v>74</v>
      </c>
      <c r="BD303">
        <v>501</v>
      </c>
      <c r="BE303" t="s">
        <v>6340</v>
      </c>
      <c r="BF303" t="str">
        <f>HYPERLINK("http://dx.doi.org/10.3389/fmars.2020.00501","http://dx.doi.org/10.3389/fmars.2020.00501")</f>
        <v>http://dx.doi.org/10.3389/fmars.2020.00501</v>
      </c>
      <c r="BG303" t="s">
        <v>74</v>
      </c>
      <c r="BH303" t="s">
        <v>74</v>
      </c>
      <c r="BI303">
        <v>13</v>
      </c>
      <c r="BJ303" t="s">
        <v>237</v>
      </c>
      <c r="BK303" t="s">
        <v>102</v>
      </c>
      <c r="BL303" t="s">
        <v>238</v>
      </c>
      <c r="BM303" t="s">
        <v>6341</v>
      </c>
      <c r="BN303" t="s">
        <v>74</v>
      </c>
      <c r="BO303" t="s">
        <v>1128</v>
      </c>
      <c r="BP303" t="s">
        <v>74</v>
      </c>
      <c r="BQ303" t="s">
        <v>74</v>
      </c>
      <c r="BR303" t="s">
        <v>106</v>
      </c>
      <c r="BS303" t="s">
        <v>6342</v>
      </c>
      <c r="BT303" t="str">
        <f>HYPERLINK("https%3A%2F%2Fwww.webofscience.com%2Fwos%2Fwoscc%2Ffull-record%2FWOS:000541733700001","View Full Record in Web of Science")</f>
        <v>View Full Record in Web of Science</v>
      </c>
    </row>
    <row r="304" spans="1:72" x14ac:dyDescent="0.15">
      <c r="A304" t="s">
        <v>72</v>
      </c>
      <c r="B304" t="s">
        <v>6343</v>
      </c>
      <c r="C304" t="s">
        <v>74</v>
      </c>
      <c r="D304" t="s">
        <v>74</v>
      </c>
      <c r="E304" t="s">
        <v>74</v>
      </c>
      <c r="F304" t="s">
        <v>6344</v>
      </c>
      <c r="G304" t="s">
        <v>74</v>
      </c>
      <c r="H304" t="s">
        <v>74</v>
      </c>
      <c r="I304" t="s">
        <v>6345</v>
      </c>
      <c r="J304" t="s">
        <v>3502</v>
      </c>
      <c r="K304" t="s">
        <v>74</v>
      </c>
      <c r="L304" t="s">
        <v>74</v>
      </c>
      <c r="M304" t="s">
        <v>78</v>
      </c>
      <c r="N304" t="s">
        <v>6346</v>
      </c>
      <c r="O304" t="s">
        <v>74</v>
      </c>
      <c r="P304" t="s">
        <v>74</v>
      </c>
      <c r="Q304" t="s">
        <v>74</v>
      </c>
      <c r="R304" t="s">
        <v>74</v>
      </c>
      <c r="S304" t="s">
        <v>74</v>
      </c>
      <c r="T304" t="s">
        <v>6347</v>
      </c>
      <c r="U304" t="s">
        <v>6348</v>
      </c>
      <c r="V304" t="s">
        <v>6349</v>
      </c>
      <c r="W304" t="s">
        <v>6350</v>
      </c>
      <c r="X304" t="s">
        <v>390</v>
      </c>
      <c r="Y304" t="s">
        <v>6351</v>
      </c>
      <c r="Z304" t="s">
        <v>6352</v>
      </c>
      <c r="AA304" t="s">
        <v>6353</v>
      </c>
      <c r="AB304" t="s">
        <v>6354</v>
      </c>
      <c r="AC304" t="s">
        <v>6355</v>
      </c>
      <c r="AD304" t="s">
        <v>6356</v>
      </c>
      <c r="AE304" t="s">
        <v>6357</v>
      </c>
      <c r="AF304" t="s">
        <v>74</v>
      </c>
      <c r="AG304">
        <v>35</v>
      </c>
      <c r="AH304">
        <v>0</v>
      </c>
      <c r="AI304">
        <v>0</v>
      </c>
      <c r="AJ304">
        <v>0</v>
      </c>
      <c r="AK304">
        <v>5</v>
      </c>
      <c r="AL304" t="s">
        <v>994</v>
      </c>
      <c r="AM304" t="s">
        <v>995</v>
      </c>
      <c r="AN304" t="s">
        <v>996</v>
      </c>
      <c r="AO304" t="s">
        <v>3515</v>
      </c>
      <c r="AP304" t="s">
        <v>3516</v>
      </c>
      <c r="AQ304" t="s">
        <v>74</v>
      </c>
      <c r="AR304" t="s">
        <v>3517</v>
      </c>
      <c r="AS304" t="s">
        <v>3518</v>
      </c>
      <c r="AT304" t="s">
        <v>6358</v>
      </c>
      <c r="AU304">
        <v>2020</v>
      </c>
      <c r="AV304" t="s">
        <v>74</v>
      </c>
      <c r="AW304" t="s">
        <v>74</v>
      </c>
      <c r="AX304" t="s">
        <v>74</v>
      </c>
      <c r="AY304" t="s">
        <v>74</v>
      </c>
      <c r="AZ304" t="s">
        <v>74</v>
      </c>
      <c r="BA304" t="s">
        <v>74</v>
      </c>
      <c r="BB304" t="s">
        <v>74</v>
      </c>
      <c r="BC304" t="s">
        <v>74</v>
      </c>
      <c r="BD304" t="s">
        <v>74</v>
      </c>
      <c r="BE304" t="s">
        <v>6359</v>
      </c>
      <c r="BF304" t="str">
        <f>HYPERLINK("http://dx.doi.org/10.1111/jpy.13027-19-164","http://dx.doi.org/10.1111/jpy.13027-19-164")</f>
        <v>http://dx.doi.org/10.1111/jpy.13027-19-164</v>
      </c>
      <c r="BG304" t="s">
        <v>74</v>
      </c>
      <c r="BH304" t="s">
        <v>5750</v>
      </c>
      <c r="BI304">
        <v>12</v>
      </c>
      <c r="BJ304" t="s">
        <v>3520</v>
      </c>
      <c r="BK304" t="s">
        <v>102</v>
      </c>
      <c r="BL304" t="s">
        <v>3520</v>
      </c>
      <c r="BM304" t="s">
        <v>6360</v>
      </c>
      <c r="BN304" t="s">
        <v>74</v>
      </c>
      <c r="BO304" t="s">
        <v>74</v>
      </c>
      <c r="BP304" t="s">
        <v>74</v>
      </c>
      <c r="BQ304" t="s">
        <v>74</v>
      </c>
      <c r="BR304" t="s">
        <v>106</v>
      </c>
      <c r="BS304" t="s">
        <v>6361</v>
      </c>
      <c r="BT304" t="str">
        <f>HYPERLINK("https%3A%2F%2Fwww.webofscience.com%2Fwos%2Fwoscc%2Ffull-record%2FWOS:000541932500001","View Full Record in Web of Science")</f>
        <v>View Full Record in Web of Science</v>
      </c>
    </row>
    <row r="305" spans="1:72" x14ac:dyDescent="0.15">
      <c r="A305" t="s">
        <v>72</v>
      </c>
      <c r="B305" t="s">
        <v>6362</v>
      </c>
      <c r="C305" t="s">
        <v>74</v>
      </c>
      <c r="D305" t="s">
        <v>74</v>
      </c>
      <c r="E305" t="s">
        <v>74</v>
      </c>
      <c r="F305" t="s">
        <v>6363</v>
      </c>
      <c r="G305" t="s">
        <v>74</v>
      </c>
      <c r="H305" t="s">
        <v>74</v>
      </c>
      <c r="I305" t="s">
        <v>6364</v>
      </c>
      <c r="J305" t="s">
        <v>6000</v>
      </c>
      <c r="K305" t="s">
        <v>74</v>
      </c>
      <c r="L305" t="s">
        <v>74</v>
      </c>
      <c r="M305" t="s">
        <v>78</v>
      </c>
      <c r="N305" t="s">
        <v>79</v>
      </c>
      <c r="O305" t="s">
        <v>74</v>
      </c>
      <c r="P305" t="s">
        <v>74</v>
      </c>
      <c r="Q305" t="s">
        <v>74</v>
      </c>
      <c r="R305" t="s">
        <v>74</v>
      </c>
      <c r="S305" t="s">
        <v>74</v>
      </c>
      <c r="T305" t="s">
        <v>74</v>
      </c>
      <c r="U305" t="s">
        <v>6365</v>
      </c>
      <c r="V305" t="s">
        <v>6366</v>
      </c>
      <c r="W305" t="s">
        <v>6367</v>
      </c>
      <c r="X305" t="s">
        <v>6368</v>
      </c>
      <c r="Y305" t="s">
        <v>6369</v>
      </c>
      <c r="Z305" t="s">
        <v>6370</v>
      </c>
      <c r="AA305" t="s">
        <v>6371</v>
      </c>
      <c r="AB305" t="s">
        <v>6372</v>
      </c>
      <c r="AC305" t="s">
        <v>6373</v>
      </c>
      <c r="AD305" t="s">
        <v>6374</v>
      </c>
      <c r="AE305" t="s">
        <v>6375</v>
      </c>
      <c r="AF305" t="s">
        <v>74</v>
      </c>
      <c r="AG305">
        <v>84</v>
      </c>
      <c r="AH305">
        <v>14</v>
      </c>
      <c r="AI305">
        <v>15</v>
      </c>
      <c r="AJ305">
        <v>0</v>
      </c>
      <c r="AK305">
        <v>3</v>
      </c>
      <c r="AL305" t="s">
        <v>994</v>
      </c>
      <c r="AM305" t="s">
        <v>995</v>
      </c>
      <c r="AN305" t="s">
        <v>996</v>
      </c>
      <c r="AO305" t="s">
        <v>6012</v>
      </c>
      <c r="AP305" t="s">
        <v>6013</v>
      </c>
      <c r="AQ305" t="s">
        <v>74</v>
      </c>
      <c r="AR305" t="s">
        <v>6014</v>
      </c>
      <c r="AS305" t="s">
        <v>6015</v>
      </c>
      <c r="AT305" t="s">
        <v>3950</v>
      </c>
      <c r="AU305">
        <v>2020</v>
      </c>
      <c r="AV305">
        <v>55</v>
      </c>
      <c r="AW305">
        <v>7</v>
      </c>
      <c r="AX305" t="s">
        <v>74</v>
      </c>
      <c r="AY305" t="s">
        <v>74</v>
      </c>
      <c r="AZ305" t="s">
        <v>74</v>
      </c>
      <c r="BA305" t="s">
        <v>74</v>
      </c>
      <c r="BB305">
        <v>1581</v>
      </c>
      <c r="BC305">
        <v>1599</v>
      </c>
      <c r="BD305" t="s">
        <v>74</v>
      </c>
      <c r="BE305" t="s">
        <v>6376</v>
      </c>
      <c r="BF305" t="str">
        <f>HYPERLINK("http://dx.doi.org/10.1111/maps.13533","http://dx.doi.org/10.1111/maps.13533")</f>
        <v>http://dx.doi.org/10.1111/maps.13533</v>
      </c>
      <c r="BG305" t="s">
        <v>74</v>
      </c>
      <c r="BH305" t="s">
        <v>5750</v>
      </c>
      <c r="BI305">
        <v>19</v>
      </c>
      <c r="BJ305" t="s">
        <v>131</v>
      </c>
      <c r="BK305" t="s">
        <v>102</v>
      </c>
      <c r="BL305" t="s">
        <v>131</v>
      </c>
      <c r="BM305" t="s">
        <v>6017</v>
      </c>
      <c r="BN305" t="s">
        <v>74</v>
      </c>
      <c r="BO305" t="s">
        <v>74</v>
      </c>
      <c r="BP305" t="s">
        <v>74</v>
      </c>
      <c r="BQ305" t="s">
        <v>74</v>
      </c>
      <c r="BR305" t="s">
        <v>106</v>
      </c>
      <c r="BS305" t="s">
        <v>6377</v>
      </c>
      <c r="BT305" t="str">
        <f>HYPERLINK("https%3A%2F%2Fwww.webofscience.com%2Fwos%2Fwoscc%2Ffull-record%2FWOS:000541922500001","View Full Record in Web of Science")</f>
        <v>View Full Record in Web of Science</v>
      </c>
    </row>
    <row r="306" spans="1:72" x14ac:dyDescent="0.15">
      <c r="A306" t="s">
        <v>72</v>
      </c>
      <c r="B306" t="s">
        <v>6378</v>
      </c>
      <c r="C306" t="s">
        <v>74</v>
      </c>
      <c r="D306" t="s">
        <v>74</v>
      </c>
      <c r="E306" t="s">
        <v>74</v>
      </c>
      <c r="F306" t="s">
        <v>6379</v>
      </c>
      <c r="G306" t="s">
        <v>74</v>
      </c>
      <c r="H306" t="s">
        <v>74</v>
      </c>
      <c r="I306" t="s">
        <v>6380</v>
      </c>
      <c r="J306" t="s">
        <v>1106</v>
      </c>
      <c r="K306" t="s">
        <v>74</v>
      </c>
      <c r="L306" t="s">
        <v>74</v>
      </c>
      <c r="M306" t="s">
        <v>78</v>
      </c>
      <c r="N306" t="s">
        <v>79</v>
      </c>
      <c r="O306" t="s">
        <v>74</v>
      </c>
      <c r="P306" t="s">
        <v>74</v>
      </c>
      <c r="Q306" t="s">
        <v>74</v>
      </c>
      <c r="R306" t="s">
        <v>74</v>
      </c>
      <c r="S306" t="s">
        <v>74</v>
      </c>
      <c r="T306" t="s">
        <v>74</v>
      </c>
      <c r="U306" t="s">
        <v>6381</v>
      </c>
      <c r="V306" t="s">
        <v>6382</v>
      </c>
      <c r="W306" t="s">
        <v>6383</v>
      </c>
      <c r="X306" t="s">
        <v>6384</v>
      </c>
      <c r="Y306" t="s">
        <v>6385</v>
      </c>
      <c r="Z306" t="s">
        <v>6386</v>
      </c>
      <c r="AA306" t="s">
        <v>6387</v>
      </c>
      <c r="AB306" t="s">
        <v>6388</v>
      </c>
      <c r="AC306" t="s">
        <v>6389</v>
      </c>
      <c r="AD306" t="s">
        <v>6390</v>
      </c>
      <c r="AE306" t="s">
        <v>6391</v>
      </c>
      <c r="AF306" t="s">
        <v>74</v>
      </c>
      <c r="AG306">
        <v>64</v>
      </c>
      <c r="AH306">
        <v>19</v>
      </c>
      <c r="AI306">
        <v>19</v>
      </c>
      <c r="AJ306">
        <v>0</v>
      </c>
      <c r="AK306">
        <v>7</v>
      </c>
      <c r="AL306" t="s">
        <v>1240</v>
      </c>
      <c r="AM306" t="s">
        <v>1119</v>
      </c>
      <c r="AN306" t="s">
        <v>1120</v>
      </c>
      <c r="AO306" t="s">
        <v>1121</v>
      </c>
      <c r="AP306" t="s">
        <v>74</v>
      </c>
      <c r="AQ306" t="s">
        <v>74</v>
      </c>
      <c r="AR306" t="s">
        <v>1122</v>
      </c>
      <c r="AS306" t="s">
        <v>1123</v>
      </c>
      <c r="AT306" t="s">
        <v>6303</v>
      </c>
      <c r="AU306">
        <v>2020</v>
      </c>
      <c r="AV306">
        <v>10</v>
      </c>
      <c r="AW306">
        <v>1</v>
      </c>
      <c r="AX306" t="s">
        <v>74</v>
      </c>
      <c r="AY306" t="s">
        <v>74</v>
      </c>
      <c r="AZ306" t="s">
        <v>74</v>
      </c>
      <c r="BA306" t="s">
        <v>74</v>
      </c>
      <c r="BB306" t="s">
        <v>74</v>
      </c>
      <c r="BC306" t="s">
        <v>74</v>
      </c>
      <c r="BD306">
        <v>10218</v>
      </c>
      <c r="BE306" t="s">
        <v>6392</v>
      </c>
      <c r="BF306" t="str">
        <f>HYPERLINK("http://dx.doi.org/10.1038/s41598-020-66878-x","http://dx.doi.org/10.1038/s41598-020-66878-x")</f>
        <v>http://dx.doi.org/10.1038/s41598-020-66878-x</v>
      </c>
      <c r="BG306" t="s">
        <v>74</v>
      </c>
      <c r="BH306" t="s">
        <v>74</v>
      </c>
      <c r="BI306">
        <v>14</v>
      </c>
      <c r="BJ306" t="s">
        <v>1125</v>
      </c>
      <c r="BK306" t="s">
        <v>102</v>
      </c>
      <c r="BL306" t="s">
        <v>1126</v>
      </c>
      <c r="BM306" t="s">
        <v>6393</v>
      </c>
      <c r="BN306">
        <v>32576860</v>
      </c>
      <c r="BO306" t="s">
        <v>3956</v>
      </c>
      <c r="BP306" t="s">
        <v>74</v>
      </c>
      <c r="BQ306" t="s">
        <v>74</v>
      </c>
      <c r="BR306" t="s">
        <v>106</v>
      </c>
      <c r="BS306" t="s">
        <v>6394</v>
      </c>
      <c r="BT306" t="str">
        <f>HYPERLINK("https%3A%2F%2Fwww.webofscience.com%2Fwos%2Fwoscc%2Ffull-record%2FWOS:000543994900055","View Full Record in Web of Science")</f>
        <v>View Full Record in Web of Science</v>
      </c>
    </row>
    <row r="307" spans="1:72" x14ac:dyDescent="0.15">
      <c r="A307" t="s">
        <v>72</v>
      </c>
      <c r="B307" t="s">
        <v>6395</v>
      </c>
      <c r="C307" t="s">
        <v>74</v>
      </c>
      <c r="D307" t="s">
        <v>74</v>
      </c>
      <c r="E307" t="s">
        <v>74</v>
      </c>
      <c r="F307" t="s">
        <v>6396</v>
      </c>
      <c r="G307" t="s">
        <v>74</v>
      </c>
      <c r="H307" t="s">
        <v>74</v>
      </c>
      <c r="I307" t="s">
        <v>6397</v>
      </c>
      <c r="J307" t="s">
        <v>1106</v>
      </c>
      <c r="K307" t="s">
        <v>74</v>
      </c>
      <c r="L307" t="s">
        <v>74</v>
      </c>
      <c r="M307" t="s">
        <v>78</v>
      </c>
      <c r="N307" t="s">
        <v>79</v>
      </c>
      <c r="O307" t="s">
        <v>74</v>
      </c>
      <c r="P307" t="s">
        <v>74</v>
      </c>
      <c r="Q307" t="s">
        <v>74</v>
      </c>
      <c r="R307" t="s">
        <v>74</v>
      </c>
      <c r="S307" t="s">
        <v>74</v>
      </c>
      <c r="T307" t="s">
        <v>74</v>
      </c>
      <c r="U307" t="s">
        <v>6398</v>
      </c>
      <c r="V307" t="s">
        <v>6399</v>
      </c>
      <c r="W307" t="s">
        <v>6400</v>
      </c>
      <c r="X307" t="s">
        <v>6401</v>
      </c>
      <c r="Y307" t="s">
        <v>6402</v>
      </c>
      <c r="Z307" t="s">
        <v>6403</v>
      </c>
      <c r="AA307" t="s">
        <v>6404</v>
      </c>
      <c r="AB307" t="s">
        <v>6405</v>
      </c>
      <c r="AC307" t="s">
        <v>6406</v>
      </c>
      <c r="AD307" t="s">
        <v>6406</v>
      </c>
      <c r="AE307" t="s">
        <v>6407</v>
      </c>
      <c r="AF307" t="s">
        <v>74</v>
      </c>
      <c r="AG307">
        <v>67</v>
      </c>
      <c r="AH307">
        <v>36</v>
      </c>
      <c r="AI307">
        <v>38</v>
      </c>
      <c r="AJ307">
        <v>1</v>
      </c>
      <c r="AK307">
        <v>23</v>
      </c>
      <c r="AL307" t="s">
        <v>1389</v>
      </c>
      <c r="AM307" t="s">
        <v>945</v>
      </c>
      <c r="AN307" t="s">
        <v>1390</v>
      </c>
      <c r="AO307" t="s">
        <v>1121</v>
      </c>
      <c r="AP307" t="s">
        <v>74</v>
      </c>
      <c r="AQ307" t="s">
        <v>74</v>
      </c>
      <c r="AR307" t="s">
        <v>1122</v>
      </c>
      <c r="AS307" t="s">
        <v>1123</v>
      </c>
      <c r="AT307" t="s">
        <v>6303</v>
      </c>
      <c r="AU307">
        <v>2020</v>
      </c>
      <c r="AV307">
        <v>10</v>
      </c>
      <c r="AW307">
        <v>1</v>
      </c>
      <c r="AX307" t="s">
        <v>74</v>
      </c>
      <c r="AY307" t="s">
        <v>74</v>
      </c>
      <c r="AZ307" t="s">
        <v>74</v>
      </c>
      <c r="BA307" t="s">
        <v>74</v>
      </c>
      <c r="BB307" t="s">
        <v>74</v>
      </c>
      <c r="BC307" t="s">
        <v>74</v>
      </c>
      <c r="BD307">
        <v>10169</v>
      </c>
      <c r="BE307" t="s">
        <v>6408</v>
      </c>
      <c r="BF307" t="str">
        <f>HYPERLINK("http://dx.doi.org/10.1038/s41598-020-66876-z","http://dx.doi.org/10.1038/s41598-020-66876-z")</f>
        <v>http://dx.doi.org/10.1038/s41598-020-66876-z</v>
      </c>
      <c r="BG307" t="s">
        <v>74</v>
      </c>
      <c r="BH307" t="s">
        <v>74</v>
      </c>
      <c r="BI307">
        <v>13</v>
      </c>
      <c r="BJ307" t="s">
        <v>1125</v>
      </c>
      <c r="BK307" t="s">
        <v>102</v>
      </c>
      <c r="BL307" t="s">
        <v>1126</v>
      </c>
      <c r="BM307" t="s">
        <v>6393</v>
      </c>
      <c r="BN307">
        <v>32576876</v>
      </c>
      <c r="BO307" t="s">
        <v>6409</v>
      </c>
      <c r="BP307" t="s">
        <v>74</v>
      </c>
      <c r="BQ307" t="s">
        <v>74</v>
      </c>
      <c r="BR307" t="s">
        <v>106</v>
      </c>
      <c r="BS307" t="s">
        <v>6410</v>
      </c>
      <c r="BT307" t="str">
        <f>HYPERLINK("https%3A%2F%2Fwww.webofscience.com%2Fwos%2Fwoscc%2Ffull-record%2FWOS:000543994900006","View Full Record in Web of Science")</f>
        <v>View Full Record in Web of Science</v>
      </c>
    </row>
    <row r="308" spans="1:72" x14ac:dyDescent="0.15">
      <c r="A308" t="s">
        <v>72</v>
      </c>
      <c r="B308" t="s">
        <v>6411</v>
      </c>
      <c r="C308" t="s">
        <v>74</v>
      </c>
      <c r="D308" t="s">
        <v>74</v>
      </c>
      <c r="E308" t="s">
        <v>74</v>
      </c>
      <c r="F308" t="s">
        <v>6412</v>
      </c>
      <c r="G308" t="s">
        <v>74</v>
      </c>
      <c r="H308" t="s">
        <v>74</v>
      </c>
      <c r="I308" t="s">
        <v>6413</v>
      </c>
      <c r="J308" t="s">
        <v>6414</v>
      </c>
      <c r="K308" t="s">
        <v>74</v>
      </c>
      <c r="L308" t="s">
        <v>74</v>
      </c>
      <c r="M308" t="s">
        <v>78</v>
      </c>
      <c r="N308" t="s">
        <v>79</v>
      </c>
      <c r="O308" t="s">
        <v>74</v>
      </c>
      <c r="P308" t="s">
        <v>74</v>
      </c>
      <c r="Q308" t="s">
        <v>74</v>
      </c>
      <c r="R308" t="s">
        <v>74</v>
      </c>
      <c r="S308" t="s">
        <v>74</v>
      </c>
      <c r="T308" t="s">
        <v>6415</v>
      </c>
      <c r="U308" t="s">
        <v>6416</v>
      </c>
      <c r="V308" t="s">
        <v>6417</v>
      </c>
      <c r="W308" t="s">
        <v>6418</v>
      </c>
      <c r="X308" t="s">
        <v>6419</v>
      </c>
      <c r="Y308" t="s">
        <v>6420</v>
      </c>
      <c r="Z308" t="s">
        <v>6421</v>
      </c>
      <c r="AA308" t="s">
        <v>6422</v>
      </c>
      <c r="AB308" t="s">
        <v>74</v>
      </c>
      <c r="AC308" t="s">
        <v>6423</v>
      </c>
      <c r="AD308" t="s">
        <v>6424</v>
      </c>
      <c r="AE308" t="s">
        <v>6425</v>
      </c>
      <c r="AF308" t="s">
        <v>74</v>
      </c>
      <c r="AG308">
        <v>30</v>
      </c>
      <c r="AH308">
        <v>2</v>
      </c>
      <c r="AI308">
        <v>2</v>
      </c>
      <c r="AJ308">
        <v>0</v>
      </c>
      <c r="AK308">
        <v>4</v>
      </c>
      <c r="AL308" t="s">
        <v>6426</v>
      </c>
      <c r="AM308" t="s">
        <v>6427</v>
      </c>
      <c r="AN308" t="s">
        <v>6428</v>
      </c>
      <c r="AO308" t="s">
        <v>6429</v>
      </c>
      <c r="AP308" t="s">
        <v>6430</v>
      </c>
      <c r="AQ308" t="s">
        <v>74</v>
      </c>
      <c r="AR308" t="s">
        <v>6414</v>
      </c>
      <c r="AS308" t="s">
        <v>6431</v>
      </c>
      <c r="AT308" t="s">
        <v>6432</v>
      </c>
      <c r="AU308">
        <v>2020</v>
      </c>
      <c r="AV308" t="s">
        <v>74</v>
      </c>
      <c r="AW308">
        <v>943</v>
      </c>
      <c r="AX308" t="s">
        <v>74</v>
      </c>
      <c r="AY308" t="s">
        <v>74</v>
      </c>
      <c r="AZ308" t="s">
        <v>74</v>
      </c>
      <c r="BA308" t="s">
        <v>74</v>
      </c>
      <c r="BB308">
        <v>21</v>
      </c>
      <c r="BC308">
        <v>39</v>
      </c>
      <c r="BD308" t="s">
        <v>74</v>
      </c>
      <c r="BE308" t="s">
        <v>6433</v>
      </c>
      <c r="BF308" t="str">
        <f>HYPERLINK("http://dx.doi.org/10.3897/zookeys.943.52938","http://dx.doi.org/10.3897/zookeys.943.52938")</f>
        <v>http://dx.doi.org/10.3897/zookeys.943.52938</v>
      </c>
      <c r="BG308" t="s">
        <v>74</v>
      </c>
      <c r="BH308" t="s">
        <v>74</v>
      </c>
      <c r="BI308">
        <v>19</v>
      </c>
      <c r="BJ308" t="s">
        <v>1499</v>
      </c>
      <c r="BK308" t="s">
        <v>102</v>
      </c>
      <c r="BL308" t="s">
        <v>1499</v>
      </c>
      <c r="BM308" t="s">
        <v>6434</v>
      </c>
      <c r="BN308">
        <v>32624674</v>
      </c>
      <c r="BO308" t="s">
        <v>1778</v>
      </c>
      <c r="BP308" t="s">
        <v>74</v>
      </c>
      <c r="BQ308" t="s">
        <v>74</v>
      </c>
      <c r="BR308" t="s">
        <v>106</v>
      </c>
      <c r="BS308" t="s">
        <v>6435</v>
      </c>
      <c r="BT308" t="str">
        <f>HYPERLINK("https%3A%2F%2Fwww.webofscience.com%2Fwos%2Fwoscc%2Ffull-record%2FWOS:000573111200002","View Full Record in Web of Science")</f>
        <v>View Full Record in Web of Science</v>
      </c>
    </row>
    <row r="309" spans="1:72" x14ac:dyDescent="0.15">
      <c r="A309" t="s">
        <v>72</v>
      </c>
      <c r="B309" t="s">
        <v>6436</v>
      </c>
      <c r="C309" t="s">
        <v>74</v>
      </c>
      <c r="D309" t="s">
        <v>74</v>
      </c>
      <c r="E309" t="s">
        <v>74</v>
      </c>
      <c r="F309" t="s">
        <v>6437</v>
      </c>
      <c r="G309" t="s">
        <v>74</v>
      </c>
      <c r="H309" t="s">
        <v>74</v>
      </c>
      <c r="I309" t="s">
        <v>6438</v>
      </c>
      <c r="J309" t="s">
        <v>2998</v>
      </c>
      <c r="K309" t="s">
        <v>74</v>
      </c>
      <c r="L309" t="s">
        <v>74</v>
      </c>
      <c r="M309" t="s">
        <v>78</v>
      </c>
      <c r="N309" t="s">
        <v>79</v>
      </c>
      <c r="O309" t="s">
        <v>74</v>
      </c>
      <c r="P309" t="s">
        <v>74</v>
      </c>
      <c r="Q309" t="s">
        <v>74</v>
      </c>
      <c r="R309" t="s">
        <v>74</v>
      </c>
      <c r="S309" t="s">
        <v>74</v>
      </c>
      <c r="T309" t="s">
        <v>6439</v>
      </c>
      <c r="U309" t="s">
        <v>6440</v>
      </c>
      <c r="V309" t="s">
        <v>6441</v>
      </c>
      <c r="W309" t="s">
        <v>6442</v>
      </c>
      <c r="X309" t="s">
        <v>6443</v>
      </c>
      <c r="Y309" t="s">
        <v>6444</v>
      </c>
      <c r="Z309" t="s">
        <v>2349</v>
      </c>
      <c r="AA309" t="s">
        <v>6445</v>
      </c>
      <c r="AB309" t="s">
        <v>6446</v>
      </c>
      <c r="AC309" t="s">
        <v>6447</v>
      </c>
      <c r="AD309" t="s">
        <v>6448</v>
      </c>
      <c r="AE309" t="s">
        <v>6449</v>
      </c>
      <c r="AF309" t="s">
        <v>74</v>
      </c>
      <c r="AG309">
        <v>52</v>
      </c>
      <c r="AH309">
        <v>15</v>
      </c>
      <c r="AI309">
        <v>15</v>
      </c>
      <c r="AJ309">
        <v>1</v>
      </c>
      <c r="AK309">
        <v>30</v>
      </c>
      <c r="AL309" t="s">
        <v>1440</v>
      </c>
      <c r="AM309" t="s">
        <v>399</v>
      </c>
      <c r="AN309" t="s">
        <v>1441</v>
      </c>
      <c r="AO309" t="s">
        <v>3010</v>
      </c>
      <c r="AP309" t="s">
        <v>3011</v>
      </c>
      <c r="AQ309" t="s">
        <v>74</v>
      </c>
      <c r="AR309" t="s">
        <v>3012</v>
      </c>
      <c r="AS309" t="s">
        <v>3013</v>
      </c>
      <c r="AT309" t="s">
        <v>99</v>
      </c>
      <c r="AU309">
        <v>2020</v>
      </c>
      <c r="AV309">
        <v>104</v>
      </c>
      <c r="AW309">
        <v>16</v>
      </c>
      <c r="AX309" t="s">
        <v>74</v>
      </c>
      <c r="AY309" t="s">
        <v>74</v>
      </c>
      <c r="AZ309" t="s">
        <v>74</v>
      </c>
      <c r="BA309" t="s">
        <v>74</v>
      </c>
      <c r="BB309">
        <v>7037</v>
      </c>
      <c r="BC309">
        <v>7050</v>
      </c>
      <c r="BD309" t="s">
        <v>74</v>
      </c>
      <c r="BE309" t="s">
        <v>6450</v>
      </c>
      <c r="BF309" t="str">
        <f>HYPERLINK("http://dx.doi.org/10.1007/s00253-020-10734-5","http://dx.doi.org/10.1007/s00253-020-10734-5")</f>
        <v>http://dx.doi.org/10.1007/s00253-020-10734-5</v>
      </c>
      <c r="BG309" t="s">
        <v>74</v>
      </c>
      <c r="BH309" t="s">
        <v>5750</v>
      </c>
      <c r="BI309">
        <v>14</v>
      </c>
      <c r="BJ309" t="s">
        <v>2194</v>
      </c>
      <c r="BK309" t="s">
        <v>102</v>
      </c>
      <c r="BL309" t="s">
        <v>2194</v>
      </c>
      <c r="BM309" t="s">
        <v>6451</v>
      </c>
      <c r="BN309">
        <v>32572574</v>
      </c>
      <c r="BO309" t="s">
        <v>74</v>
      </c>
      <c r="BP309" t="s">
        <v>74</v>
      </c>
      <c r="BQ309" t="s">
        <v>74</v>
      </c>
      <c r="BR309" t="s">
        <v>106</v>
      </c>
      <c r="BS309" t="s">
        <v>6452</v>
      </c>
      <c r="BT309" t="str">
        <f>HYPERLINK("https%3A%2F%2Fwww.webofscience.com%2Fwos%2Fwoscc%2Ffull-record%2FWOS:000542080100001","View Full Record in Web of Science")</f>
        <v>View Full Record in Web of Science</v>
      </c>
    </row>
    <row r="310" spans="1:72" x14ac:dyDescent="0.15">
      <c r="A310" t="s">
        <v>72</v>
      </c>
      <c r="B310" t="s">
        <v>6453</v>
      </c>
      <c r="C310" t="s">
        <v>74</v>
      </c>
      <c r="D310" t="s">
        <v>74</v>
      </c>
      <c r="E310" t="s">
        <v>74</v>
      </c>
      <c r="F310" t="s">
        <v>6454</v>
      </c>
      <c r="G310" t="s">
        <v>74</v>
      </c>
      <c r="H310" t="s">
        <v>74</v>
      </c>
      <c r="I310" t="s">
        <v>6455</v>
      </c>
      <c r="J310" t="s">
        <v>6000</v>
      </c>
      <c r="K310" t="s">
        <v>74</v>
      </c>
      <c r="L310" t="s">
        <v>74</v>
      </c>
      <c r="M310" t="s">
        <v>78</v>
      </c>
      <c r="N310" t="s">
        <v>79</v>
      </c>
      <c r="O310" t="s">
        <v>74</v>
      </c>
      <c r="P310" t="s">
        <v>74</v>
      </c>
      <c r="Q310" t="s">
        <v>74</v>
      </c>
      <c r="R310" t="s">
        <v>74</v>
      </c>
      <c r="S310" t="s">
        <v>74</v>
      </c>
      <c r="T310" t="s">
        <v>74</v>
      </c>
      <c r="U310" t="s">
        <v>6456</v>
      </c>
      <c r="V310" t="s">
        <v>6457</v>
      </c>
      <c r="W310" t="s">
        <v>6458</v>
      </c>
      <c r="X310" t="s">
        <v>6459</v>
      </c>
      <c r="Y310" t="s">
        <v>6460</v>
      </c>
      <c r="Z310" t="s">
        <v>6461</v>
      </c>
      <c r="AA310" t="s">
        <v>6462</v>
      </c>
      <c r="AB310" t="s">
        <v>6463</v>
      </c>
      <c r="AC310" t="s">
        <v>6464</v>
      </c>
      <c r="AD310" t="s">
        <v>6465</v>
      </c>
      <c r="AE310" t="s">
        <v>6466</v>
      </c>
      <c r="AF310" t="s">
        <v>74</v>
      </c>
      <c r="AG310">
        <v>65</v>
      </c>
      <c r="AH310">
        <v>10</v>
      </c>
      <c r="AI310">
        <v>12</v>
      </c>
      <c r="AJ310">
        <v>0</v>
      </c>
      <c r="AK310">
        <v>2</v>
      </c>
      <c r="AL310" t="s">
        <v>994</v>
      </c>
      <c r="AM310" t="s">
        <v>995</v>
      </c>
      <c r="AN310" t="s">
        <v>996</v>
      </c>
      <c r="AO310" t="s">
        <v>6012</v>
      </c>
      <c r="AP310" t="s">
        <v>6013</v>
      </c>
      <c r="AQ310" t="s">
        <v>74</v>
      </c>
      <c r="AR310" t="s">
        <v>6014</v>
      </c>
      <c r="AS310" t="s">
        <v>6015</v>
      </c>
      <c r="AT310" t="s">
        <v>3950</v>
      </c>
      <c r="AU310">
        <v>2020</v>
      </c>
      <c r="AV310">
        <v>55</v>
      </c>
      <c r="AW310">
        <v>7</v>
      </c>
      <c r="AX310" t="s">
        <v>74</v>
      </c>
      <c r="AY310" t="s">
        <v>74</v>
      </c>
      <c r="AZ310" t="s">
        <v>74</v>
      </c>
      <c r="BA310" t="s">
        <v>74</v>
      </c>
      <c r="BB310">
        <v>1491</v>
      </c>
      <c r="BC310">
        <v>1508</v>
      </c>
      <c r="BD310" t="s">
        <v>74</v>
      </c>
      <c r="BE310" t="s">
        <v>6467</v>
      </c>
      <c r="BF310" t="str">
        <f>HYPERLINK("http://dx.doi.org/10.1111/maps.13526","http://dx.doi.org/10.1111/maps.13526")</f>
        <v>http://dx.doi.org/10.1111/maps.13526</v>
      </c>
      <c r="BG310" t="s">
        <v>74</v>
      </c>
      <c r="BH310" t="s">
        <v>5750</v>
      </c>
      <c r="BI310">
        <v>18</v>
      </c>
      <c r="BJ310" t="s">
        <v>131</v>
      </c>
      <c r="BK310" t="s">
        <v>102</v>
      </c>
      <c r="BL310" t="s">
        <v>131</v>
      </c>
      <c r="BM310" t="s">
        <v>6017</v>
      </c>
      <c r="BN310" t="s">
        <v>74</v>
      </c>
      <c r="BO310" t="s">
        <v>189</v>
      </c>
      <c r="BP310" t="s">
        <v>74</v>
      </c>
      <c r="BQ310" t="s">
        <v>74</v>
      </c>
      <c r="BR310" t="s">
        <v>106</v>
      </c>
      <c r="BS310" t="s">
        <v>6468</v>
      </c>
      <c r="BT310" t="str">
        <f>HYPERLINK("https%3A%2F%2Fwww.webofscience.com%2Fwos%2Fwoscc%2Ffull-record%2FWOS:000541499800001","View Full Record in Web of Science")</f>
        <v>View Full Record in Web of Science</v>
      </c>
    </row>
    <row r="311" spans="1:72" x14ac:dyDescent="0.15">
      <c r="A311" t="s">
        <v>72</v>
      </c>
      <c r="B311" t="s">
        <v>6469</v>
      </c>
      <c r="C311" t="s">
        <v>74</v>
      </c>
      <c r="D311" t="s">
        <v>74</v>
      </c>
      <c r="E311" t="s">
        <v>74</v>
      </c>
      <c r="F311" t="s">
        <v>6470</v>
      </c>
      <c r="G311" t="s">
        <v>74</v>
      </c>
      <c r="H311" t="s">
        <v>74</v>
      </c>
      <c r="I311" t="s">
        <v>6471</v>
      </c>
      <c r="J311" t="s">
        <v>6472</v>
      </c>
      <c r="K311" t="s">
        <v>74</v>
      </c>
      <c r="L311" t="s">
        <v>74</v>
      </c>
      <c r="M311" t="s">
        <v>78</v>
      </c>
      <c r="N311" t="s">
        <v>79</v>
      </c>
      <c r="O311" t="s">
        <v>74</v>
      </c>
      <c r="P311" t="s">
        <v>74</v>
      </c>
      <c r="Q311" t="s">
        <v>74</v>
      </c>
      <c r="R311" t="s">
        <v>74</v>
      </c>
      <c r="S311" t="s">
        <v>74</v>
      </c>
      <c r="T311" t="s">
        <v>74</v>
      </c>
      <c r="U311" t="s">
        <v>6473</v>
      </c>
      <c r="V311" t="s">
        <v>6474</v>
      </c>
      <c r="W311" t="s">
        <v>6475</v>
      </c>
      <c r="X311" t="s">
        <v>6476</v>
      </c>
      <c r="Y311" t="s">
        <v>6477</v>
      </c>
      <c r="Z311" t="s">
        <v>6478</v>
      </c>
      <c r="AA311" t="s">
        <v>6479</v>
      </c>
      <c r="AB311" t="s">
        <v>6480</v>
      </c>
      <c r="AC311" t="s">
        <v>6481</v>
      </c>
      <c r="AD311" t="s">
        <v>6482</v>
      </c>
      <c r="AE311" t="s">
        <v>6483</v>
      </c>
      <c r="AF311" t="s">
        <v>74</v>
      </c>
      <c r="AG311">
        <v>67</v>
      </c>
      <c r="AH311">
        <v>22</v>
      </c>
      <c r="AI311">
        <v>25</v>
      </c>
      <c r="AJ311">
        <v>2</v>
      </c>
      <c r="AK311">
        <v>42</v>
      </c>
      <c r="AL311" t="s">
        <v>1389</v>
      </c>
      <c r="AM311" t="s">
        <v>399</v>
      </c>
      <c r="AN311" t="s">
        <v>6484</v>
      </c>
      <c r="AO311" t="s">
        <v>6485</v>
      </c>
      <c r="AP311" t="s">
        <v>6486</v>
      </c>
      <c r="AQ311" t="s">
        <v>74</v>
      </c>
      <c r="AR311" t="s">
        <v>6487</v>
      </c>
      <c r="AS311" t="s">
        <v>6488</v>
      </c>
      <c r="AT311" t="s">
        <v>3950</v>
      </c>
      <c r="AU311">
        <v>2020</v>
      </c>
      <c r="AV311">
        <v>13</v>
      </c>
      <c r="AW311">
        <v>7</v>
      </c>
      <c r="AX311" t="s">
        <v>74</v>
      </c>
      <c r="AY311" t="s">
        <v>74</v>
      </c>
      <c r="AZ311" t="s">
        <v>74</v>
      </c>
      <c r="BA311" t="s">
        <v>74</v>
      </c>
      <c r="BB311">
        <v>489</v>
      </c>
      <c r="BC311" t="s">
        <v>1244</v>
      </c>
      <c r="BD311" t="s">
        <v>74</v>
      </c>
      <c r="BE311" t="s">
        <v>6489</v>
      </c>
      <c r="BF311" t="str">
        <f>HYPERLINK("http://dx.doi.org/10.1038/s41561-020-0587-0","http://dx.doi.org/10.1038/s41561-020-0587-0")</f>
        <v>http://dx.doi.org/10.1038/s41561-020-0587-0</v>
      </c>
      <c r="BG311" t="s">
        <v>74</v>
      </c>
      <c r="BH311" t="s">
        <v>5750</v>
      </c>
      <c r="BI311">
        <v>12</v>
      </c>
      <c r="BJ311" t="s">
        <v>471</v>
      </c>
      <c r="BK311" t="s">
        <v>102</v>
      </c>
      <c r="BL311" t="s">
        <v>472</v>
      </c>
      <c r="BM311" t="s">
        <v>6490</v>
      </c>
      <c r="BN311" t="s">
        <v>74</v>
      </c>
      <c r="BO311" t="s">
        <v>6491</v>
      </c>
      <c r="BP311" t="s">
        <v>74</v>
      </c>
      <c r="BQ311" t="s">
        <v>74</v>
      </c>
      <c r="BR311" t="s">
        <v>106</v>
      </c>
      <c r="BS311" t="s">
        <v>6492</v>
      </c>
      <c r="BT311" t="str">
        <f>HYPERLINK("https%3A%2F%2Fwww.webofscience.com%2Fwos%2Fwoscc%2Ffull-record%2FWOS:000542120500003","View Full Record in Web of Science")</f>
        <v>View Full Record in Web of Science</v>
      </c>
    </row>
    <row r="312" spans="1:72" x14ac:dyDescent="0.15">
      <c r="A312" t="s">
        <v>72</v>
      </c>
      <c r="B312" t="s">
        <v>6493</v>
      </c>
      <c r="C312" t="s">
        <v>74</v>
      </c>
      <c r="D312" t="s">
        <v>74</v>
      </c>
      <c r="E312" t="s">
        <v>74</v>
      </c>
      <c r="F312" t="s">
        <v>6494</v>
      </c>
      <c r="G312" t="s">
        <v>74</v>
      </c>
      <c r="H312" t="s">
        <v>74</v>
      </c>
      <c r="I312" t="s">
        <v>6495</v>
      </c>
      <c r="J312" t="s">
        <v>6496</v>
      </c>
      <c r="K312" t="s">
        <v>74</v>
      </c>
      <c r="L312" t="s">
        <v>74</v>
      </c>
      <c r="M312" t="s">
        <v>78</v>
      </c>
      <c r="N312" t="s">
        <v>79</v>
      </c>
      <c r="O312" t="s">
        <v>74</v>
      </c>
      <c r="P312" t="s">
        <v>74</v>
      </c>
      <c r="Q312" t="s">
        <v>74</v>
      </c>
      <c r="R312" t="s">
        <v>74</v>
      </c>
      <c r="S312" t="s">
        <v>74</v>
      </c>
      <c r="T312" t="s">
        <v>6497</v>
      </c>
      <c r="U312" t="s">
        <v>74</v>
      </c>
      <c r="V312" t="s">
        <v>6498</v>
      </c>
      <c r="W312" t="s">
        <v>6499</v>
      </c>
      <c r="X312" t="s">
        <v>6500</v>
      </c>
      <c r="Y312" t="s">
        <v>6501</v>
      </c>
      <c r="Z312" t="s">
        <v>6502</v>
      </c>
      <c r="AA312" t="s">
        <v>74</v>
      </c>
      <c r="AB312" t="s">
        <v>6503</v>
      </c>
      <c r="AC312" t="s">
        <v>6504</v>
      </c>
      <c r="AD312" t="s">
        <v>6505</v>
      </c>
      <c r="AE312" t="s">
        <v>6506</v>
      </c>
      <c r="AF312" t="s">
        <v>74</v>
      </c>
      <c r="AG312">
        <v>22</v>
      </c>
      <c r="AH312">
        <v>2</v>
      </c>
      <c r="AI312">
        <v>2</v>
      </c>
      <c r="AJ312">
        <v>0</v>
      </c>
      <c r="AK312">
        <v>18</v>
      </c>
      <c r="AL312" t="s">
        <v>6507</v>
      </c>
      <c r="AM312" t="s">
        <v>945</v>
      </c>
      <c r="AN312" t="s">
        <v>6508</v>
      </c>
      <c r="AO312" t="s">
        <v>6509</v>
      </c>
      <c r="AP312" t="s">
        <v>6510</v>
      </c>
      <c r="AQ312" t="s">
        <v>74</v>
      </c>
      <c r="AR312" t="s">
        <v>6511</v>
      </c>
      <c r="AS312" t="s">
        <v>6512</v>
      </c>
      <c r="AT312" t="s">
        <v>1176</v>
      </c>
      <c r="AU312">
        <v>2020</v>
      </c>
      <c r="AV312">
        <v>234</v>
      </c>
      <c r="AW312">
        <v>6</v>
      </c>
      <c r="AX312" t="s">
        <v>74</v>
      </c>
      <c r="AY312" t="s">
        <v>74</v>
      </c>
      <c r="AZ312" t="s">
        <v>74</v>
      </c>
      <c r="BA312" t="s">
        <v>74</v>
      </c>
      <c r="BB312">
        <v>600</v>
      </c>
      <c r="BC312">
        <v>612</v>
      </c>
      <c r="BD312">
        <v>954408920932358</v>
      </c>
      <c r="BE312" t="s">
        <v>6513</v>
      </c>
      <c r="BF312" t="str">
        <f>HYPERLINK("http://dx.doi.org/10.1177/0954408920932358","http://dx.doi.org/10.1177/0954408920932358")</f>
        <v>http://dx.doi.org/10.1177/0954408920932358</v>
      </c>
      <c r="BG312" t="s">
        <v>74</v>
      </c>
      <c r="BH312" t="s">
        <v>5750</v>
      </c>
      <c r="BI312">
        <v>13</v>
      </c>
      <c r="BJ312" t="s">
        <v>6514</v>
      </c>
      <c r="BK312" t="s">
        <v>102</v>
      </c>
      <c r="BL312" t="s">
        <v>6515</v>
      </c>
      <c r="BM312" t="s">
        <v>6516</v>
      </c>
      <c r="BN312" t="s">
        <v>74</v>
      </c>
      <c r="BO312" t="s">
        <v>74</v>
      </c>
      <c r="BP312" t="s">
        <v>74</v>
      </c>
      <c r="BQ312" t="s">
        <v>74</v>
      </c>
      <c r="BR312" t="s">
        <v>106</v>
      </c>
      <c r="BS312" t="s">
        <v>6517</v>
      </c>
      <c r="BT312" t="str">
        <f>HYPERLINK("https%3A%2F%2Fwww.webofscience.com%2Fwos%2Fwoscc%2Ffull-record%2FWOS:000552794400001","View Full Record in Web of Science")</f>
        <v>View Full Record in Web of Science</v>
      </c>
    </row>
    <row r="313" spans="1:72" x14ac:dyDescent="0.15">
      <c r="A313" t="s">
        <v>72</v>
      </c>
      <c r="B313" t="s">
        <v>6518</v>
      </c>
      <c r="C313" t="s">
        <v>74</v>
      </c>
      <c r="D313" t="s">
        <v>74</v>
      </c>
      <c r="E313" t="s">
        <v>74</v>
      </c>
      <c r="F313" t="s">
        <v>6519</v>
      </c>
      <c r="G313" t="s">
        <v>74</v>
      </c>
      <c r="H313" t="s">
        <v>74</v>
      </c>
      <c r="I313" t="s">
        <v>6520</v>
      </c>
      <c r="J313" t="s">
        <v>6521</v>
      </c>
      <c r="K313" t="s">
        <v>74</v>
      </c>
      <c r="L313" t="s">
        <v>74</v>
      </c>
      <c r="M313" t="s">
        <v>78</v>
      </c>
      <c r="N313" t="s">
        <v>79</v>
      </c>
      <c r="O313" t="s">
        <v>74</v>
      </c>
      <c r="P313" t="s">
        <v>74</v>
      </c>
      <c r="Q313" t="s">
        <v>74</v>
      </c>
      <c r="R313" t="s">
        <v>74</v>
      </c>
      <c r="S313" t="s">
        <v>74</v>
      </c>
      <c r="T313" t="s">
        <v>6522</v>
      </c>
      <c r="U313" t="s">
        <v>6523</v>
      </c>
      <c r="V313" t="s">
        <v>6524</v>
      </c>
      <c r="W313" t="s">
        <v>6525</v>
      </c>
      <c r="X313" t="s">
        <v>6526</v>
      </c>
      <c r="Y313" t="s">
        <v>6527</v>
      </c>
      <c r="Z313" t="s">
        <v>6528</v>
      </c>
      <c r="AA313" t="s">
        <v>6529</v>
      </c>
      <c r="AB313" t="s">
        <v>6530</v>
      </c>
      <c r="AC313" t="s">
        <v>6531</v>
      </c>
      <c r="AD313" t="s">
        <v>6532</v>
      </c>
      <c r="AE313" t="s">
        <v>6533</v>
      </c>
      <c r="AF313" t="s">
        <v>74</v>
      </c>
      <c r="AG313">
        <v>21</v>
      </c>
      <c r="AH313">
        <v>5</v>
      </c>
      <c r="AI313">
        <v>7</v>
      </c>
      <c r="AJ313">
        <v>0</v>
      </c>
      <c r="AK313">
        <v>8</v>
      </c>
      <c r="AL313" t="s">
        <v>1411</v>
      </c>
      <c r="AM313" t="s">
        <v>1412</v>
      </c>
      <c r="AN313" t="s">
        <v>1413</v>
      </c>
      <c r="AO313" t="s">
        <v>6534</v>
      </c>
      <c r="AP313" t="s">
        <v>6535</v>
      </c>
      <c r="AQ313" t="s">
        <v>74</v>
      </c>
      <c r="AR313" t="s">
        <v>6536</v>
      </c>
      <c r="AS313" t="s">
        <v>6537</v>
      </c>
      <c r="AT313" t="s">
        <v>6538</v>
      </c>
      <c r="AU313">
        <v>2021</v>
      </c>
      <c r="AV313">
        <v>35</v>
      </c>
      <c r="AW313">
        <v>23</v>
      </c>
      <c r="AX313" t="s">
        <v>74</v>
      </c>
      <c r="AY313" t="s">
        <v>74</v>
      </c>
      <c r="AZ313" t="s">
        <v>74</v>
      </c>
      <c r="BA313" t="s">
        <v>74</v>
      </c>
      <c r="BB313">
        <v>5470</v>
      </c>
      <c r="BC313">
        <v>5474</v>
      </c>
      <c r="BD313" t="s">
        <v>74</v>
      </c>
      <c r="BE313" t="s">
        <v>6539</v>
      </c>
      <c r="BF313" t="str">
        <f>HYPERLINK("http://dx.doi.org/10.1080/14786419.2020.1782403","http://dx.doi.org/10.1080/14786419.2020.1782403")</f>
        <v>http://dx.doi.org/10.1080/14786419.2020.1782403</v>
      </c>
      <c r="BG313" t="s">
        <v>74</v>
      </c>
      <c r="BH313" t="s">
        <v>5750</v>
      </c>
      <c r="BI313">
        <v>5</v>
      </c>
      <c r="BJ313" t="s">
        <v>6540</v>
      </c>
      <c r="BK313" t="s">
        <v>102</v>
      </c>
      <c r="BL313" t="s">
        <v>6541</v>
      </c>
      <c r="BM313" t="s">
        <v>6542</v>
      </c>
      <c r="BN313">
        <v>32567355</v>
      </c>
      <c r="BO313" t="s">
        <v>74</v>
      </c>
      <c r="BP313" t="s">
        <v>74</v>
      </c>
      <c r="BQ313" t="s">
        <v>74</v>
      </c>
      <c r="BR313" t="s">
        <v>106</v>
      </c>
      <c r="BS313" t="s">
        <v>6543</v>
      </c>
      <c r="BT313" t="str">
        <f>HYPERLINK("https%3A%2F%2Fwww.webofscience.com%2Fwos%2Fwoscc%2Ffull-record%2FWOS:000546919300001","View Full Record in Web of Science")</f>
        <v>View Full Record in Web of Science</v>
      </c>
    </row>
    <row r="314" spans="1:72" x14ac:dyDescent="0.15">
      <c r="A314" t="s">
        <v>72</v>
      </c>
      <c r="B314" t="s">
        <v>6544</v>
      </c>
      <c r="C314" t="s">
        <v>74</v>
      </c>
      <c r="D314" t="s">
        <v>74</v>
      </c>
      <c r="E314" t="s">
        <v>74</v>
      </c>
      <c r="F314" t="s">
        <v>6545</v>
      </c>
      <c r="G314" t="s">
        <v>74</v>
      </c>
      <c r="H314" t="s">
        <v>74</v>
      </c>
      <c r="I314" t="s">
        <v>6546</v>
      </c>
      <c r="J314" t="s">
        <v>6547</v>
      </c>
      <c r="K314" t="s">
        <v>74</v>
      </c>
      <c r="L314" t="s">
        <v>74</v>
      </c>
      <c r="M314" t="s">
        <v>78</v>
      </c>
      <c r="N314" t="s">
        <v>79</v>
      </c>
      <c r="O314" t="s">
        <v>74</v>
      </c>
      <c r="P314" t="s">
        <v>74</v>
      </c>
      <c r="Q314" t="s">
        <v>74</v>
      </c>
      <c r="R314" t="s">
        <v>74</v>
      </c>
      <c r="S314" t="s">
        <v>74</v>
      </c>
      <c r="T314" t="s">
        <v>6548</v>
      </c>
      <c r="U314" t="s">
        <v>6549</v>
      </c>
      <c r="V314" t="s">
        <v>6550</v>
      </c>
      <c r="W314" t="s">
        <v>6551</v>
      </c>
      <c r="X314" t="s">
        <v>6552</v>
      </c>
      <c r="Y314" t="s">
        <v>6553</v>
      </c>
      <c r="Z314" t="s">
        <v>6554</v>
      </c>
      <c r="AA314" t="s">
        <v>74</v>
      </c>
      <c r="AB314" t="s">
        <v>6555</v>
      </c>
      <c r="AC314" t="s">
        <v>6556</v>
      </c>
      <c r="AD314" t="s">
        <v>6557</v>
      </c>
      <c r="AE314" t="s">
        <v>6558</v>
      </c>
      <c r="AF314" t="s">
        <v>74</v>
      </c>
      <c r="AG314">
        <v>79</v>
      </c>
      <c r="AH314">
        <v>19</v>
      </c>
      <c r="AI314">
        <v>22</v>
      </c>
      <c r="AJ314">
        <v>2</v>
      </c>
      <c r="AK314">
        <v>16</v>
      </c>
      <c r="AL314" t="s">
        <v>6559</v>
      </c>
      <c r="AM314" t="s">
        <v>6560</v>
      </c>
      <c r="AN314" t="s">
        <v>6561</v>
      </c>
      <c r="AO314" t="s">
        <v>6562</v>
      </c>
      <c r="AP314" t="s">
        <v>74</v>
      </c>
      <c r="AQ314" t="s">
        <v>74</v>
      </c>
      <c r="AR314" t="s">
        <v>6563</v>
      </c>
      <c r="AS314" t="s">
        <v>6564</v>
      </c>
      <c r="AT314" t="s">
        <v>6565</v>
      </c>
      <c r="AU314">
        <v>2020</v>
      </c>
      <c r="AV314">
        <v>8</v>
      </c>
      <c r="AW314" t="s">
        <v>74</v>
      </c>
      <c r="AX314" t="s">
        <v>74</v>
      </c>
      <c r="AY314" t="s">
        <v>74</v>
      </c>
      <c r="AZ314" t="s">
        <v>74</v>
      </c>
      <c r="BA314" t="s">
        <v>74</v>
      </c>
      <c r="BB314" t="s">
        <v>74</v>
      </c>
      <c r="BC314" t="s">
        <v>74</v>
      </c>
      <c r="BD314">
        <v>25</v>
      </c>
      <c r="BE314" t="s">
        <v>6566</v>
      </c>
      <c r="BF314" t="str">
        <f>HYPERLINK("http://dx.doi.org/10.1525/elementa.421","http://dx.doi.org/10.1525/elementa.421")</f>
        <v>http://dx.doi.org/10.1525/elementa.421</v>
      </c>
      <c r="BG314" t="s">
        <v>74</v>
      </c>
      <c r="BH314" t="s">
        <v>74</v>
      </c>
      <c r="BI314">
        <v>17</v>
      </c>
      <c r="BJ314" t="s">
        <v>2068</v>
      </c>
      <c r="BK314" t="s">
        <v>102</v>
      </c>
      <c r="BL314" t="s">
        <v>2069</v>
      </c>
      <c r="BM314" t="s">
        <v>6567</v>
      </c>
      <c r="BN314" t="s">
        <v>74</v>
      </c>
      <c r="BO314" t="s">
        <v>105</v>
      </c>
      <c r="BP314" t="s">
        <v>74</v>
      </c>
      <c r="BQ314" t="s">
        <v>74</v>
      </c>
      <c r="BR314" t="s">
        <v>106</v>
      </c>
      <c r="BS314" t="s">
        <v>6568</v>
      </c>
      <c r="BT314" t="str">
        <f>HYPERLINK("https%3A%2F%2Fwww.webofscience.com%2Fwos%2Fwoscc%2Ffull-record%2FWOS:000545311800001","View Full Record in Web of Science")</f>
        <v>View Full Record in Web of Science</v>
      </c>
    </row>
    <row r="315" spans="1:72" x14ac:dyDescent="0.15">
      <c r="A315" t="s">
        <v>72</v>
      </c>
      <c r="B315" t="s">
        <v>6569</v>
      </c>
      <c r="C315" t="s">
        <v>74</v>
      </c>
      <c r="D315" t="s">
        <v>74</v>
      </c>
      <c r="E315" t="s">
        <v>74</v>
      </c>
      <c r="F315" t="s">
        <v>6570</v>
      </c>
      <c r="G315" t="s">
        <v>74</v>
      </c>
      <c r="H315" t="s">
        <v>74</v>
      </c>
      <c r="I315" t="s">
        <v>6571</v>
      </c>
      <c r="J315" t="s">
        <v>3490</v>
      </c>
      <c r="K315" t="s">
        <v>74</v>
      </c>
      <c r="L315" t="s">
        <v>74</v>
      </c>
      <c r="M315" t="s">
        <v>78</v>
      </c>
      <c r="N315" t="s">
        <v>79</v>
      </c>
      <c r="O315" t="s">
        <v>74</v>
      </c>
      <c r="P315" t="s">
        <v>74</v>
      </c>
      <c r="Q315" t="s">
        <v>74</v>
      </c>
      <c r="R315" t="s">
        <v>74</v>
      </c>
      <c r="S315" t="s">
        <v>74</v>
      </c>
      <c r="T315" t="s">
        <v>74</v>
      </c>
      <c r="U315" t="s">
        <v>6572</v>
      </c>
      <c r="V315" t="s">
        <v>6573</v>
      </c>
      <c r="W315" t="s">
        <v>6574</v>
      </c>
      <c r="X315" t="s">
        <v>6575</v>
      </c>
      <c r="Y315" t="s">
        <v>6576</v>
      </c>
      <c r="Z315" t="s">
        <v>6577</v>
      </c>
      <c r="AA315" t="s">
        <v>6578</v>
      </c>
      <c r="AB315" t="s">
        <v>6579</v>
      </c>
      <c r="AC315" t="s">
        <v>6580</v>
      </c>
      <c r="AD315" t="s">
        <v>6581</v>
      </c>
      <c r="AE315" t="s">
        <v>6582</v>
      </c>
      <c r="AF315" t="s">
        <v>74</v>
      </c>
      <c r="AG315">
        <v>70</v>
      </c>
      <c r="AH315">
        <v>29</v>
      </c>
      <c r="AI315">
        <v>30</v>
      </c>
      <c r="AJ315">
        <v>1</v>
      </c>
      <c r="AK315">
        <v>19</v>
      </c>
      <c r="AL315" t="s">
        <v>1389</v>
      </c>
      <c r="AM315" t="s">
        <v>945</v>
      </c>
      <c r="AN315" t="s">
        <v>1390</v>
      </c>
      <c r="AO315" t="s">
        <v>3493</v>
      </c>
      <c r="AP315" t="s">
        <v>74</v>
      </c>
      <c r="AQ315" t="s">
        <v>74</v>
      </c>
      <c r="AR315" t="s">
        <v>3494</v>
      </c>
      <c r="AS315" t="s">
        <v>3495</v>
      </c>
      <c r="AT315" t="s">
        <v>6565</v>
      </c>
      <c r="AU315">
        <v>2020</v>
      </c>
      <c r="AV315">
        <v>11</v>
      </c>
      <c r="AW315">
        <v>1</v>
      </c>
      <c r="AX315" t="s">
        <v>74</v>
      </c>
      <c r="AY315" t="s">
        <v>74</v>
      </c>
      <c r="AZ315" t="s">
        <v>74</v>
      </c>
      <c r="BA315" t="s">
        <v>74</v>
      </c>
      <c r="BB315" t="s">
        <v>74</v>
      </c>
      <c r="BC315" t="s">
        <v>74</v>
      </c>
      <c r="BD315">
        <v>3108</v>
      </c>
      <c r="BE315" t="s">
        <v>6583</v>
      </c>
      <c r="BF315" t="str">
        <f>HYPERLINK("http://dx.doi.org/10.1038/s41467-020-16931-0","http://dx.doi.org/10.1038/s41467-020-16931-0")</f>
        <v>http://dx.doi.org/10.1038/s41467-020-16931-0</v>
      </c>
      <c r="BG315" t="s">
        <v>74</v>
      </c>
      <c r="BH315" t="s">
        <v>74</v>
      </c>
      <c r="BI315">
        <v>9</v>
      </c>
      <c r="BJ315" t="s">
        <v>1125</v>
      </c>
      <c r="BK315" t="s">
        <v>102</v>
      </c>
      <c r="BL315" t="s">
        <v>1126</v>
      </c>
      <c r="BM315" t="s">
        <v>6584</v>
      </c>
      <c r="BN315">
        <v>32561737</v>
      </c>
      <c r="BO315" t="s">
        <v>1778</v>
      </c>
      <c r="BP315" t="s">
        <v>74</v>
      </c>
      <c r="BQ315" t="s">
        <v>74</v>
      </c>
      <c r="BR315" t="s">
        <v>106</v>
      </c>
      <c r="BS315" t="s">
        <v>6585</v>
      </c>
      <c r="BT315" t="str">
        <f>HYPERLINK("https%3A%2F%2Fwww.webofscience.com%2Fwos%2Fwoscc%2Ffull-record%2FWOS:000545685100005","View Full Record in Web of Science")</f>
        <v>View Full Record in Web of Science</v>
      </c>
    </row>
    <row r="316" spans="1:72" x14ac:dyDescent="0.15">
      <c r="A316" t="s">
        <v>72</v>
      </c>
      <c r="B316" t="s">
        <v>6586</v>
      </c>
      <c r="C316" t="s">
        <v>74</v>
      </c>
      <c r="D316" t="s">
        <v>74</v>
      </c>
      <c r="E316" t="s">
        <v>74</v>
      </c>
      <c r="F316" t="s">
        <v>6587</v>
      </c>
      <c r="G316" t="s">
        <v>74</v>
      </c>
      <c r="H316" t="s">
        <v>74</v>
      </c>
      <c r="I316" t="s">
        <v>6588</v>
      </c>
      <c r="J316" t="s">
        <v>3490</v>
      </c>
      <c r="K316" t="s">
        <v>74</v>
      </c>
      <c r="L316" t="s">
        <v>74</v>
      </c>
      <c r="M316" t="s">
        <v>78</v>
      </c>
      <c r="N316" t="s">
        <v>79</v>
      </c>
      <c r="O316" t="s">
        <v>74</v>
      </c>
      <c r="P316" t="s">
        <v>74</v>
      </c>
      <c r="Q316" t="s">
        <v>74</v>
      </c>
      <c r="R316" t="s">
        <v>74</v>
      </c>
      <c r="S316" t="s">
        <v>74</v>
      </c>
      <c r="T316" t="s">
        <v>74</v>
      </c>
      <c r="U316" t="s">
        <v>6589</v>
      </c>
      <c r="V316" t="s">
        <v>6590</v>
      </c>
      <c r="W316" t="s">
        <v>6591</v>
      </c>
      <c r="X316" t="s">
        <v>6592</v>
      </c>
      <c r="Y316" t="s">
        <v>6593</v>
      </c>
      <c r="Z316" t="s">
        <v>6594</v>
      </c>
      <c r="AA316" t="s">
        <v>6595</v>
      </c>
      <c r="AB316" t="s">
        <v>6596</v>
      </c>
      <c r="AC316" t="s">
        <v>6597</v>
      </c>
      <c r="AD316" t="s">
        <v>6598</v>
      </c>
      <c r="AE316" t="s">
        <v>6599</v>
      </c>
      <c r="AF316" t="s">
        <v>74</v>
      </c>
      <c r="AG316">
        <v>77</v>
      </c>
      <c r="AH316">
        <v>40</v>
      </c>
      <c r="AI316">
        <v>43</v>
      </c>
      <c r="AJ316">
        <v>6</v>
      </c>
      <c r="AK316">
        <v>27</v>
      </c>
      <c r="AL316" t="s">
        <v>1240</v>
      </c>
      <c r="AM316" t="s">
        <v>1119</v>
      </c>
      <c r="AN316" t="s">
        <v>1120</v>
      </c>
      <c r="AO316" t="s">
        <v>3493</v>
      </c>
      <c r="AP316" t="s">
        <v>74</v>
      </c>
      <c r="AQ316" t="s">
        <v>74</v>
      </c>
      <c r="AR316" t="s">
        <v>3494</v>
      </c>
      <c r="AS316" t="s">
        <v>3495</v>
      </c>
      <c r="AT316" t="s">
        <v>6565</v>
      </c>
      <c r="AU316">
        <v>2020</v>
      </c>
      <c r="AV316">
        <v>11</v>
      </c>
      <c r="AW316">
        <v>1</v>
      </c>
      <c r="AX316" t="s">
        <v>74</v>
      </c>
      <c r="AY316" t="s">
        <v>74</v>
      </c>
      <c r="AZ316" t="s">
        <v>74</v>
      </c>
      <c r="BA316" t="s">
        <v>74</v>
      </c>
      <c r="BB316" t="s">
        <v>74</v>
      </c>
      <c r="BC316" t="s">
        <v>74</v>
      </c>
      <c r="BD316" t="s">
        <v>74</v>
      </c>
      <c r="BE316" t="s">
        <v>6600</v>
      </c>
      <c r="BF316" t="str">
        <f>HYPERLINK("http://dx.doi.org/10.1038/s41467-020-16872-8","http://dx.doi.org/10.1038/s41467-020-16872-8")</f>
        <v>http://dx.doi.org/10.1038/s41467-020-16872-8</v>
      </c>
      <c r="BG316" t="s">
        <v>74</v>
      </c>
      <c r="BH316" t="s">
        <v>74</v>
      </c>
      <c r="BI316">
        <v>16</v>
      </c>
      <c r="BJ316" t="s">
        <v>1125</v>
      </c>
      <c r="BK316" t="s">
        <v>102</v>
      </c>
      <c r="BL316" t="s">
        <v>1126</v>
      </c>
      <c r="BM316" t="s">
        <v>6601</v>
      </c>
      <c r="BN316">
        <v>32561713</v>
      </c>
      <c r="BO316" t="s">
        <v>1778</v>
      </c>
      <c r="BP316" t="s">
        <v>74</v>
      </c>
      <c r="BQ316" t="s">
        <v>74</v>
      </c>
      <c r="BR316" t="s">
        <v>106</v>
      </c>
      <c r="BS316" t="s">
        <v>6602</v>
      </c>
      <c r="BT316" t="str">
        <f>HYPERLINK("https%3A%2F%2Fwww.webofscience.com%2Fwos%2Fwoscc%2Ffull-record%2FWOS:000545686200003","View Full Record in Web of Science")</f>
        <v>View Full Record in Web of Science</v>
      </c>
    </row>
    <row r="317" spans="1:72" x14ac:dyDescent="0.15">
      <c r="A317" t="s">
        <v>72</v>
      </c>
      <c r="B317" t="s">
        <v>6603</v>
      </c>
      <c r="C317" t="s">
        <v>74</v>
      </c>
      <c r="D317" t="s">
        <v>74</v>
      </c>
      <c r="E317" t="s">
        <v>74</v>
      </c>
      <c r="F317" t="s">
        <v>6604</v>
      </c>
      <c r="G317" t="s">
        <v>74</v>
      </c>
      <c r="H317" t="s">
        <v>74</v>
      </c>
      <c r="I317" t="s">
        <v>6605</v>
      </c>
      <c r="J317" t="s">
        <v>6606</v>
      </c>
      <c r="K317" t="s">
        <v>74</v>
      </c>
      <c r="L317" t="s">
        <v>74</v>
      </c>
      <c r="M317" t="s">
        <v>78</v>
      </c>
      <c r="N317" t="s">
        <v>4112</v>
      </c>
      <c r="O317" t="s">
        <v>74</v>
      </c>
      <c r="P317" t="s">
        <v>74</v>
      </c>
      <c r="Q317" t="s">
        <v>74</v>
      </c>
      <c r="R317" t="s">
        <v>74</v>
      </c>
      <c r="S317" t="s">
        <v>74</v>
      </c>
      <c r="T317" t="s">
        <v>74</v>
      </c>
      <c r="U317" t="s">
        <v>74</v>
      </c>
      <c r="V317" t="s">
        <v>74</v>
      </c>
      <c r="W317" t="s">
        <v>74</v>
      </c>
      <c r="X317" t="s">
        <v>74</v>
      </c>
      <c r="Y317" t="s">
        <v>74</v>
      </c>
      <c r="Z317" t="s">
        <v>74</v>
      </c>
      <c r="AA317" t="s">
        <v>74</v>
      </c>
      <c r="AB317" t="s">
        <v>74</v>
      </c>
      <c r="AC317" t="s">
        <v>74</v>
      </c>
      <c r="AD317" t="s">
        <v>74</v>
      </c>
      <c r="AE317" t="s">
        <v>74</v>
      </c>
      <c r="AF317" t="s">
        <v>74</v>
      </c>
      <c r="AG317">
        <v>0</v>
      </c>
      <c r="AH317">
        <v>0</v>
      </c>
      <c r="AI317">
        <v>0</v>
      </c>
      <c r="AJ317">
        <v>0</v>
      </c>
      <c r="AK317">
        <v>2</v>
      </c>
      <c r="AL317" t="s">
        <v>6607</v>
      </c>
      <c r="AM317" t="s">
        <v>152</v>
      </c>
      <c r="AN317" t="s">
        <v>6608</v>
      </c>
      <c r="AO317" t="s">
        <v>6609</v>
      </c>
      <c r="AP317" t="s">
        <v>6610</v>
      </c>
      <c r="AQ317" t="s">
        <v>74</v>
      </c>
      <c r="AR317" t="s">
        <v>6606</v>
      </c>
      <c r="AS317" t="s">
        <v>6611</v>
      </c>
      <c r="AT317" t="s">
        <v>6565</v>
      </c>
      <c r="AU317">
        <v>2020</v>
      </c>
      <c r="AV317">
        <v>368</v>
      </c>
      <c r="AW317">
        <v>6497</v>
      </c>
      <c r="AX317" t="s">
        <v>74</v>
      </c>
      <c r="AY317" t="s">
        <v>74</v>
      </c>
      <c r="AZ317" t="s">
        <v>74</v>
      </c>
      <c r="BA317" t="s">
        <v>74</v>
      </c>
      <c r="BB317">
        <v>1292</v>
      </c>
      <c r="BC317">
        <v>1292</v>
      </c>
      <c r="BD317" t="s">
        <v>74</v>
      </c>
      <c r="BE317" t="s">
        <v>74</v>
      </c>
      <c r="BF317" t="s">
        <v>74</v>
      </c>
      <c r="BG317" t="s">
        <v>74</v>
      </c>
      <c r="BH317" t="s">
        <v>74</v>
      </c>
      <c r="BI317">
        <v>1</v>
      </c>
      <c r="BJ317" t="s">
        <v>1125</v>
      </c>
      <c r="BK317" t="s">
        <v>102</v>
      </c>
      <c r="BL317" t="s">
        <v>1126</v>
      </c>
      <c r="BM317" t="s">
        <v>6612</v>
      </c>
      <c r="BN317" t="s">
        <v>74</v>
      </c>
      <c r="BO317" t="s">
        <v>74</v>
      </c>
      <c r="BP317" t="s">
        <v>74</v>
      </c>
      <c r="BQ317" t="s">
        <v>74</v>
      </c>
      <c r="BR317" t="s">
        <v>106</v>
      </c>
      <c r="BS317" t="s">
        <v>6613</v>
      </c>
      <c r="BT317" t="str">
        <f>HYPERLINK("https%3A%2F%2Fwww.webofscience.com%2Fwos%2Fwoscc%2Ffull-record%2FWOS:000544017600005","View Full Record in Web of Science")</f>
        <v>View Full Record in Web of Science</v>
      </c>
    </row>
    <row r="318" spans="1:72" x14ac:dyDescent="0.15">
      <c r="A318" t="s">
        <v>72</v>
      </c>
      <c r="B318" t="s">
        <v>6614</v>
      </c>
      <c r="C318" t="s">
        <v>74</v>
      </c>
      <c r="D318" t="s">
        <v>74</v>
      </c>
      <c r="E318" t="s">
        <v>74</v>
      </c>
      <c r="F318" t="s">
        <v>6615</v>
      </c>
      <c r="G318" t="s">
        <v>74</v>
      </c>
      <c r="H318" t="s">
        <v>74</v>
      </c>
      <c r="I318" t="s">
        <v>6616</v>
      </c>
      <c r="J318" t="s">
        <v>1065</v>
      </c>
      <c r="K318" t="s">
        <v>74</v>
      </c>
      <c r="L318" t="s">
        <v>74</v>
      </c>
      <c r="M318" t="s">
        <v>78</v>
      </c>
      <c r="N318" t="s">
        <v>79</v>
      </c>
      <c r="O318" t="s">
        <v>74</v>
      </c>
      <c r="P318" t="s">
        <v>74</v>
      </c>
      <c r="Q318" t="s">
        <v>74</v>
      </c>
      <c r="R318" t="s">
        <v>74</v>
      </c>
      <c r="S318" t="s">
        <v>74</v>
      </c>
      <c r="T318" t="s">
        <v>6617</v>
      </c>
      <c r="U318" t="s">
        <v>6618</v>
      </c>
      <c r="V318" t="s">
        <v>6619</v>
      </c>
      <c r="W318" t="s">
        <v>6620</v>
      </c>
      <c r="X318" t="s">
        <v>6621</v>
      </c>
      <c r="Y318" t="s">
        <v>6622</v>
      </c>
      <c r="Z318" t="s">
        <v>6623</v>
      </c>
      <c r="AA318" t="s">
        <v>74</v>
      </c>
      <c r="AB318" t="s">
        <v>74</v>
      </c>
      <c r="AC318" t="s">
        <v>6624</v>
      </c>
      <c r="AD318" t="s">
        <v>6625</v>
      </c>
      <c r="AE318" t="s">
        <v>6626</v>
      </c>
      <c r="AF318" t="s">
        <v>74</v>
      </c>
      <c r="AG318">
        <v>96</v>
      </c>
      <c r="AH318">
        <v>4</v>
      </c>
      <c r="AI318">
        <v>4</v>
      </c>
      <c r="AJ318">
        <v>1</v>
      </c>
      <c r="AK318">
        <v>6</v>
      </c>
      <c r="AL318" t="s">
        <v>1024</v>
      </c>
      <c r="AM318" t="s">
        <v>1025</v>
      </c>
      <c r="AN318" t="s">
        <v>1026</v>
      </c>
      <c r="AO318" t="s">
        <v>74</v>
      </c>
      <c r="AP318" t="s">
        <v>1078</v>
      </c>
      <c r="AQ318" t="s">
        <v>74</v>
      </c>
      <c r="AR318" t="s">
        <v>1079</v>
      </c>
      <c r="AS318" t="s">
        <v>1080</v>
      </c>
      <c r="AT318" t="s">
        <v>6565</v>
      </c>
      <c r="AU318">
        <v>2020</v>
      </c>
      <c r="AV318">
        <v>7</v>
      </c>
      <c r="AW318" t="s">
        <v>74</v>
      </c>
      <c r="AX318" t="s">
        <v>74</v>
      </c>
      <c r="AY318" t="s">
        <v>74</v>
      </c>
      <c r="AZ318" t="s">
        <v>74</v>
      </c>
      <c r="BA318" t="s">
        <v>74</v>
      </c>
      <c r="BB318" t="s">
        <v>74</v>
      </c>
      <c r="BC318" t="s">
        <v>74</v>
      </c>
      <c r="BD318">
        <v>421</v>
      </c>
      <c r="BE318" t="s">
        <v>6627</v>
      </c>
      <c r="BF318" t="str">
        <f>HYPERLINK("http://dx.doi.org/10.3389/fmars.2020.00421","http://dx.doi.org/10.3389/fmars.2020.00421")</f>
        <v>http://dx.doi.org/10.3389/fmars.2020.00421</v>
      </c>
      <c r="BG318" t="s">
        <v>74</v>
      </c>
      <c r="BH318" t="s">
        <v>74</v>
      </c>
      <c r="BI318">
        <v>14</v>
      </c>
      <c r="BJ318" t="s">
        <v>237</v>
      </c>
      <c r="BK318" t="s">
        <v>102</v>
      </c>
      <c r="BL318" t="s">
        <v>238</v>
      </c>
      <c r="BM318" t="s">
        <v>6628</v>
      </c>
      <c r="BN318" t="s">
        <v>74</v>
      </c>
      <c r="BO318" t="s">
        <v>161</v>
      </c>
      <c r="BP318" t="s">
        <v>74</v>
      </c>
      <c r="BQ318" t="s">
        <v>74</v>
      </c>
      <c r="BR318" t="s">
        <v>106</v>
      </c>
      <c r="BS318" t="s">
        <v>6629</v>
      </c>
      <c r="BT318" t="str">
        <f>HYPERLINK("https%3A%2F%2Fwww.webofscience.com%2Fwos%2Fwoscc%2Ffull-record%2FWOS:000541454100001","View Full Record in Web of Science")</f>
        <v>View Full Record in Web of Science</v>
      </c>
    </row>
    <row r="319" spans="1:72" x14ac:dyDescent="0.15">
      <c r="A319" t="s">
        <v>72</v>
      </c>
      <c r="B319" t="s">
        <v>6630</v>
      </c>
      <c r="C319" t="s">
        <v>74</v>
      </c>
      <c r="D319" t="s">
        <v>74</v>
      </c>
      <c r="E319" t="s">
        <v>74</v>
      </c>
      <c r="F319" t="s">
        <v>6631</v>
      </c>
      <c r="G319" t="s">
        <v>74</v>
      </c>
      <c r="H319" t="s">
        <v>74</v>
      </c>
      <c r="I319" t="s">
        <v>6632</v>
      </c>
      <c r="J319" t="s">
        <v>1065</v>
      </c>
      <c r="K319" t="s">
        <v>74</v>
      </c>
      <c r="L319" t="s">
        <v>74</v>
      </c>
      <c r="M319" t="s">
        <v>78</v>
      </c>
      <c r="N319" t="s">
        <v>79</v>
      </c>
      <c r="O319" t="s">
        <v>74</v>
      </c>
      <c r="P319" t="s">
        <v>74</v>
      </c>
      <c r="Q319" t="s">
        <v>74</v>
      </c>
      <c r="R319" t="s">
        <v>74</v>
      </c>
      <c r="S319" t="s">
        <v>74</v>
      </c>
      <c r="T319" t="s">
        <v>6633</v>
      </c>
      <c r="U319" t="s">
        <v>6634</v>
      </c>
      <c r="V319" t="s">
        <v>6635</v>
      </c>
      <c r="W319" t="s">
        <v>6636</v>
      </c>
      <c r="X319" t="s">
        <v>6637</v>
      </c>
      <c r="Y319" t="s">
        <v>6638</v>
      </c>
      <c r="Z319" t="s">
        <v>6639</v>
      </c>
      <c r="AA319" t="s">
        <v>74</v>
      </c>
      <c r="AB319" t="s">
        <v>74</v>
      </c>
      <c r="AC319" t="s">
        <v>6640</v>
      </c>
      <c r="AD319" t="s">
        <v>6641</v>
      </c>
      <c r="AE319" t="s">
        <v>6642</v>
      </c>
      <c r="AF319" t="s">
        <v>74</v>
      </c>
      <c r="AG319">
        <v>54</v>
      </c>
      <c r="AH319">
        <v>17</v>
      </c>
      <c r="AI319">
        <v>17</v>
      </c>
      <c r="AJ319">
        <v>2</v>
      </c>
      <c r="AK319">
        <v>12</v>
      </c>
      <c r="AL319" t="s">
        <v>1024</v>
      </c>
      <c r="AM319" t="s">
        <v>1025</v>
      </c>
      <c r="AN319" t="s">
        <v>1026</v>
      </c>
      <c r="AO319" t="s">
        <v>74</v>
      </c>
      <c r="AP319" t="s">
        <v>1078</v>
      </c>
      <c r="AQ319" t="s">
        <v>74</v>
      </c>
      <c r="AR319" t="s">
        <v>1079</v>
      </c>
      <c r="AS319" t="s">
        <v>1080</v>
      </c>
      <c r="AT319" t="s">
        <v>6565</v>
      </c>
      <c r="AU319">
        <v>2020</v>
      </c>
      <c r="AV319">
        <v>7</v>
      </c>
      <c r="AW319" t="s">
        <v>74</v>
      </c>
      <c r="AX319" t="s">
        <v>74</v>
      </c>
      <c r="AY319" t="s">
        <v>74</v>
      </c>
      <c r="AZ319" t="s">
        <v>74</v>
      </c>
      <c r="BA319" t="s">
        <v>74</v>
      </c>
      <c r="BB319" t="s">
        <v>74</v>
      </c>
      <c r="BC319" t="s">
        <v>74</v>
      </c>
      <c r="BD319">
        <v>474</v>
      </c>
      <c r="BE319" t="s">
        <v>6643</v>
      </c>
      <c r="BF319" t="str">
        <f>HYPERLINK("http://dx.doi.org/10.3389/fmars.2020.00474","http://dx.doi.org/10.3389/fmars.2020.00474")</f>
        <v>http://dx.doi.org/10.3389/fmars.2020.00474</v>
      </c>
      <c r="BG319" t="s">
        <v>74</v>
      </c>
      <c r="BH319" t="s">
        <v>74</v>
      </c>
      <c r="BI319">
        <v>11</v>
      </c>
      <c r="BJ319" t="s">
        <v>237</v>
      </c>
      <c r="BK319" t="s">
        <v>102</v>
      </c>
      <c r="BL319" t="s">
        <v>238</v>
      </c>
      <c r="BM319" t="s">
        <v>6644</v>
      </c>
      <c r="BN319" t="s">
        <v>74</v>
      </c>
      <c r="BO319" t="s">
        <v>6409</v>
      </c>
      <c r="BP319" t="s">
        <v>74</v>
      </c>
      <c r="BQ319" t="s">
        <v>74</v>
      </c>
      <c r="BR319" t="s">
        <v>106</v>
      </c>
      <c r="BS319" t="s">
        <v>6645</v>
      </c>
      <c r="BT319" t="str">
        <f>HYPERLINK("https%3A%2F%2Fwww.webofscience.com%2Fwos%2Fwoscc%2Ffull-record%2FWOS:000541456000001","View Full Record in Web of Science")</f>
        <v>View Full Record in Web of Science</v>
      </c>
    </row>
    <row r="320" spans="1:72" x14ac:dyDescent="0.15">
      <c r="A320" t="s">
        <v>72</v>
      </c>
      <c r="B320" t="s">
        <v>6646</v>
      </c>
      <c r="C320" t="s">
        <v>74</v>
      </c>
      <c r="D320" t="s">
        <v>74</v>
      </c>
      <c r="E320" t="s">
        <v>74</v>
      </c>
      <c r="F320" t="s">
        <v>6647</v>
      </c>
      <c r="G320" t="s">
        <v>74</v>
      </c>
      <c r="H320" t="s">
        <v>74</v>
      </c>
      <c r="I320" t="s">
        <v>6648</v>
      </c>
      <c r="J320" t="s">
        <v>2271</v>
      </c>
      <c r="K320" t="s">
        <v>74</v>
      </c>
      <c r="L320" t="s">
        <v>74</v>
      </c>
      <c r="M320" t="s">
        <v>78</v>
      </c>
      <c r="N320" t="s">
        <v>79</v>
      </c>
      <c r="O320" t="s">
        <v>74</v>
      </c>
      <c r="P320" t="s">
        <v>74</v>
      </c>
      <c r="Q320" t="s">
        <v>74</v>
      </c>
      <c r="R320" t="s">
        <v>74</v>
      </c>
      <c r="S320" t="s">
        <v>74</v>
      </c>
      <c r="T320" t="s">
        <v>6649</v>
      </c>
      <c r="U320" t="s">
        <v>6650</v>
      </c>
      <c r="V320" t="s">
        <v>6651</v>
      </c>
      <c r="W320" t="s">
        <v>6652</v>
      </c>
      <c r="X320" t="s">
        <v>6653</v>
      </c>
      <c r="Y320" t="s">
        <v>6654</v>
      </c>
      <c r="Z320" t="s">
        <v>6655</v>
      </c>
      <c r="AA320" t="s">
        <v>74</v>
      </c>
      <c r="AB320" t="s">
        <v>6656</v>
      </c>
      <c r="AC320" t="s">
        <v>6657</v>
      </c>
      <c r="AD320" t="s">
        <v>6658</v>
      </c>
      <c r="AE320" t="s">
        <v>6659</v>
      </c>
      <c r="AF320" t="s">
        <v>74</v>
      </c>
      <c r="AG320">
        <v>45</v>
      </c>
      <c r="AH320">
        <v>13</v>
      </c>
      <c r="AI320">
        <v>16</v>
      </c>
      <c r="AJ320">
        <v>4</v>
      </c>
      <c r="AK320">
        <v>37</v>
      </c>
      <c r="AL320" t="s">
        <v>1440</v>
      </c>
      <c r="AM320" t="s">
        <v>1628</v>
      </c>
      <c r="AN320" t="s">
        <v>1629</v>
      </c>
      <c r="AO320" t="s">
        <v>2283</v>
      </c>
      <c r="AP320" t="s">
        <v>2284</v>
      </c>
      <c r="AQ320" t="s">
        <v>74</v>
      </c>
      <c r="AR320" t="s">
        <v>2285</v>
      </c>
      <c r="AS320" t="s">
        <v>2286</v>
      </c>
      <c r="AT320" t="s">
        <v>1001</v>
      </c>
      <c r="AU320">
        <v>2020</v>
      </c>
      <c r="AV320">
        <v>32</v>
      </c>
      <c r="AW320">
        <v>5</v>
      </c>
      <c r="AX320" t="s">
        <v>74</v>
      </c>
      <c r="AY320" t="s">
        <v>74</v>
      </c>
      <c r="AZ320" t="s">
        <v>74</v>
      </c>
      <c r="BA320" t="s">
        <v>74</v>
      </c>
      <c r="BB320">
        <v>3319</v>
      </c>
      <c r="BC320">
        <v>3329</v>
      </c>
      <c r="BD320" t="s">
        <v>74</v>
      </c>
      <c r="BE320" t="s">
        <v>6660</v>
      </c>
      <c r="BF320" t="str">
        <f>HYPERLINK("http://dx.doi.org/10.1007/s10811-020-02170-9","http://dx.doi.org/10.1007/s10811-020-02170-9")</f>
        <v>http://dx.doi.org/10.1007/s10811-020-02170-9</v>
      </c>
      <c r="BG320" t="s">
        <v>74</v>
      </c>
      <c r="BH320" t="s">
        <v>5750</v>
      </c>
      <c r="BI320">
        <v>11</v>
      </c>
      <c r="BJ320" t="s">
        <v>2288</v>
      </c>
      <c r="BK320" t="s">
        <v>102</v>
      </c>
      <c r="BL320" t="s">
        <v>2288</v>
      </c>
      <c r="BM320" t="s">
        <v>2289</v>
      </c>
      <c r="BN320" t="s">
        <v>74</v>
      </c>
      <c r="BO320" t="s">
        <v>294</v>
      </c>
      <c r="BP320" t="s">
        <v>74</v>
      </c>
      <c r="BQ320" t="s">
        <v>74</v>
      </c>
      <c r="BR320" t="s">
        <v>106</v>
      </c>
      <c r="BS320" t="s">
        <v>6661</v>
      </c>
      <c r="BT320" t="str">
        <f>HYPERLINK("https%3A%2F%2Fwww.webofscience.com%2Fwos%2Fwoscc%2Ffull-record%2FWOS:000541320500004","View Full Record in Web of Science")</f>
        <v>View Full Record in Web of Science</v>
      </c>
    </row>
    <row r="321" spans="1:72" x14ac:dyDescent="0.15">
      <c r="A321" t="s">
        <v>72</v>
      </c>
      <c r="B321" t="s">
        <v>6662</v>
      </c>
      <c r="C321" t="s">
        <v>74</v>
      </c>
      <c r="D321" t="s">
        <v>74</v>
      </c>
      <c r="E321" t="s">
        <v>74</v>
      </c>
      <c r="F321" t="s">
        <v>6663</v>
      </c>
      <c r="G321" t="s">
        <v>74</v>
      </c>
      <c r="H321" t="s">
        <v>74</v>
      </c>
      <c r="I321" t="s">
        <v>6664</v>
      </c>
      <c r="J321" t="s">
        <v>1783</v>
      </c>
      <c r="K321" t="s">
        <v>74</v>
      </c>
      <c r="L321" t="s">
        <v>74</v>
      </c>
      <c r="M321" t="s">
        <v>78</v>
      </c>
      <c r="N321" t="s">
        <v>79</v>
      </c>
      <c r="O321" t="s">
        <v>74</v>
      </c>
      <c r="P321" t="s">
        <v>74</v>
      </c>
      <c r="Q321" t="s">
        <v>74</v>
      </c>
      <c r="R321" t="s">
        <v>74</v>
      </c>
      <c r="S321" t="s">
        <v>74</v>
      </c>
      <c r="T321" t="s">
        <v>6665</v>
      </c>
      <c r="U321" t="s">
        <v>6666</v>
      </c>
      <c r="V321" t="s">
        <v>6667</v>
      </c>
      <c r="W321" t="s">
        <v>6668</v>
      </c>
      <c r="X321" t="s">
        <v>6669</v>
      </c>
      <c r="Y321" t="s">
        <v>6670</v>
      </c>
      <c r="Z321" t="s">
        <v>6671</v>
      </c>
      <c r="AA321" t="s">
        <v>6672</v>
      </c>
      <c r="AB321" t="s">
        <v>6673</v>
      </c>
      <c r="AC321" t="s">
        <v>6674</v>
      </c>
      <c r="AD321" t="s">
        <v>6674</v>
      </c>
      <c r="AE321" t="s">
        <v>6675</v>
      </c>
      <c r="AF321" t="s">
        <v>74</v>
      </c>
      <c r="AG321">
        <v>34</v>
      </c>
      <c r="AH321">
        <v>1</v>
      </c>
      <c r="AI321">
        <v>1</v>
      </c>
      <c r="AJ321">
        <v>2</v>
      </c>
      <c r="AK321">
        <v>16</v>
      </c>
      <c r="AL321" t="s">
        <v>1440</v>
      </c>
      <c r="AM321" t="s">
        <v>399</v>
      </c>
      <c r="AN321" t="s">
        <v>1441</v>
      </c>
      <c r="AO321" t="s">
        <v>1796</v>
      </c>
      <c r="AP321" t="s">
        <v>1797</v>
      </c>
      <c r="AQ321" t="s">
        <v>74</v>
      </c>
      <c r="AR321" t="s">
        <v>1798</v>
      </c>
      <c r="AS321" t="s">
        <v>1799</v>
      </c>
      <c r="AT321" t="s">
        <v>3950</v>
      </c>
      <c r="AU321">
        <v>2020</v>
      </c>
      <c r="AV321">
        <v>43</v>
      </c>
      <c r="AW321">
        <v>7</v>
      </c>
      <c r="AX321" t="s">
        <v>74</v>
      </c>
      <c r="AY321" t="s">
        <v>74</v>
      </c>
      <c r="AZ321" t="s">
        <v>74</v>
      </c>
      <c r="BA321" t="s">
        <v>74</v>
      </c>
      <c r="BB321">
        <v>877</v>
      </c>
      <c r="BC321">
        <v>886</v>
      </c>
      <c r="BD321" t="s">
        <v>74</v>
      </c>
      <c r="BE321" t="s">
        <v>6676</v>
      </c>
      <c r="BF321" t="str">
        <f>HYPERLINK("http://dx.doi.org/10.1007/s00300-020-02697-0","http://dx.doi.org/10.1007/s00300-020-02697-0")</f>
        <v>http://dx.doi.org/10.1007/s00300-020-02697-0</v>
      </c>
      <c r="BG321" t="s">
        <v>74</v>
      </c>
      <c r="BH321" t="s">
        <v>5750</v>
      </c>
      <c r="BI321">
        <v>10</v>
      </c>
      <c r="BJ321" t="s">
        <v>1004</v>
      </c>
      <c r="BK321" t="s">
        <v>102</v>
      </c>
      <c r="BL321" t="s">
        <v>1005</v>
      </c>
      <c r="BM321" t="s">
        <v>6677</v>
      </c>
      <c r="BN321" t="s">
        <v>74</v>
      </c>
      <c r="BO321" t="s">
        <v>74</v>
      </c>
      <c r="BP321" t="s">
        <v>74</v>
      </c>
      <c r="BQ321" t="s">
        <v>74</v>
      </c>
      <c r="BR321" t="s">
        <v>106</v>
      </c>
      <c r="BS321" t="s">
        <v>6678</v>
      </c>
      <c r="BT321" t="str">
        <f>HYPERLINK("https%3A%2F%2Fwww.webofscience.com%2Fwos%2Fwoscc%2Ffull-record%2FWOS:000541307200001","View Full Record in Web of Science")</f>
        <v>View Full Record in Web of Science</v>
      </c>
    </row>
    <row r="322" spans="1:72" x14ac:dyDescent="0.15">
      <c r="A322" t="s">
        <v>72</v>
      </c>
      <c r="B322" t="s">
        <v>6679</v>
      </c>
      <c r="C322" t="s">
        <v>74</v>
      </c>
      <c r="D322" t="s">
        <v>74</v>
      </c>
      <c r="E322" t="s">
        <v>74</v>
      </c>
      <c r="F322" t="s">
        <v>6680</v>
      </c>
      <c r="G322" t="s">
        <v>74</v>
      </c>
      <c r="H322" t="s">
        <v>74</v>
      </c>
      <c r="I322" t="s">
        <v>6681</v>
      </c>
      <c r="J322" t="s">
        <v>6682</v>
      </c>
      <c r="K322" t="s">
        <v>74</v>
      </c>
      <c r="L322" t="s">
        <v>74</v>
      </c>
      <c r="M322" t="s">
        <v>78</v>
      </c>
      <c r="N322" t="s">
        <v>79</v>
      </c>
      <c r="O322" t="s">
        <v>74</v>
      </c>
      <c r="P322" t="s">
        <v>74</v>
      </c>
      <c r="Q322" t="s">
        <v>74</v>
      </c>
      <c r="R322" t="s">
        <v>74</v>
      </c>
      <c r="S322" t="s">
        <v>74</v>
      </c>
      <c r="T322" t="s">
        <v>6683</v>
      </c>
      <c r="U322" t="s">
        <v>6684</v>
      </c>
      <c r="V322" t="s">
        <v>6685</v>
      </c>
      <c r="W322" t="s">
        <v>6686</v>
      </c>
      <c r="X322" t="s">
        <v>6687</v>
      </c>
      <c r="Y322" t="s">
        <v>6688</v>
      </c>
      <c r="Z322" t="s">
        <v>6689</v>
      </c>
      <c r="AA322" t="s">
        <v>6690</v>
      </c>
      <c r="AB322" t="s">
        <v>6691</v>
      </c>
      <c r="AC322" t="s">
        <v>6692</v>
      </c>
      <c r="AD322" t="s">
        <v>6693</v>
      </c>
      <c r="AE322" t="s">
        <v>6694</v>
      </c>
      <c r="AF322" t="s">
        <v>74</v>
      </c>
      <c r="AG322">
        <v>79</v>
      </c>
      <c r="AH322">
        <v>33</v>
      </c>
      <c r="AI322">
        <v>33</v>
      </c>
      <c r="AJ322">
        <v>2</v>
      </c>
      <c r="AK322">
        <v>19</v>
      </c>
      <c r="AL322" t="s">
        <v>994</v>
      </c>
      <c r="AM322" t="s">
        <v>995</v>
      </c>
      <c r="AN322" t="s">
        <v>996</v>
      </c>
      <c r="AO322" t="s">
        <v>6695</v>
      </c>
      <c r="AP322" t="s">
        <v>6696</v>
      </c>
      <c r="AQ322" t="s">
        <v>74</v>
      </c>
      <c r="AR322" t="s">
        <v>6697</v>
      </c>
      <c r="AS322" t="s">
        <v>6698</v>
      </c>
      <c r="AT322" t="s">
        <v>99</v>
      </c>
      <c r="AU322">
        <v>2020</v>
      </c>
      <c r="AV322">
        <v>89</v>
      </c>
      <c r="AW322">
        <v>8</v>
      </c>
      <c r="AX322" t="s">
        <v>74</v>
      </c>
      <c r="AY322" t="s">
        <v>74</v>
      </c>
      <c r="AZ322" t="s">
        <v>74</v>
      </c>
      <c r="BA322" t="s">
        <v>74</v>
      </c>
      <c r="BB322">
        <v>1811</v>
      </c>
      <c r="BC322">
        <v>1823</v>
      </c>
      <c r="BD322" t="s">
        <v>74</v>
      </c>
      <c r="BE322" t="s">
        <v>6699</v>
      </c>
      <c r="BF322" t="str">
        <f>HYPERLINK("http://dx.doi.org/10.1111/1365-2656.13267","http://dx.doi.org/10.1111/1365-2656.13267")</f>
        <v>http://dx.doi.org/10.1111/1365-2656.13267</v>
      </c>
      <c r="BG322" t="s">
        <v>74</v>
      </c>
      <c r="BH322" t="s">
        <v>5750</v>
      </c>
      <c r="BI322">
        <v>13</v>
      </c>
      <c r="BJ322" t="s">
        <v>6700</v>
      </c>
      <c r="BK322" t="s">
        <v>102</v>
      </c>
      <c r="BL322" t="s">
        <v>6701</v>
      </c>
      <c r="BM322" t="s">
        <v>6702</v>
      </c>
      <c r="BN322">
        <v>32557603</v>
      </c>
      <c r="BO322" t="s">
        <v>3716</v>
      </c>
      <c r="BP322" t="s">
        <v>74</v>
      </c>
      <c r="BQ322" t="s">
        <v>74</v>
      </c>
      <c r="BR322" t="s">
        <v>106</v>
      </c>
      <c r="BS322" t="s">
        <v>6703</v>
      </c>
      <c r="BT322" t="str">
        <f>HYPERLINK("https%3A%2F%2Fwww.webofscience.com%2Fwos%2Fwoscc%2Ffull-record%2FWOS:000541053600001","View Full Record in Web of Science")</f>
        <v>View Full Record in Web of Science</v>
      </c>
    </row>
    <row r="323" spans="1:72" x14ac:dyDescent="0.15">
      <c r="A323" t="s">
        <v>72</v>
      </c>
      <c r="B323" t="s">
        <v>6704</v>
      </c>
      <c r="C323" t="s">
        <v>74</v>
      </c>
      <c r="D323" t="s">
        <v>74</v>
      </c>
      <c r="E323" t="s">
        <v>74</v>
      </c>
      <c r="F323" t="s">
        <v>6705</v>
      </c>
      <c r="G323" t="s">
        <v>74</v>
      </c>
      <c r="H323" t="s">
        <v>74</v>
      </c>
      <c r="I323" t="s">
        <v>6706</v>
      </c>
      <c r="J323" t="s">
        <v>6707</v>
      </c>
      <c r="K323" t="s">
        <v>74</v>
      </c>
      <c r="L323" t="s">
        <v>74</v>
      </c>
      <c r="M323" t="s">
        <v>78</v>
      </c>
      <c r="N323" t="s">
        <v>79</v>
      </c>
      <c r="O323" t="s">
        <v>74</v>
      </c>
      <c r="P323" t="s">
        <v>74</v>
      </c>
      <c r="Q323" t="s">
        <v>74</v>
      </c>
      <c r="R323" t="s">
        <v>74</v>
      </c>
      <c r="S323" t="s">
        <v>74</v>
      </c>
      <c r="T323" t="s">
        <v>74</v>
      </c>
      <c r="U323" t="s">
        <v>6708</v>
      </c>
      <c r="V323" t="s">
        <v>6709</v>
      </c>
      <c r="W323" t="s">
        <v>6710</v>
      </c>
      <c r="X323" t="s">
        <v>6711</v>
      </c>
      <c r="Y323" t="s">
        <v>6712</v>
      </c>
      <c r="Z323" t="s">
        <v>6713</v>
      </c>
      <c r="AA323" t="s">
        <v>6714</v>
      </c>
      <c r="AB323" t="s">
        <v>6715</v>
      </c>
      <c r="AC323" t="s">
        <v>6716</v>
      </c>
      <c r="AD323" t="s">
        <v>6717</v>
      </c>
      <c r="AE323" t="s">
        <v>6718</v>
      </c>
      <c r="AF323" t="s">
        <v>74</v>
      </c>
      <c r="AG323">
        <v>131</v>
      </c>
      <c r="AH323">
        <v>26</v>
      </c>
      <c r="AI323">
        <v>29</v>
      </c>
      <c r="AJ323">
        <v>0</v>
      </c>
      <c r="AK323">
        <v>16</v>
      </c>
      <c r="AL323" t="s">
        <v>2425</v>
      </c>
      <c r="AM323" t="s">
        <v>152</v>
      </c>
      <c r="AN323" t="s">
        <v>2426</v>
      </c>
      <c r="AO323" t="s">
        <v>6719</v>
      </c>
      <c r="AP323" t="s">
        <v>6720</v>
      </c>
      <c r="AQ323" t="s">
        <v>74</v>
      </c>
      <c r="AR323" t="s">
        <v>6721</v>
      </c>
      <c r="AS323" t="s">
        <v>6722</v>
      </c>
      <c r="AT323" t="s">
        <v>6723</v>
      </c>
      <c r="AU323">
        <v>2020</v>
      </c>
      <c r="AV323">
        <v>124</v>
      </c>
      <c r="AW323">
        <v>24</v>
      </c>
      <c r="AX323" t="s">
        <v>74</v>
      </c>
      <c r="AY323" t="s">
        <v>74</v>
      </c>
      <c r="AZ323" t="s">
        <v>74</v>
      </c>
      <c r="BA323" t="s">
        <v>74</v>
      </c>
      <c r="BB323">
        <v>4851</v>
      </c>
      <c r="BC323">
        <v>4872</v>
      </c>
      <c r="BD323" t="s">
        <v>74</v>
      </c>
      <c r="BE323" t="s">
        <v>6724</v>
      </c>
      <c r="BF323" t="str">
        <f>HYPERLINK("http://dx.doi.org/10.1021/acs.jpcb.0c02767","http://dx.doi.org/10.1021/acs.jpcb.0c02767")</f>
        <v>http://dx.doi.org/10.1021/acs.jpcb.0c02767</v>
      </c>
      <c r="BG323" t="s">
        <v>74</v>
      </c>
      <c r="BH323" t="s">
        <v>74</v>
      </c>
      <c r="BI323">
        <v>22</v>
      </c>
      <c r="BJ323" t="s">
        <v>3679</v>
      </c>
      <c r="BK323" t="s">
        <v>102</v>
      </c>
      <c r="BL323" t="s">
        <v>3680</v>
      </c>
      <c r="BM323" t="s">
        <v>6725</v>
      </c>
      <c r="BN323">
        <v>32436389</v>
      </c>
      <c r="BO323" t="s">
        <v>74</v>
      </c>
      <c r="BP323" t="s">
        <v>74</v>
      </c>
      <c r="BQ323" t="s">
        <v>74</v>
      </c>
      <c r="BR323" t="s">
        <v>106</v>
      </c>
      <c r="BS323" t="s">
        <v>6726</v>
      </c>
      <c r="BT323" t="str">
        <f>HYPERLINK("https%3A%2F%2Fwww.webofscience.com%2Fwos%2Fwoscc%2Ffull-record%2FWOS:000552403500001","View Full Record in Web of Science")</f>
        <v>View Full Record in Web of Science</v>
      </c>
    </row>
    <row r="324" spans="1:72" x14ac:dyDescent="0.15">
      <c r="A324" t="s">
        <v>72</v>
      </c>
      <c r="B324" t="s">
        <v>6727</v>
      </c>
      <c r="C324" t="s">
        <v>74</v>
      </c>
      <c r="D324" t="s">
        <v>74</v>
      </c>
      <c r="E324" t="s">
        <v>74</v>
      </c>
      <c r="F324" t="s">
        <v>6728</v>
      </c>
      <c r="G324" t="s">
        <v>74</v>
      </c>
      <c r="H324" t="s">
        <v>74</v>
      </c>
      <c r="I324" t="s">
        <v>6729</v>
      </c>
      <c r="J324" t="s">
        <v>6730</v>
      </c>
      <c r="K324" t="s">
        <v>74</v>
      </c>
      <c r="L324" t="s">
        <v>74</v>
      </c>
      <c r="M324" t="s">
        <v>78</v>
      </c>
      <c r="N324" t="s">
        <v>245</v>
      </c>
      <c r="O324" t="s">
        <v>74</v>
      </c>
      <c r="P324" t="s">
        <v>74</v>
      </c>
      <c r="Q324" t="s">
        <v>74</v>
      </c>
      <c r="R324" t="s">
        <v>74</v>
      </c>
      <c r="S324" t="s">
        <v>74</v>
      </c>
      <c r="T324" t="s">
        <v>6731</v>
      </c>
      <c r="U324" t="s">
        <v>6732</v>
      </c>
      <c r="V324" t="s">
        <v>6733</v>
      </c>
      <c r="W324" t="s">
        <v>6734</v>
      </c>
      <c r="X324" t="s">
        <v>6735</v>
      </c>
      <c r="Y324" t="s">
        <v>6736</v>
      </c>
      <c r="Z324" t="s">
        <v>6737</v>
      </c>
      <c r="AA324" t="s">
        <v>6738</v>
      </c>
      <c r="AB324" t="s">
        <v>6739</v>
      </c>
      <c r="AC324" t="s">
        <v>6740</v>
      </c>
      <c r="AD324" t="s">
        <v>6741</v>
      </c>
      <c r="AE324" t="s">
        <v>6742</v>
      </c>
      <c r="AF324" t="s">
        <v>74</v>
      </c>
      <c r="AG324">
        <v>108</v>
      </c>
      <c r="AH324">
        <v>5</v>
      </c>
      <c r="AI324">
        <v>5</v>
      </c>
      <c r="AJ324">
        <v>2</v>
      </c>
      <c r="AK324">
        <v>14</v>
      </c>
      <c r="AL324" t="s">
        <v>1411</v>
      </c>
      <c r="AM324" t="s">
        <v>1412</v>
      </c>
      <c r="AN324" t="s">
        <v>1413</v>
      </c>
      <c r="AO324" t="s">
        <v>6743</v>
      </c>
      <c r="AP324" t="s">
        <v>6744</v>
      </c>
      <c r="AQ324" t="s">
        <v>74</v>
      </c>
      <c r="AR324" t="s">
        <v>6745</v>
      </c>
      <c r="AS324" t="s">
        <v>6746</v>
      </c>
      <c r="AT324" t="s">
        <v>6747</v>
      </c>
      <c r="AU324">
        <v>2021</v>
      </c>
      <c r="AV324">
        <v>55</v>
      </c>
      <c r="AW324">
        <v>2</v>
      </c>
      <c r="AX324" t="s">
        <v>74</v>
      </c>
      <c r="AY324" t="s">
        <v>74</v>
      </c>
      <c r="AZ324" t="s">
        <v>74</v>
      </c>
      <c r="BA324" t="s">
        <v>74</v>
      </c>
      <c r="BB324">
        <v>286</v>
      </c>
      <c r="BC324">
        <v>310</v>
      </c>
      <c r="BD324" t="s">
        <v>74</v>
      </c>
      <c r="BE324" t="s">
        <v>6748</v>
      </c>
      <c r="BF324" t="str">
        <f>HYPERLINK("http://dx.doi.org/10.1080/00288330.2020.1775660","http://dx.doi.org/10.1080/00288330.2020.1775660")</f>
        <v>http://dx.doi.org/10.1080/00288330.2020.1775660</v>
      </c>
      <c r="BG324" t="s">
        <v>74</v>
      </c>
      <c r="BH324" t="s">
        <v>5750</v>
      </c>
      <c r="BI324">
        <v>25</v>
      </c>
      <c r="BJ324" t="s">
        <v>2243</v>
      </c>
      <c r="BK324" t="s">
        <v>102</v>
      </c>
      <c r="BL324" t="s">
        <v>2243</v>
      </c>
      <c r="BM324" t="s">
        <v>6749</v>
      </c>
      <c r="BN324" t="s">
        <v>74</v>
      </c>
      <c r="BO324" t="s">
        <v>74</v>
      </c>
      <c r="BP324" t="s">
        <v>74</v>
      </c>
      <c r="BQ324" t="s">
        <v>74</v>
      </c>
      <c r="BR324" t="s">
        <v>106</v>
      </c>
      <c r="BS324" t="s">
        <v>6750</v>
      </c>
      <c r="BT324" t="str">
        <f>HYPERLINK("https%3A%2F%2Fwww.webofscience.com%2Fwos%2Fwoscc%2Ffull-record%2FWOS:000548652100001","View Full Record in Web of Science")</f>
        <v>View Full Record in Web of Science</v>
      </c>
    </row>
    <row r="325" spans="1:72" x14ac:dyDescent="0.15">
      <c r="A325" t="s">
        <v>72</v>
      </c>
      <c r="B325" t="s">
        <v>6751</v>
      </c>
      <c r="C325" t="s">
        <v>74</v>
      </c>
      <c r="D325" t="s">
        <v>74</v>
      </c>
      <c r="E325" t="s">
        <v>74</v>
      </c>
      <c r="F325" t="s">
        <v>6752</v>
      </c>
      <c r="G325" t="s">
        <v>74</v>
      </c>
      <c r="H325" t="s">
        <v>74</v>
      </c>
      <c r="I325" t="s">
        <v>6753</v>
      </c>
      <c r="J325" t="s">
        <v>2007</v>
      </c>
      <c r="K325" t="s">
        <v>74</v>
      </c>
      <c r="L325" t="s">
        <v>74</v>
      </c>
      <c r="M325" t="s">
        <v>78</v>
      </c>
      <c r="N325" t="s">
        <v>79</v>
      </c>
      <c r="O325" t="s">
        <v>74</v>
      </c>
      <c r="P325" t="s">
        <v>74</v>
      </c>
      <c r="Q325" t="s">
        <v>74</v>
      </c>
      <c r="R325" t="s">
        <v>74</v>
      </c>
      <c r="S325" t="s">
        <v>74</v>
      </c>
      <c r="T325" t="s">
        <v>74</v>
      </c>
      <c r="U325" t="s">
        <v>6754</v>
      </c>
      <c r="V325" t="s">
        <v>6755</v>
      </c>
      <c r="W325" t="s">
        <v>6756</v>
      </c>
      <c r="X325" t="s">
        <v>6757</v>
      </c>
      <c r="Y325" t="s">
        <v>6758</v>
      </c>
      <c r="Z325" t="s">
        <v>6759</v>
      </c>
      <c r="AA325" t="s">
        <v>74</v>
      </c>
      <c r="AB325" t="s">
        <v>6760</v>
      </c>
      <c r="AC325" t="s">
        <v>6761</v>
      </c>
      <c r="AD325" t="s">
        <v>6762</v>
      </c>
      <c r="AE325" t="s">
        <v>6763</v>
      </c>
      <c r="AF325" t="s">
        <v>74</v>
      </c>
      <c r="AG325">
        <v>74</v>
      </c>
      <c r="AH325">
        <v>26</v>
      </c>
      <c r="AI325">
        <v>29</v>
      </c>
      <c r="AJ325">
        <v>1</v>
      </c>
      <c r="AK325">
        <v>17</v>
      </c>
      <c r="AL325" t="s">
        <v>1049</v>
      </c>
      <c r="AM325" t="s">
        <v>1050</v>
      </c>
      <c r="AN325" t="s">
        <v>1051</v>
      </c>
      <c r="AO325" t="s">
        <v>2019</v>
      </c>
      <c r="AP325" t="s">
        <v>2020</v>
      </c>
      <c r="AQ325" t="s">
        <v>74</v>
      </c>
      <c r="AR325" t="s">
        <v>2007</v>
      </c>
      <c r="AS325" t="s">
        <v>2021</v>
      </c>
      <c r="AT325" t="s">
        <v>6723</v>
      </c>
      <c r="AU325">
        <v>2020</v>
      </c>
      <c r="AV325">
        <v>14</v>
      </c>
      <c r="AW325">
        <v>6</v>
      </c>
      <c r="AX325" t="s">
        <v>74</v>
      </c>
      <c r="AY325" t="s">
        <v>74</v>
      </c>
      <c r="AZ325" t="s">
        <v>74</v>
      </c>
      <c r="BA325" t="s">
        <v>74</v>
      </c>
      <c r="BB325">
        <v>1971</v>
      </c>
      <c r="BC325">
        <v>1984</v>
      </c>
      <c r="BD325" t="s">
        <v>74</v>
      </c>
      <c r="BE325" t="s">
        <v>6764</v>
      </c>
      <c r="BF325" t="str">
        <f>HYPERLINK("http://dx.doi.org/10.5194/tc-14-1971-2020","http://dx.doi.org/10.5194/tc-14-1971-2020")</f>
        <v>http://dx.doi.org/10.5194/tc-14-1971-2020</v>
      </c>
      <c r="BG325" t="s">
        <v>74</v>
      </c>
      <c r="BH325" t="s">
        <v>74</v>
      </c>
      <c r="BI325">
        <v>14</v>
      </c>
      <c r="BJ325" t="s">
        <v>694</v>
      </c>
      <c r="BK325" t="s">
        <v>102</v>
      </c>
      <c r="BL325" t="s">
        <v>695</v>
      </c>
      <c r="BM325" t="s">
        <v>6765</v>
      </c>
      <c r="BN325" t="s">
        <v>74</v>
      </c>
      <c r="BO325" t="s">
        <v>2993</v>
      </c>
      <c r="BP325" t="s">
        <v>74</v>
      </c>
      <c r="BQ325" t="s">
        <v>74</v>
      </c>
      <c r="BR325" t="s">
        <v>106</v>
      </c>
      <c r="BS325" t="s">
        <v>6766</v>
      </c>
      <c r="BT325" t="str">
        <f>HYPERLINK("https%3A%2F%2Fwww.webofscience.com%2Fwos%2Fwoscc%2Ffull-record%2FWOS:000542936900002","View Full Record in Web of Science")</f>
        <v>View Full Record in Web of Science</v>
      </c>
    </row>
    <row r="326" spans="1:72" x14ac:dyDescent="0.15">
      <c r="A326" t="s">
        <v>72</v>
      </c>
      <c r="B326" t="s">
        <v>6767</v>
      </c>
      <c r="C326" t="s">
        <v>74</v>
      </c>
      <c r="D326" t="s">
        <v>74</v>
      </c>
      <c r="E326" t="s">
        <v>74</v>
      </c>
      <c r="F326" t="s">
        <v>6768</v>
      </c>
      <c r="G326" t="s">
        <v>74</v>
      </c>
      <c r="H326" t="s">
        <v>74</v>
      </c>
      <c r="I326" t="s">
        <v>6769</v>
      </c>
      <c r="J326" t="s">
        <v>1887</v>
      </c>
      <c r="K326" t="s">
        <v>74</v>
      </c>
      <c r="L326" t="s">
        <v>74</v>
      </c>
      <c r="M326" t="s">
        <v>78</v>
      </c>
      <c r="N326" t="s">
        <v>79</v>
      </c>
      <c r="O326" t="s">
        <v>74</v>
      </c>
      <c r="P326" t="s">
        <v>74</v>
      </c>
      <c r="Q326" t="s">
        <v>74</v>
      </c>
      <c r="R326" t="s">
        <v>74</v>
      </c>
      <c r="S326" t="s">
        <v>74</v>
      </c>
      <c r="T326" t="s">
        <v>74</v>
      </c>
      <c r="U326" t="s">
        <v>6770</v>
      </c>
      <c r="V326" t="s">
        <v>6771</v>
      </c>
      <c r="W326" t="s">
        <v>6772</v>
      </c>
      <c r="X326" t="s">
        <v>6773</v>
      </c>
      <c r="Y326" t="s">
        <v>6774</v>
      </c>
      <c r="Z326" t="s">
        <v>6775</v>
      </c>
      <c r="AA326" t="s">
        <v>6776</v>
      </c>
      <c r="AB326" t="s">
        <v>6777</v>
      </c>
      <c r="AC326" t="s">
        <v>6778</v>
      </c>
      <c r="AD326" t="s">
        <v>6779</v>
      </c>
      <c r="AE326" t="s">
        <v>6780</v>
      </c>
      <c r="AF326" t="s">
        <v>74</v>
      </c>
      <c r="AG326">
        <v>75</v>
      </c>
      <c r="AH326">
        <v>17</v>
      </c>
      <c r="AI326">
        <v>17</v>
      </c>
      <c r="AJ326">
        <v>1</v>
      </c>
      <c r="AK326">
        <v>4</v>
      </c>
      <c r="AL326" t="s">
        <v>1049</v>
      </c>
      <c r="AM326" t="s">
        <v>1050</v>
      </c>
      <c r="AN326" t="s">
        <v>1051</v>
      </c>
      <c r="AO326" t="s">
        <v>1899</v>
      </c>
      <c r="AP326" t="s">
        <v>1900</v>
      </c>
      <c r="AQ326" t="s">
        <v>74</v>
      </c>
      <c r="AR326" t="s">
        <v>1887</v>
      </c>
      <c r="AS326" t="s">
        <v>1901</v>
      </c>
      <c r="AT326" t="s">
        <v>6723</v>
      </c>
      <c r="AU326">
        <v>2020</v>
      </c>
      <c r="AV326">
        <v>17</v>
      </c>
      <c r="AW326">
        <v>12</v>
      </c>
      <c r="AX326" t="s">
        <v>74</v>
      </c>
      <c r="AY326" t="s">
        <v>74</v>
      </c>
      <c r="AZ326" t="s">
        <v>74</v>
      </c>
      <c r="BA326" t="s">
        <v>74</v>
      </c>
      <c r="BB326">
        <v>3057</v>
      </c>
      <c r="BC326">
        <v>3082</v>
      </c>
      <c r="BD326" t="s">
        <v>74</v>
      </c>
      <c r="BE326" t="s">
        <v>6781</v>
      </c>
      <c r="BF326" t="str">
        <f>HYPERLINK("http://dx.doi.org/10.5194/bg-17-3057-2020","http://dx.doi.org/10.5194/bg-17-3057-2020")</f>
        <v>http://dx.doi.org/10.5194/bg-17-3057-2020</v>
      </c>
      <c r="BG326" t="s">
        <v>74</v>
      </c>
      <c r="BH326" t="s">
        <v>74</v>
      </c>
      <c r="BI326">
        <v>26</v>
      </c>
      <c r="BJ326" t="s">
        <v>1903</v>
      </c>
      <c r="BK326" t="s">
        <v>102</v>
      </c>
      <c r="BL326" t="s">
        <v>1904</v>
      </c>
      <c r="BM326" t="s">
        <v>6782</v>
      </c>
      <c r="BN326" t="s">
        <v>74</v>
      </c>
      <c r="BO326" t="s">
        <v>2993</v>
      </c>
      <c r="BP326" t="s">
        <v>74</v>
      </c>
      <c r="BQ326" t="s">
        <v>74</v>
      </c>
      <c r="BR326" t="s">
        <v>106</v>
      </c>
      <c r="BS326" t="s">
        <v>6783</v>
      </c>
      <c r="BT326" t="str">
        <f>HYPERLINK("https%3A%2F%2Fwww.webofscience.com%2Fwos%2Fwoscc%2Ffull-record%2FWOS:000542923400001","View Full Record in Web of Science")</f>
        <v>View Full Record in Web of Science</v>
      </c>
    </row>
    <row r="327" spans="1:72" x14ac:dyDescent="0.15">
      <c r="A327" t="s">
        <v>72</v>
      </c>
      <c r="B327" t="s">
        <v>6784</v>
      </c>
      <c r="C327" t="s">
        <v>74</v>
      </c>
      <c r="D327" t="s">
        <v>74</v>
      </c>
      <c r="E327" t="s">
        <v>74</v>
      </c>
      <c r="F327" t="s">
        <v>6785</v>
      </c>
      <c r="G327" t="s">
        <v>74</v>
      </c>
      <c r="H327" t="s">
        <v>74</v>
      </c>
      <c r="I327" t="s">
        <v>6786</v>
      </c>
      <c r="J327" t="s">
        <v>2412</v>
      </c>
      <c r="K327" t="s">
        <v>74</v>
      </c>
      <c r="L327" t="s">
        <v>74</v>
      </c>
      <c r="M327" t="s">
        <v>78</v>
      </c>
      <c r="N327" t="s">
        <v>79</v>
      </c>
      <c r="O327" t="s">
        <v>74</v>
      </c>
      <c r="P327" t="s">
        <v>74</v>
      </c>
      <c r="Q327" t="s">
        <v>74</v>
      </c>
      <c r="R327" t="s">
        <v>74</v>
      </c>
      <c r="S327" t="s">
        <v>74</v>
      </c>
      <c r="T327" t="s">
        <v>6787</v>
      </c>
      <c r="U327" t="s">
        <v>6788</v>
      </c>
      <c r="V327" t="s">
        <v>6789</v>
      </c>
      <c r="W327" t="s">
        <v>6790</v>
      </c>
      <c r="X327" t="s">
        <v>6791</v>
      </c>
      <c r="Y327" t="s">
        <v>6792</v>
      </c>
      <c r="Z327" t="s">
        <v>6793</v>
      </c>
      <c r="AA327" t="s">
        <v>6794</v>
      </c>
      <c r="AB327" t="s">
        <v>6795</v>
      </c>
      <c r="AC327" t="s">
        <v>6796</v>
      </c>
      <c r="AD327" t="s">
        <v>6797</v>
      </c>
      <c r="AE327" t="s">
        <v>6798</v>
      </c>
      <c r="AF327" t="s">
        <v>74</v>
      </c>
      <c r="AG327">
        <v>61</v>
      </c>
      <c r="AH327">
        <v>8</v>
      </c>
      <c r="AI327">
        <v>9</v>
      </c>
      <c r="AJ327">
        <v>1</v>
      </c>
      <c r="AK327">
        <v>18</v>
      </c>
      <c r="AL327" t="s">
        <v>2425</v>
      </c>
      <c r="AM327" t="s">
        <v>152</v>
      </c>
      <c r="AN327" t="s">
        <v>2426</v>
      </c>
      <c r="AO327" t="s">
        <v>2427</v>
      </c>
      <c r="AP327" t="s">
        <v>74</v>
      </c>
      <c r="AQ327" t="s">
        <v>74</v>
      </c>
      <c r="AR327" t="s">
        <v>2428</v>
      </c>
      <c r="AS327" t="s">
        <v>2429</v>
      </c>
      <c r="AT327" t="s">
        <v>6723</v>
      </c>
      <c r="AU327">
        <v>2020</v>
      </c>
      <c r="AV327">
        <v>4</v>
      </c>
      <c r="AW327">
        <v>6</v>
      </c>
      <c r="AX327" t="s">
        <v>74</v>
      </c>
      <c r="AY327" t="s">
        <v>74</v>
      </c>
      <c r="AZ327" t="s">
        <v>74</v>
      </c>
      <c r="BA327" t="s">
        <v>74</v>
      </c>
      <c r="BB327">
        <v>802</v>
      </c>
      <c r="BC327">
        <v>811</v>
      </c>
      <c r="BD327" t="s">
        <v>74</v>
      </c>
      <c r="BE327" t="s">
        <v>6799</v>
      </c>
      <c r="BF327" t="str">
        <f>HYPERLINK("http://dx.doi.org/10.1021/acsearthspacechem.9b00281","http://dx.doi.org/10.1021/acsearthspacechem.9b00281")</f>
        <v>http://dx.doi.org/10.1021/acsearthspacechem.9b00281</v>
      </c>
      <c r="BG327" t="s">
        <v>74</v>
      </c>
      <c r="BH327" t="s">
        <v>74</v>
      </c>
      <c r="BI327">
        <v>10</v>
      </c>
      <c r="BJ327" t="s">
        <v>2432</v>
      </c>
      <c r="BK327" t="s">
        <v>102</v>
      </c>
      <c r="BL327" t="s">
        <v>2433</v>
      </c>
      <c r="BM327" t="s">
        <v>6800</v>
      </c>
      <c r="BN327" t="s">
        <v>74</v>
      </c>
      <c r="BO327" t="s">
        <v>491</v>
      </c>
      <c r="BP327" t="s">
        <v>74</v>
      </c>
      <c r="BQ327" t="s">
        <v>74</v>
      </c>
      <c r="BR327" t="s">
        <v>106</v>
      </c>
      <c r="BS327" t="s">
        <v>6801</v>
      </c>
      <c r="BT327" t="str">
        <f>HYPERLINK("https%3A%2F%2Fwww.webofscience.com%2Fwos%2Fwoscc%2Ffull-record%2FWOS:000552671200001","View Full Record in Web of Science")</f>
        <v>View Full Record in Web of Science</v>
      </c>
    </row>
    <row r="328" spans="1:72" x14ac:dyDescent="0.15">
      <c r="A328" t="s">
        <v>72</v>
      </c>
      <c r="B328" t="s">
        <v>6802</v>
      </c>
      <c r="C328" t="s">
        <v>74</v>
      </c>
      <c r="D328" t="s">
        <v>74</v>
      </c>
      <c r="E328" t="s">
        <v>74</v>
      </c>
      <c r="F328" t="s">
        <v>6803</v>
      </c>
      <c r="G328" t="s">
        <v>74</v>
      </c>
      <c r="H328" t="s">
        <v>74</v>
      </c>
      <c r="I328" t="s">
        <v>6804</v>
      </c>
      <c r="J328" t="s">
        <v>1106</v>
      </c>
      <c r="K328" t="s">
        <v>74</v>
      </c>
      <c r="L328" t="s">
        <v>74</v>
      </c>
      <c r="M328" t="s">
        <v>78</v>
      </c>
      <c r="N328" t="s">
        <v>79</v>
      </c>
      <c r="O328" t="s">
        <v>74</v>
      </c>
      <c r="P328" t="s">
        <v>74</v>
      </c>
      <c r="Q328" t="s">
        <v>74</v>
      </c>
      <c r="R328" t="s">
        <v>74</v>
      </c>
      <c r="S328" t="s">
        <v>74</v>
      </c>
      <c r="T328" t="s">
        <v>74</v>
      </c>
      <c r="U328" t="s">
        <v>6805</v>
      </c>
      <c r="V328" t="s">
        <v>6806</v>
      </c>
      <c r="W328" t="s">
        <v>6807</v>
      </c>
      <c r="X328" t="s">
        <v>6808</v>
      </c>
      <c r="Y328" t="s">
        <v>6809</v>
      </c>
      <c r="Z328" t="s">
        <v>6810</v>
      </c>
      <c r="AA328" t="s">
        <v>6811</v>
      </c>
      <c r="AB328" t="s">
        <v>6812</v>
      </c>
      <c r="AC328" t="s">
        <v>6813</v>
      </c>
      <c r="AD328" t="s">
        <v>6814</v>
      </c>
      <c r="AE328" t="s">
        <v>6815</v>
      </c>
      <c r="AF328" t="s">
        <v>74</v>
      </c>
      <c r="AG328">
        <v>72</v>
      </c>
      <c r="AH328">
        <v>32</v>
      </c>
      <c r="AI328">
        <v>32</v>
      </c>
      <c r="AJ328">
        <v>7</v>
      </c>
      <c r="AK328">
        <v>20</v>
      </c>
      <c r="AL328" t="s">
        <v>1389</v>
      </c>
      <c r="AM328" t="s">
        <v>945</v>
      </c>
      <c r="AN328" t="s">
        <v>1390</v>
      </c>
      <c r="AO328" t="s">
        <v>1121</v>
      </c>
      <c r="AP328" t="s">
        <v>74</v>
      </c>
      <c r="AQ328" t="s">
        <v>74</v>
      </c>
      <c r="AR328" t="s">
        <v>1122</v>
      </c>
      <c r="AS328" t="s">
        <v>1123</v>
      </c>
      <c r="AT328" t="s">
        <v>6723</v>
      </c>
      <c r="AU328">
        <v>2020</v>
      </c>
      <c r="AV328">
        <v>10</v>
      </c>
      <c r="AW328">
        <v>1</v>
      </c>
      <c r="AX328" t="s">
        <v>74</v>
      </c>
      <c r="AY328" t="s">
        <v>74</v>
      </c>
      <c r="AZ328" t="s">
        <v>74</v>
      </c>
      <c r="BA328" t="s">
        <v>74</v>
      </c>
      <c r="BB328" t="s">
        <v>74</v>
      </c>
      <c r="BC328" t="s">
        <v>74</v>
      </c>
      <c r="BD328">
        <v>9896</v>
      </c>
      <c r="BE328" t="s">
        <v>6816</v>
      </c>
      <c r="BF328" t="str">
        <f>HYPERLINK("http://dx.doi.org/10.1038/s41598-020-66835-8","http://dx.doi.org/10.1038/s41598-020-66835-8")</f>
        <v>http://dx.doi.org/10.1038/s41598-020-66835-8</v>
      </c>
      <c r="BG328" t="s">
        <v>74</v>
      </c>
      <c r="BH328" t="s">
        <v>74</v>
      </c>
      <c r="BI328">
        <v>11</v>
      </c>
      <c r="BJ328" t="s">
        <v>1125</v>
      </c>
      <c r="BK328" t="s">
        <v>102</v>
      </c>
      <c r="BL328" t="s">
        <v>1126</v>
      </c>
      <c r="BM328" t="s">
        <v>6817</v>
      </c>
      <c r="BN328">
        <v>32555233</v>
      </c>
      <c r="BO328" t="s">
        <v>1778</v>
      </c>
      <c r="BP328" t="s">
        <v>74</v>
      </c>
      <c r="BQ328" t="s">
        <v>74</v>
      </c>
      <c r="BR328" t="s">
        <v>106</v>
      </c>
      <c r="BS328" t="s">
        <v>6818</v>
      </c>
      <c r="BT328" t="str">
        <f>HYPERLINK("https%3A%2F%2Fwww.webofscience.com%2Fwos%2Fwoscc%2Ffull-record%2FWOS:000543973600027","View Full Record in Web of Science")</f>
        <v>View Full Record in Web of Science</v>
      </c>
    </row>
    <row r="329" spans="1:72" x14ac:dyDescent="0.15">
      <c r="A329" t="s">
        <v>72</v>
      </c>
      <c r="B329" t="s">
        <v>6819</v>
      </c>
      <c r="C329" t="s">
        <v>74</v>
      </c>
      <c r="D329" t="s">
        <v>74</v>
      </c>
      <c r="E329" t="s">
        <v>74</v>
      </c>
      <c r="F329" t="s">
        <v>6820</v>
      </c>
      <c r="G329" t="s">
        <v>74</v>
      </c>
      <c r="H329" t="s">
        <v>74</v>
      </c>
      <c r="I329" t="s">
        <v>6821</v>
      </c>
      <c r="J329" t="s">
        <v>6822</v>
      </c>
      <c r="K329" t="s">
        <v>74</v>
      </c>
      <c r="L329" t="s">
        <v>74</v>
      </c>
      <c r="M329" t="s">
        <v>78</v>
      </c>
      <c r="N329" t="s">
        <v>79</v>
      </c>
      <c r="O329" t="s">
        <v>74</v>
      </c>
      <c r="P329" t="s">
        <v>74</v>
      </c>
      <c r="Q329" t="s">
        <v>74</v>
      </c>
      <c r="R329" t="s">
        <v>74</v>
      </c>
      <c r="S329" t="s">
        <v>74</v>
      </c>
      <c r="T329" t="s">
        <v>6823</v>
      </c>
      <c r="U329" t="s">
        <v>6824</v>
      </c>
      <c r="V329" t="s">
        <v>6825</v>
      </c>
      <c r="W329" t="s">
        <v>6826</v>
      </c>
      <c r="X329" t="s">
        <v>6827</v>
      </c>
      <c r="Y329" t="s">
        <v>6828</v>
      </c>
      <c r="Z329" t="s">
        <v>6829</v>
      </c>
      <c r="AA329" t="s">
        <v>6830</v>
      </c>
      <c r="AB329" t="s">
        <v>6831</v>
      </c>
      <c r="AC329" t="s">
        <v>6832</v>
      </c>
      <c r="AD329" t="s">
        <v>6833</v>
      </c>
      <c r="AE329" t="s">
        <v>6834</v>
      </c>
      <c r="AF329" t="s">
        <v>74</v>
      </c>
      <c r="AG329">
        <v>25</v>
      </c>
      <c r="AH329">
        <v>5</v>
      </c>
      <c r="AI329">
        <v>6</v>
      </c>
      <c r="AJ329">
        <v>1</v>
      </c>
      <c r="AK329">
        <v>27</v>
      </c>
      <c r="AL329" t="s">
        <v>1440</v>
      </c>
      <c r="AM329" t="s">
        <v>1628</v>
      </c>
      <c r="AN329" t="s">
        <v>1629</v>
      </c>
      <c r="AO329" t="s">
        <v>6835</v>
      </c>
      <c r="AP329" t="s">
        <v>6836</v>
      </c>
      <c r="AQ329" t="s">
        <v>74</v>
      </c>
      <c r="AR329" t="s">
        <v>6837</v>
      </c>
      <c r="AS329" t="s">
        <v>6838</v>
      </c>
      <c r="AT329" t="s">
        <v>6839</v>
      </c>
      <c r="AU329">
        <v>2020</v>
      </c>
      <c r="AV329">
        <v>192</v>
      </c>
      <c r="AW329">
        <v>7</v>
      </c>
      <c r="AX329" t="s">
        <v>74</v>
      </c>
      <c r="AY329" t="s">
        <v>74</v>
      </c>
      <c r="AZ329" t="s">
        <v>74</v>
      </c>
      <c r="BA329" t="s">
        <v>74</v>
      </c>
      <c r="BB329" t="s">
        <v>74</v>
      </c>
      <c r="BC329" t="s">
        <v>74</v>
      </c>
      <c r="BD329" t="s">
        <v>74</v>
      </c>
      <c r="BE329" t="s">
        <v>6840</v>
      </c>
      <c r="BF329" t="str">
        <f>HYPERLINK("http://dx.doi.org/10.1007/s10661-020-08396-x","http://dx.doi.org/10.1007/s10661-020-08396-x")</f>
        <v>http://dx.doi.org/10.1007/s10661-020-08396-x</v>
      </c>
      <c r="BG329" t="s">
        <v>74</v>
      </c>
      <c r="BH329" t="s">
        <v>74</v>
      </c>
      <c r="BI329">
        <v>14</v>
      </c>
      <c r="BJ329" t="s">
        <v>101</v>
      </c>
      <c r="BK329" t="s">
        <v>102</v>
      </c>
      <c r="BL329" t="s">
        <v>103</v>
      </c>
      <c r="BM329" t="s">
        <v>6841</v>
      </c>
      <c r="BN329">
        <v>32556693</v>
      </c>
      <c r="BO329" t="s">
        <v>976</v>
      </c>
      <c r="BP329" t="s">
        <v>74</v>
      </c>
      <c r="BQ329" t="s">
        <v>74</v>
      </c>
      <c r="BR329" t="s">
        <v>106</v>
      </c>
      <c r="BS329" t="s">
        <v>6842</v>
      </c>
      <c r="BT329" t="str">
        <f>HYPERLINK("https%3A%2F%2Fwww.webofscience.com%2Fwos%2Fwoscc%2Ffull-record%2FWOS:000543210000003","View Full Record in Web of Science")</f>
        <v>View Full Record in Web of Science</v>
      </c>
    </row>
    <row r="330" spans="1:72" x14ac:dyDescent="0.15">
      <c r="A330" t="s">
        <v>72</v>
      </c>
      <c r="B330" t="s">
        <v>6843</v>
      </c>
      <c r="C330" t="s">
        <v>74</v>
      </c>
      <c r="D330" t="s">
        <v>74</v>
      </c>
      <c r="E330" t="s">
        <v>74</v>
      </c>
      <c r="F330" t="s">
        <v>6844</v>
      </c>
      <c r="G330" t="s">
        <v>74</v>
      </c>
      <c r="H330" t="s">
        <v>74</v>
      </c>
      <c r="I330" t="s">
        <v>6845</v>
      </c>
      <c r="J330" t="s">
        <v>1783</v>
      </c>
      <c r="K330" t="s">
        <v>74</v>
      </c>
      <c r="L330" t="s">
        <v>74</v>
      </c>
      <c r="M330" t="s">
        <v>78</v>
      </c>
      <c r="N330" t="s">
        <v>79</v>
      </c>
      <c r="O330" t="s">
        <v>74</v>
      </c>
      <c r="P330" t="s">
        <v>74</v>
      </c>
      <c r="Q330" t="s">
        <v>74</v>
      </c>
      <c r="R330" t="s">
        <v>74</v>
      </c>
      <c r="S330" t="s">
        <v>74</v>
      </c>
      <c r="T330" t="s">
        <v>6846</v>
      </c>
      <c r="U330" t="s">
        <v>6847</v>
      </c>
      <c r="V330" t="s">
        <v>6848</v>
      </c>
      <c r="W330" t="s">
        <v>6849</v>
      </c>
      <c r="X330" t="s">
        <v>6850</v>
      </c>
      <c r="Y330" t="s">
        <v>6851</v>
      </c>
      <c r="Z330" t="s">
        <v>6852</v>
      </c>
      <c r="AA330" t="s">
        <v>6853</v>
      </c>
      <c r="AB330" t="s">
        <v>6854</v>
      </c>
      <c r="AC330" t="s">
        <v>6855</v>
      </c>
      <c r="AD330" t="s">
        <v>6856</v>
      </c>
      <c r="AE330" t="s">
        <v>6857</v>
      </c>
      <c r="AF330" t="s">
        <v>74</v>
      </c>
      <c r="AG330">
        <v>37</v>
      </c>
      <c r="AH330">
        <v>1</v>
      </c>
      <c r="AI330">
        <v>1</v>
      </c>
      <c r="AJ330">
        <v>1</v>
      </c>
      <c r="AK330">
        <v>6</v>
      </c>
      <c r="AL330" t="s">
        <v>1440</v>
      </c>
      <c r="AM330" t="s">
        <v>399</v>
      </c>
      <c r="AN330" t="s">
        <v>1441</v>
      </c>
      <c r="AO330" t="s">
        <v>1796</v>
      </c>
      <c r="AP330" t="s">
        <v>1797</v>
      </c>
      <c r="AQ330" t="s">
        <v>74</v>
      </c>
      <c r="AR330" t="s">
        <v>1798</v>
      </c>
      <c r="AS330" t="s">
        <v>1799</v>
      </c>
      <c r="AT330" t="s">
        <v>3950</v>
      </c>
      <c r="AU330">
        <v>2020</v>
      </c>
      <c r="AV330">
        <v>43</v>
      </c>
      <c r="AW330">
        <v>7</v>
      </c>
      <c r="AX330" t="s">
        <v>74</v>
      </c>
      <c r="AY330" t="s">
        <v>74</v>
      </c>
      <c r="AZ330" t="s">
        <v>74</v>
      </c>
      <c r="BA330" t="s">
        <v>74</v>
      </c>
      <c r="BB330">
        <v>929</v>
      </c>
      <c r="BC330">
        <v>935</v>
      </c>
      <c r="BD330" t="s">
        <v>74</v>
      </c>
      <c r="BE330" t="s">
        <v>6858</v>
      </c>
      <c r="BF330" t="str">
        <f>HYPERLINK("http://dx.doi.org/10.1007/s00300-020-02694-3","http://dx.doi.org/10.1007/s00300-020-02694-3")</f>
        <v>http://dx.doi.org/10.1007/s00300-020-02694-3</v>
      </c>
      <c r="BG330" t="s">
        <v>74</v>
      </c>
      <c r="BH330" t="s">
        <v>5750</v>
      </c>
      <c r="BI330">
        <v>7</v>
      </c>
      <c r="BJ330" t="s">
        <v>1004</v>
      </c>
      <c r="BK330" t="s">
        <v>102</v>
      </c>
      <c r="BL330" t="s">
        <v>1005</v>
      </c>
      <c r="BM330" t="s">
        <v>6677</v>
      </c>
      <c r="BN330" t="s">
        <v>74</v>
      </c>
      <c r="BO330" t="s">
        <v>3716</v>
      </c>
      <c r="BP330" t="s">
        <v>74</v>
      </c>
      <c r="BQ330" t="s">
        <v>74</v>
      </c>
      <c r="BR330" t="s">
        <v>106</v>
      </c>
      <c r="BS330" t="s">
        <v>6859</v>
      </c>
      <c r="BT330" t="str">
        <f>HYPERLINK("https%3A%2F%2Fwww.webofscience.com%2Fwos%2Fwoscc%2Ffull-record%2FWOS:000540942500001","View Full Record in Web of Science")</f>
        <v>View Full Record in Web of Science</v>
      </c>
    </row>
    <row r="331" spans="1:72" x14ac:dyDescent="0.15">
      <c r="A331" t="s">
        <v>72</v>
      </c>
      <c r="B331" t="s">
        <v>6860</v>
      </c>
      <c r="C331" t="s">
        <v>74</v>
      </c>
      <c r="D331" t="s">
        <v>74</v>
      </c>
      <c r="E331" t="s">
        <v>74</v>
      </c>
      <c r="F331" t="s">
        <v>6861</v>
      </c>
      <c r="G331" t="s">
        <v>74</v>
      </c>
      <c r="H331" t="s">
        <v>74</v>
      </c>
      <c r="I331" t="s">
        <v>6862</v>
      </c>
      <c r="J331" t="s">
        <v>2456</v>
      </c>
      <c r="K331" t="s">
        <v>74</v>
      </c>
      <c r="L331" t="s">
        <v>74</v>
      </c>
      <c r="M331" t="s">
        <v>78</v>
      </c>
      <c r="N331" t="s">
        <v>79</v>
      </c>
      <c r="O331" t="s">
        <v>74</v>
      </c>
      <c r="P331" t="s">
        <v>74</v>
      </c>
      <c r="Q331" t="s">
        <v>74</v>
      </c>
      <c r="R331" t="s">
        <v>74</v>
      </c>
      <c r="S331" t="s">
        <v>74</v>
      </c>
      <c r="T331" t="s">
        <v>6863</v>
      </c>
      <c r="U331" t="s">
        <v>6864</v>
      </c>
      <c r="V331" t="s">
        <v>6865</v>
      </c>
      <c r="W331" t="s">
        <v>6866</v>
      </c>
      <c r="X331" t="s">
        <v>6867</v>
      </c>
      <c r="Y331" t="s">
        <v>6868</v>
      </c>
      <c r="Z331" t="s">
        <v>6869</v>
      </c>
      <c r="AA331" t="s">
        <v>6870</v>
      </c>
      <c r="AB331" t="s">
        <v>1877</v>
      </c>
      <c r="AC331" t="s">
        <v>6871</v>
      </c>
      <c r="AD331" t="s">
        <v>6872</v>
      </c>
      <c r="AE331" t="s">
        <v>6873</v>
      </c>
      <c r="AF331" t="s">
        <v>74</v>
      </c>
      <c r="AG331">
        <v>63</v>
      </c>
      <c r="AH331">
        <v>9</v>
      </c>
      <c r="AI331">
        <v>9</v>
      </c>
      <c r="AJ331">
        <v>1</v>
      </c>
      <c r="AK331">
        <v>5</v>
      </c>
      <c r="AL331" t="s">
        <v>1024</v>
      </c>
      <c r="AM331" t="s">
        <v>1025</v>
      </c>
      <c r="AN331" t="s">
        <v>1026</v>
      </c>
      <c r="AO331" t="s">
        <v>74</v>
      </c>
      <c r="AP331" t="s">
        <v>2469</v>
      </c>
      <c r="AQ331" t="s">
        <v>74</v>
      </c>
      <c r="AR331" t="s">
        <v>2470</v>
      </c>
      <c r="AS331" t="s">
        <v>2471</v>
      </c>
      <c r="AT331" t="s">
        <v>6874</v>
      </c>
      <c r="AU331">
        <v>2020</v>
      </c>
      <c r="AV331">
        <v>8</v>
      </c>
      <c r="AW331" t="s">
        <v>74</v>
      </c>
      <c r="AX331" t="s">
        <v>74</v>
      </c>
      <c r="AY331" t="s">
        <v>74</v>
      </c>
      <c r="AZ331" t="s">
        <v>74</v>
      </c>
      <c r="BA331" t="s">
        <v>74</v>
      </c>
      <c r="BB331" t="s">
        <v>74</v>
      </c>
      <c r="BC331" t="s">
        <v>74</v>
      </c>
      <c r="BD331">
        <v>220</v>
      </c>
      <c r="BE331" t="s">
        <v>6875</v>
      </c>
      <c r="BF331" t="str">
        <f>HYPERLINK("http://dx.doi.org/10.3389/feart.2020.00220","http://dx.doi.org/10.3389/feart.2020.00220")</f>
        <v>http://dx.doi.org/10.3389/feart.2020.00220</v>
      </c>
      <c r="BG331" t="s">
        <v>74</v>
      </c>
      <c r="BH331" t="s">
        <v>74</v>
      </c>
      <c r="BI331">
        <v>13</v>
      </c>
      <c r="BJ331" t="s">
        <v>471</v>
      </c>
      <c r="BK331" t="s">
        <v>102</v>
      </c>
      <c r="BL331" t="s">
        <v>472</v>
      </c>
      <c r="BM331" t="s">
        <v>6876</v>
      </c>
      <c r="BN331" t="s">
        <v>74</v>
      </c>
      <c r="BO331" t="s">
        <v>105</v>
      </c>
      <c r="BP331" t="s">
        <v>74</v>
      </c>
      <c r="BQ331" t="s">
        <v>74</v>
      </c>
      <c r="BR331" t="s">
        <v>106</v>
      </c>
      <c r="BS331" t="s">
        <v>6877</v>
      </c>
      <c r="BT331" t="str">
        <f>HYPERLINK("https%3A%2F%2Fwww.webofscience.com%2Fwos%2Fwoscc%2Ffull-record%2FWOS:000548371500001","View Full Record in Web of Science")</f>
        <v>View Full Record in Web of Science</v>
      </c>
    </row>
    <row r="332" spans="1:72" x14ac:dyDescent="0.15">
      <c r="A332" t="s">
        <v>72</v>
      </c>
      <c r="B332" t="s">
        <v>6878</v>
      </c>
      <c r="C332" t="s">
        <v>74</v>
      </c>
      <c r="D332" t="s">
        <v>74</v>
      </c>
      <c r="E332" t="s">
        <v>74</v>
      </c>
      <c r="F332" t="s">
        <v>6879</v>
      </c>
      <c r="G332" t="s">
        <v>74</v>
      </c>
      <c r="H332" t="s">
        <v>74</v>
      </c>
      <c r="I332" t="s">
        <v>6880</v>
      </c>
      <c r="J332" t="s">
        <v>1505</v>
      </c>
      <c r="K332" t="s">
        <v>74</v>
      </c>
      <c r="L332" t="s">
        <v>74</v>
      </c>
      <c r="M332" t="s">
        <v>78</v>
      </c>
      <c r="N332" t="s">
        <v>79</v>
      </c>
      <c r="O332" t="s">
        <v>74</v>
      </c>
      <c r="P332" t="s">
        <v>74</v>
      </c>
      <c r="Q332" t="s">
        <v>74</v>
      </c>
      <c r="R332" t="s">
        <v>74</v>
      </c>
      <c r="S332" t="s">
        <v>74</v>
      </c>
      <c r="T332" t="s">
        <v>6881</v>
      </c>
      <c r="U332" t="s">
        <v>6882</v>
      </c>
      <c r="V332" t="s">
        <v>6883</v>
      </c>
      <c r="W332" t="s">
        <v>6884</v>
      </c>
      <c r="X332" t="s">
        <v>6885</v>
      </c>
      <c r="Y332" t="s">
        <v>6886</v>
      </c>
      <c r="Z332" t="s">
        <v>6887</v>
      </c>
      <c r="AA332" t="s">
        <v>6888</v>
      </c>
      <c r="AB332" t="s">
        <v>6889</v>
      </c>
      <c r="AC332" t="s">
        <v>6890</v>
      </c>
      <c r="AD332" t="s">
        <v>6891</v>
      </c>
      <c r="AE332" t="s">
        <v>6892</v>
      </c>
      <c r="AF332" t="s">
        <v>74</v>
      </c>
      <c r="AG332">
        <v>70</v>
      </c>
      <c r="AH332">
        <v>8</v>
      </c>
      <c r="AI332">
        <v>8</v>
      </c>
      <c r="AJ332">
        <v>0</v>
      </c>
      <c r="AK332">
        <v>5</v>
      </c>
      <c r="AL332" t="s">
        <v>151</v>
      </c>
      <c r="AM332" t="s">
        <v>152</v>
      </c>
      <c r="AN332" t="s">
        <v>153</v>
      </c>
      <c r="AO332" t="s">
        <v>1517</v>
      </c>
      <c r="AP332" t="s">
        <v>1518</v>
      </c>
      <c r="AQ332" t="s">
        <v>74</v>
      </c>
      <c r="AR332" t="s">
        <v>1519</v>
      </c>
      <c r="AS332" t="s">
        <v>1520</v>
      </c>
      <c r="AT332" t="s">
        <v>6874</v>
      </c>
      <c r="AU332">
        <v>2020</v>
      </c>
      <c r="AV332">
        <v>47</v>
      </c>
      <c r="AW332">
        <v>11</v>
      </c>
      <c r="AX332" t="s">
        <v>74</v>
      </c>
      <c r="AY332" t="s">
        <v>74</v>
      </c>
      <c r="AZ332" t="s">
        <v>74</v>
      </c>
      <c r="BA332" t="s">
        <v>74</v>
      </c>
      <c r="BB332" t="s">
        <v>74</v>
      </c>
      <c r="BC332" t="s">
        <v>74</v>
      </c>
      <c r="BD332" t="s">
        <v>6893</v>
      </c>
      <c r="BE332" t="s">
        <v>6894</v>
      </c>
      <c r="BF332" t="str">
        <f>HYPERLINK("http://dx.doi.org/10.1029/2019GL086722","http://dx.doi.org/10.1029/2019GL086722")</f>
        <v>http://dx.doi.org/10.1029/2019GL086722</v>
      </c>
      <c r="BG332" t="s">
        <v>74</v>
      </c>
      <c r="BH332" t="s">
        <v>74</v>
      </c>
      <c r="BI332">
        <v>11</v>
      </c>
      <c r="BJ332" t="s">
        <v>471</v>
      </c>
      <c r="BK332" t="s">
        <v>102</v>
      </c>
      <c r="BL332" t="s">
        <v>472</v>
      </c>
      <c r="BM332" t="s">
        <v>6895</v>
      </c>
      <c r="BN332" t="s">
        <v>74</v>
      </c>
      <c r="BO332" t="s">
        <v>1474</v>
      </c>
      <c r="BP332" t="s">
        <v>74</v>
      </c>
      <c r="BQ332" t="s">
        <v>74</v>
      </c>
      <c r="BR332" t="s">
        <v>106</v>
      </c>
      <c r="BS332" t="s">
        <v>6896</v>
      </c>
      <c r="BT332" t="str">
        <f>HYPERLINK("https%3A%2F%2Fwww.webofscience.com%2Fwos%2Fwoscc%2Ffull-record%2FWOS:000543387400052","View Full Record in Web of Science")</f>
        <v>View Full Record in Web of Science</v>
      </c>
    </row>
    <row r="333" spans="1:72" x14ac:dyDescent="0.15">
      <c r="A333" t="s">
        <v>72</v>
      </c>
      <c r="B333" t="s">
        <v>6897</v>
      </c>
      <c r="C333" t="s">
        <v>74</v>
      </c>
      <c r="D333" t="s">
        <v>74</v>
      </c>
      <c r="E333" t="s">
        <v>74</v>
      </c>
      <c r="F333" t="s">
        <v>6898</v>
      </c>
      <c r="G333" t="s">
        <v>74</v>
      </c>
      <c r="H333" t="s">
        <v>74</v>
      </c>
      <c r="I333" t="s">
        <v>6899</v>
      </c>
      <c r="J333" t="s">
        <v>1505</v>
      </c>
      <c r="K333" t="s">
        <v>74</v>
      </c>
      <c r="L333" t="s">
        <v>74</v>
      </c>
      <c r="M333" t="s">
        <v>78</v>
      </c>
      <c r="N333" t="s">
        <v>79</v>
      </c>
      <c r="O333" t="s">
        <v>74</v>
      </c>
      <c r="P333" t="s">
        <v>74</v>
      </c>
      <c r="Q333" t="s">
        <v>74</v>
      </c>
      <c r="R333" t="s">
        <v>74</v>
      </c>
      <c r="S333" t="s">
        <v>74</v>
      </c>
      <c r="T333" t="s">
        <v>6900</v>
      </c>
      <c r="U333" t="s">
        <v>6901</v>
      </c>
      <c r="V333" t="s">
        <v>6902</v>
      </c>
      <c r="W333" t="s">
        <v>6903</v>
      </c>
      <c r="X333" t="s">
        <v>6904</v>
      </c>
      <c r="Y333" t="s">
        <v>6905</v>
      </c>
      <c r="Z333" t="s">
        <v>6906</v>
      </c>
      <c r="AA333" t="s">
        <v>6907</v>
      </c>
      <c r="AB333" t="s">
        <v>6908</v>
      </c>
      <c r="AC333" t="s">
        <v>6909</v>
      </c>
      <c r="AD333" t="s">
        <v>6910</v>
      </c>
      <c r="AE333" t="s">
        <v>6911</v>
      </c>
      <c r="AF333" t="s">
        <v>74</v>
      </c>
      <c r="AG333">
        <v>29</v>
      </c>
      <c r="AH333">
        <v>13</v>
      </c>
      <c r="AI333">
        <v>13</v>
      </c>
      <c r="AJ333">
        <v>0</v>
      </c>
      <c r="AK333">
        <v>18</v>
      </c>
      <c r="AL333" t="s">
        <v>151</v>
      </c>
      <c r="AM333" t="s">
        <v>152</v>
      </c>
      <c r="AN333" t="s">
        <v>153</v>
      </c>
      <c r="AO333" t="s">
        <v>1517</v>
      </c>
      <c r="AP333" t="s">
        <v>1518</v>
      </c>
      <c r="AQ333" t="s">
        <v>74</v>
      </c>
      <c r="AR333" t="s">
        <v>1519</v>
      </c>
      <c r="AS333" t="s">
        <v>1520</v>
      </c>
      <c r="AT333" t="s">
        <v>6874</v>
      </c>
      <c r="AU333">
        <v>2020</v>
      </c>
      <c r="AV333">
        <v>47</v>
      </c>
      <c r="AW333">
        <v>11</v>
      </c>
      <c r="AX333" t="s">
        <v>74</v>
      </c>
      <c r="AY333" t="s">
        <v>74</v>
      </c>
      <c r="AZ333" t="s">
        <v>74</v>
      </c>
      <c r="BA333" t="s">
        <v>74</v>
      </c>
      <c r="BB333" t="s">
        <v>74</v>
      </c>
      <c r="BC333" t="s">
        <v>74</v>
      </c>
      <c r="BD333" t="s">
        <v>6912</v>
      </c>
      <c r="BE333" t="s">
        <v>6913</v>
      </c>
      <c r="BF333" t="str">
        <f>HYPERLINK("http://dx.doi.org/10.1029/2020GL087348","http://dx.doi.org/10.1029/2020GL087348")</f>
        <v>http://dx.doi.org/10.1029/2020GL087348</v>
      </c>
      <c r="BG333" t="s">
        <v>74</v>
      </c>
      <c r="BH333" t="s">
        <v>74</v>
      </c>
      <c r="BI333">
        <v>9</v>
      </c>
      <c r="BJ333" t="s">
        <v>471</v>
      </c>
      <c r="BK333" t="s">
        <v>102</v>
      </c>
      <c r="BL333" t="s">
        <v>472</v>
      </c>
      <c r="BM333" t="s">
        <v>6895</v>
      </c>
      <c r="BN333" t="s">
        <v>74</v>
      </c>
      <c r="BO333" t="s">
        <v>6914</v>
      </c>
      <c r="BP333" t="s">
        <v>74</v>
      </c>
      <c r="BQ333" t="s">
        <v>74</v>
      </c>
      <c r="BR333" t="s">
        <v>106</v>
      </c>
      <c r="BS333" t="s">
        <v>6915</v>
      </c>
      <c r="BT333" t="str">
        <f>HYPERLINK("https%3A%2F%2Fwww.webofscience.com%2Fwos%2Fwoscc%2Ffull-record%2FWOS:000543387400002","View Full Record in Web of Science")</f>
        <v>View Full Record in Web of Science</v>
      </c>
    </row>
    <row r="334" spans="1:72" x14ac:dyDescent="0.15">
      <c r="A334" t="s">
        <v>72</v>
      </c>
      <c r="B334" t="s">
        <v>6916</v>
      </c>
      <c r="C334" t="s">
        <v>74</v>
      </c>
      <c r="D334" t="s">
        <v>74</v>
      </c>
      <c r="E334" t="s">
        <v>74</v>
      </c>
      <c r="F334" t="s">
        <v>6917</v>
      </c>
      <c r="G334" t="s">
        <v>74</v>
      </c>
      <c r="H334" t="s">
        <v>74</v>
      </c>
      <c r="I334" t="s">
        <v>6918</v>
      </c>
      <c r="J334" t="s">
        <v>1505</v>
      </c>
      <c r="K334" t="s">
        <v>74</v>
      </c>
      <c r="L334" t="s">
        <v>74</v>
      </c>
      <c r="M334" t="s">
        <v>78</v>
      </c>
      <c r="N334" t="s">
        <v>79</v>
      </c>
      <c r="O334" t="s">
        <v>74</v>
      </c>
      <c r="P334" t="s">
        <v>74</v>
      </c>
      <c r="Q334" t="s">
        <v>74</v>
      </c>
      <c r="R334" t="s">
        <v>74</v>
      </c>
      <c r="S334" t="s">
        <v>74</v>
      </c>
      <c r="T334" t="s">
        <v>6919</v>
      </c>
      <c r="U334" t="s">
        <v>6920</v>
      </c>
      <c r="V334" t="s">
        <v>6921</v>
      </c>
      <c r="W334" t="s">
        <v>6922</v>
      </c>
      <c r="X334" t="s">
        <v>6923</v>
      </c>
      <c r="Y334" t="s">
        <v>6924</v>
      </c>
      <c r="Z334" t="s">
        <v>6925</v>
      </c>
      <c r="AA334" t="s">
        <v>6926</v>
      </c>
      <c r="AB334" t="s">
        <v>6927</v>
      </c>
      <c r="AC334" t="s">
        <v>6928</v>
      </c>
      <c r="AD334" t="s">
        <v>6929</v>
      </c>
      <c r="AE334" t="s">
        <v>6930</v>
      </c>
      <c r="AF334" t="s">
        <v>74</v>
      </c>
      <c r="AG334">
        <v>36</v>
      </c>
      <c r="AH334">
        <v>33</v>
      </c>
      <c r="AI334">
        <v>37</v>
      </c>
      <c r="AJ334">
        <v>4</v>
      </c>
      <c r="AK334">
        <v>21</v>
      </c>
      <c r="AL334" t="s">
        <v>151</v>
      </c>
      <c r="AM334" t="s">
        <v>152</v>
      </c>
      <c r="AN334" t="s">
        <v>153</v>
      </c>
      <c r="AO334" t="s">
        <v>1517</v>
      </c>
      <c r="AP334" t="s">
        <v>1518</v>
      </c>
      <c r="AQ334" t="s">
        <v>74</v>
      </c>
      <c r="AR334" t="s">
        <v>1519</v>
      </c>
      <c r="AS334" t="s">
        <v>1520</v>
      </c>
      <c r="AT334" t="s">
        <v>6874</v>
      </c>
      <c r="AU334">
        <v>2020</v>
      </c>
      <c r="AV334">
        <v>47</v>
      </c>
      <c r="AW334">
        <v>11</v>
      </c>
      <c r="AX334" t="s">
        <v>74</v>
      </c>
      <c r="AY334" t="s">
        <v>74</v>
      </c>
      <c r="AZ334" t="s">
        <v>74</v>
      </c>
      <c r="BA334" t="s">
        <v>74</v>
      </c>
      <c r="BB334" t="s">
        <v>74</v>
      </c>
      <c r="BC334" t="s">
        <v>74</v>
      </c>
      <c r="BD334" t="s">
        <v>6931</v>
      </c>
      <c r="BE334" t="s">
        <v>6932</v>
      </c>
      <c r="BF334" t="str">
        <f>HYPERLINK("http://dx.doi.org/10.1029/2019GL086892","http://dx.doi.org/10.1029/2019GL086892")</f>
        <v>http://dx.doi.org/10.1029/2019GL086892</v>
      </c>
      <c r="BG334" t="s">
        <v>74</v>
      </c>
      <c r="BH334" t="s">
        <v>74</v>
      </c>
      <c r="BI334">
        <v>9</v>
      </c>
      <c r="BJ334" t="s">
        <v>471</v>
      </c>
      <c r="BK334" t="s">
        <v>102</v>
      </c>
      <c r="BL334" t="s">
        <v>472</v>
      </c>
      <c r="BM334" t="s">
        <v>6895</v>
      </c>
      <c r="BN334" t="s">
        <v>74</v>
      </c>
      <c r="BO334" t="s">
        <v>294</v>
      </c>
      <c r="BP334" t="s">
        <v>74</v>
      </c>
      <c r="BQ334" t="s">
        <v>74</v>
      </c>
      <c r="BR334" t="s">
        <v>106</v>
      </c>
      <c r="BS334" t="s">
        <v>6933</v>
      </c>
      <c r="BT334" t="str">
        <f>HYPERLINK("https%3A%2F%2Fwww.webofscience.com%2Fwos%2Fwoscc%2Ffull-record%2FWOS:000543387400045","View Full Record in Web of Science")</f>
        <v>View Full Record in Web of Science</v>
      </c>
    </row>
    <row r="335" spans="1:72" x14ac:dyDescent="0.15">
      <c r="A335" t="s">
        <v>72</v>
      </c>
      <c r="B335" t="s">
        <v>6934</v>
      </c>
      <c r="C335" t="s">
        <v>74</v>
      </c>
      <c r="D335" t="s">
        <v>74</v>
      </c>
      <c r="E335" t="s">
        <v>74</v>
      </c>
      <c r="F335" t="s">
        <v>6935</v>
      </c>
      <c r="G335" t="s">
        <v>74</v>
      </c>
      <c r="H335" t="s">
        <v>74</v>
      </c>
      <c r="I335" t="s">
        <v>6936</v>
      </c>
      <c r="J335" t="s">
        <v>1505</v>
      </c>
      <c r="K335" t="s">
        <v>74</v>
      </c>
      <c r="L335" t="s">
        <v>74</v>
      </c>
      <c r="M335" t="s">
        <v>78</v>
      </c>
      <c r="N335" t="s">
        <v>79</v>
      </c>
      <c r="O335" t="s">
        <v>74</v>
      </c>
      <c r="P335" t="s">
        <v>74</v>
      </c>
      <c r="Q335" t="s">
        <v>74</v>
      </c>
      <c r="R335" t="s">
        <v>74</v>
      </c>
      <c r="S335" t="s">
        <v>74</v>
      </c>
      <c r="T335" t="s">
        <v>6937</v>
      </c>
      <c r="U335" t="s">
        <v>6938</v>
      </c>
      <c r="V335" t="s">
        <v>6939</v>
      </c>
      <c r="W335" t="s">
        <v>6940</v>
      </c>
      <c r="X335" t="s">
        <v>6941</v>
      </c>
      <c r="Y335" t="s">
        <v>6942</v>
      </c>
      <c r="Z335" t="s">
        <v>6943</v>
      </c>
      <c r="AA335" t="s">
        <v>6944</v>
      </c>
      <c r="AB335" t="s">
        <v>6945</v>
      </c>
      <c r="AC335" t="s">
        <v>6946</v>
      </c>
      <c r="AD335" t="s">
        <v>6947</v>
      </c>
      <c r="AE335" t="s">
        <v>6948</v>
      </c>
      <c r="AF335" t="s">
        <v>74</v>
      </c>
      <c r="AG335">
        <v>27</v>
      </c>
      <c r="AH335">
        <v>6</v>
      </c>
      <c r="AI335">
        <v>7</v>
      </c>
      <c r="AJ335">
        <v>0</v>
      </c>
      <c r="AK335">
        <v>5</v>
      </c>
      <c r="AL335" t="s">
        <v>151</v>
      </c>
      <c r="AM335" t="s">
        <v>152</v>
      </c>
      <c r="AN335" t="s">
        <v>153</v>
      </c>
      <c r="AO335" t="s">
        <v>1517</v>
      </c>
      <c r="AP335" t="s">
        <v>1518</v>
      </c>
      <c r="AQ335" t="s">
        <v>74</v>
      </c>
      <c r="AR335" t="s">
        <v>1519</v>
      </c>
      <c r="AS335" t="s">
        <v>1520</v>
      </c>
      <c r="AT335" t="s">
        <v>6874</v>
      </c>
      <c r="AU335">
        <v>2020</v>
      </c>
      <c r="AV335">
        <v>47</v>
      </c>
      <c r="AW335">
        <v>11</v>
      </c>
      <c r="AX335" t="s">
        <v>74</v>
      </c>
      <c r="AY335" t="s">
        <v>74</v>
      </c>
      <c r="AZ335" t="s">
        <v>74</v>
      </c>
      <c r="BA335" t="s">
        <v>74</v>
      </c>
      <c r="BB335" t="s">
        <v>74</v>
      </c>
      <c r="BC335" t="s">
        <v>74</v>
      </c>
      <c r="BD335" t="s">
        <v>6949</v>
      </c>
      <c r="BE335" t="s">
        <v>6950</v>
      </c>
      <c r="BF335" t="str">
        <f>HYPERLINK("http://dx.doi.org/10.1029/2020GL087019","http://dx.doi.org/10.1029/2020GL087019")</f>
        <v>http://dx.doi.org/10.1029/2020GL087019</v>
      </c>
      <c r="BG335" t="s">
        <v>74</v>
      </c>
      <c r="BH335" t="s">
        <v>74</v>
      </c>
      <c r="BI335">
        <v>9</v>
      </c>
      <c r="BJ335" t="s">
        <v>471</v>
      </c>
      <c r="BK335" t="s">
        <v>102</v>
      </c>
      <c r="BL335" t="s">
        <v>472</v>
      </c>
      <c r="BM335" t="s">
        <v>6895</v>
      </c>
      <c r="BN335" t="s">
        <v>74</v>
      </c>
      <c r="BO335" t="s">
        <v>294</v>
      </c>
      <c r="BP335" t="s">
        <v>74</v>
      </c>
      <c r="BQ335" t="s">
        <v>74</v>
      </c>
      <c r="BR335" t="s">
        <v>106</v>
      </c>
      <c r="BS335" t="s">
        <v>6951</v>
      </c>
      <c r="BT335" t="str">
        <f>HYPERLINK("https%3A%2F%2Fwww.webofscience.com%2Fwos%2Fwoscc%2Ffull-record%2FWOS:000543387400029","View Full Record in Web of Science")</f>
        <v>View Full Record in Web of Science</v>
      </c>
    </row>
    <row r="336" spans="1:72" x14ac:dyDescent="0.15">
      <c r="A336" t="s">
        <v>72</v>
      </c>
      <c r="B336" t="s">
        <v>6952</v>
      </c>
      <c r="C336" t="s">
        <v>74</v>
      </c>
      <c r="D336" t="s">
        <v>74</v>
      </c>
      <c r="E336" t="s">
        <v>74</v>
      </c>
      <c r="F336" t="s">
        <v>6953</v>
      </c>
      <c r="G336" t="s">
        <v>74</v>
      </c>
      <c r="H336" t="s">
        <v>74</v>
      </c>
      <c r="I336" t="s">
        <v>6954</v>
      </c>
      <c r="J336" t="s">
        <v>1572</v>
      </c>
      <c r="K336" t="s">
        <v>74</v>
      </c>
      <c r="L336" t="s">
        <v>74</v>
      </c>
      <c r="M336" t="s">
        <v>78</v>
      </c>
      <c r="N336" t="s">
        <v>79</v>
      </c>
      <c r="O336" t="s">
        <v>74</v>
      </c>
      <c r="P336" t="s">
        <v>74</v>
      </c>
      <c r="Q336" t="s">
        <v>74</v>
      </c>
      <c r="R336" t="s">
        <v>74</v>
      </c>
      <c r="S336" t="s">
        <v>74</v>
      </c>
      <c r="T336" t="s">
        <v>6955</v>
      </c>
      <c r="U336" t="s">
        <v>6956</v>
      </c>
      <c r="V336" t="s">
        <v>6957</v>
      </c>
      <c r="W336" t="s">
        <v>6958</v>
      </c>
      <c r="X336" t="s">
        <v>6959</v>
      </c>
      <c r="Y336" t="s">
        <v>6960</v>
      </c>
      <c r="Z336" t="s">
        <v>6961</v>
      </c>
      <c r="AA336" t="s">
        <v>74</v>
      </c>
      <c r="AB336" t="s">
        <v>6962</v>
      </c>
      <c r="AC336" t="s">
        <v>6963</v>
      </c>
      <c r="AD336" t="s">
        <v>6964</v>
      </c>
      <c r="AE336" t="s">
        <v>6965</v>
      </c>
      <c r="AF336" t="s">
        <v>74</v>
      </c>
      <c r="AG336">
        <v>162</v>
      </c>
      <c r="AH336">
        <v>17</v>
      </c>
      <c r="AI336">
        <v>20</v>
      </c>
      <c r="AJ336">
        <v>4</v>
      </c>
      <c r="AK336">
        <v>45</v>
      </c>
      <c r="AL336" t="s">
        <v>151</v>
      </c>
      <c r="AM336" t="s">
        <v>152</v>
      </c>
      <c r="AN336" t="s">
        <v>153</v>
      </c>
      <c r="AO336" t="s">
        <v>1585</v>
      </c>
      <c r="AP336" t="s">
        <v>1586</v>
      </c>
      <c r="AQ336" t="s">
        <v>74</v>
      </c>
      <c r="AR336" t="s">
        <v>1587</v>
      </c>
      <c r="AS336" t="s">
        <v>1588</v>
      </c>
      <c r="AT336" t="s">
        <v>6874</v>
      </c>
      <c r="AU336">
        <v>2020</v>
      </c>
      <c r="AV336">
        <v>125</v>
      </c>
      <c r="AW336">
        <v>11</v>
      </c>
      <c r="AX336" t="s">
        <v>74</v>
      </c>
      <c r="AY336" t="s">
        <v>74</v>
      </c>
      <c r="AZ336" t="s">
        <v>74</v>
      </c>
      <c r="BA336" t="s">
        <v>74</v>
      </c>
      <c r="BB336" t="s">
        <v>74</v>
      </c>
      <c r="BC336" t="s">
        <v>74</v>
      </c>
      <c r="BD336" t="s">
        <v>6966</v>
      </c>
      <c r="BE336" t="s">
        <v>6967</v>
      </c>
      <c r="BF336" t="str">
        <f>HYPERLINK("http://dx.doi.org/10.1029/2019JD032082","http://dx.doi.org/10.1029/2019JD032082")</f>
        <v>http://dx.doi.org/10.1029/2019JD032082</v>
      </c>
      <c r="BG336" t="s">
        <v>74</v>
      </c>
      <c r="BH336" t="s">
        <v>74</v>
      </c>
      <c r="BI336">
        <v>21</v>
      </c>
      <c r="BJ336" t="s">
        <v>159</v>
      </c>
      <c r="BK336" t="s">
        <v>102</v>
      </c>
      <c r="BL336" t="s">
        <v>159</v>
      </c>
      <c r="BM336" t="s">
        <v>6968</v>
      </c>
      <c r="BN336" t="s">
        <v>74</v>
      </c>
      <c r="BO336" t="s">
        <v>1657</v>
      </c>
      <c r="BP336" t="s">
        <v>74</v>
      </c>
      <c r="BQ336" t="s">
        <v>74</v>
      </c>
      <c r="BR336" t="s">
        <v>106</v>
      </c>
      <c r="BS336" t="s">
        <v>6969</v>
      </c>
      <c r="BT336" t="str">
        <f>HYPERLINK("https%3A%2F%2Fwww.webofscience.com%2Fwos%2Fwoscc%2Ffull-record%2FWOS:000541156800022","View Full Record in Web of Science")</f>
        <v>View Full Record in Web of Science</v>
      </c>
    </row>
    <row r="337" spans="1:72" x14ac:dyDescent="0.15">
      <c r="A337" t="s">
        <v>72</v>
      </c>
      <c r="B337" t="s">
        <v>6970</v>
      </c>
      <c r="C337" t="s">
        <v>74</v>
      </c>
      <c r="D337" t="s">
        <v>74</v>
      </c>
      <c r="E337" t="s">
        <v>74</v>
      </c>
      <c r="F337" t="s">
        <v>6971</v>
      </c>
      <c r="G337" t="s">
        <v>74</v>
      </c>
      <c r="H337" t="s">
        <v>74</v>
      </c>
      <c r="I337" t="s">
        <v>6972</v>
      </c>
      <c r="J337" t="s">
        <v>1505</v>
      </c>
      <c r="K337" t="s">
        <v>74</v>
      </c>
      <c r="L337" t="s">
        <v>74</v>
      </c>
      <c r="M337" t="s">
        <v>78</v>
      </c>
      <c r="N337" t="s">
        <v>79</v>
      </c>
      <c r="O337" t="s">
        <v>74</v>
      </c>
      <c r="P337" t="s">
        <v>74</v>
      </c>
      <c r="Q337" t="s">
        <v>74</v>
      </c>
      <c r="R337" t="s">
        <v>74</v>
      </c>
      <c r="S337" t="s">
        <v>74</v>
      </c>
      <c r="T337" t="s">
        <v>6973</v>
      </c>
      <c r="U337" t="s">
        <v>6974</v>
      </c>
      <c r="V337" t="s">
        <v>6975</v>
      </c>
      <c r="W337" t="s">
        <v>6976</v>
      </c>
      <c r="X337" t="s">
        <v>6977</v>
      </c>
      <c r="Y337" t="s">
        <v>6978</v>
      </c>
      <c r="Z337" t="s">
        <v>6979</v>
      </c>
      <c r="AA337" t="s">
        <v>6980</v>
      </c>
      <c r="AB337" t="s">
        <v>6981</v>
      </c>
      <c r="AC337" t="s">
        <v>6982</v>
      </c>
      <c r="AD337" t="s">
        <v>6983</v>
      </c>
      <c r="AE337" t="s">
        <v>6984</v>
      </c>
      <c r="AF337" t="s">
        <v>74</v>
      </c>
      <c r="AG337">
        <v>31</v>
      </c>
      <c r="AH337">
        <v>66</v>
      </c>
      <c r="AI337">
        <v>73</v>
      </c>
      <c r="AJ337">
        <v>2</v>
      </c>
      <c r="AK337">
        <v>19</v>
      </c>
      <c r="AL337" t="s">
        <v>151</v>
      </c>
      <c r="AM337" t="s">
        <v>152</v>
      </c>
      <c r="AN337" t="s">
        <v>153</v>
      </c>
      <c r="AO337" t="s">
        <v>1517</v>
      </c>
      <c r="AP337" t="s">
        <v>1518</v>
      </c>
      <c r="AQ337" t="s">
        <v>74</v>
      </c>
      <c r="AR337" t="s">
        <v>1519</v>
      </c>
      <c r="AS337" t="s">
        <v>1520</v>
      </c>
      <c r="AT337" t="s">
        <v>6874</v>
      </c>
      <c r="AU337">
        <v>2020</v>
      </c>
      <c r="AV337">
        <v>47</v>
      </c>
      <c r="AW337">
        <v>11</v>
      </c>
      <c r="AX337" t="s">
        <v>74</v>
      </c>
      <c r="AY337" t="s">
        <v>74</v>
      </c>
      <c r="AZ337" t="s">
        <v>74</v>
      </c>
      <c r="BA337" t="s">
        <v>74</v>
      </c>
      <c r="BB337" t="s">
        <v>74</v>
      </c>
      <c r="BC337" t="s">
        <v>74</v>
      </c>
      <c r="BD337" t="s">
        <v>6985</v>
      </c>
      <c r="BE337" t="s">
        <v>6986</v>
      </c>
      <c r="BF337" t="str">
        <f>HYPERLINK("http://dx.doi.org/10.1029/2020GL087127","http://dx.doi.org/10.1029/2020GL087127")</f>
        <v>http://dx.doi.org/10.1029/2020GL087127</v>
      </c>
      <c r="BG337" t="s">
        <v>74</v>
      </c>
      <c r="BH337" t="s">
        <v>74</v>
      </c>
      <c r="BI337">
        <v>11</v>
      </c>
      <c r="BJ337" t="s">
        <v>471</v>
      </c>
      <c r="BK337" t="s">
        <v>102</v>
      </c>
      <c r="BL337" t="s">
        <v>472</v>
      </c>
      <c r="BM337" t="s">
        <v>6895</v>
      </c>
      <c r="BN337" t="s">
        <v>74</v>
      </c>
      <c r="BO337" t="s">
        <v>560</v>
      </c>
      <c r="BP337" t="s">
        <v>74</v>
      </c>
      <c r="BQ337" t="s">
        <v>74</v>
      </c>
      <c r="BR337" t="s">
        <v>106</v>
      </c>
      <c r="BS337" t="s">
        <v>6987</v>
      </c>
      <c r="BT337" t="str">
        <f>HYPERLINK("https%3A%2F%2Fwww.webofscience.com%2Fwos%2Fwoscc%2Ffull-record%2FWOS:000543387400016","View Full Record in Web of Science")</f>
        <v>View Full Record in Web of Science</v>
      </c>
    </row>
    <row r="338" spans="1:72" x14ac:dyDescent="0.15">
      <c r="A338" t="s">
        <v>72</v>
      </c>
      <c r="B338" t="s">
        <v>6988</v>
      </c>
      <c r="C338" t="s">
        <v>74</v>
      </c>
      <c r="D338" t="s">
        <v>74</v>
      </c>
      <c r="E338" t="s">
        <v>74</v>
      </c>
      <c r="F338" t="s">
        <v>6989</v>
      </c>
      <c r="G338" t="s">
        <v>74</v>
      </c>
      <c r="H338" t="s">
        <v>74</v>
      </c>
      <c r="I338" t="s">
        <v>6990</v>
      </c>
      <c r="J338" t="s">
        <v>1572</v>
      </c>
      <c r="K338" t="s">
        <v>74</v>
      </c>
      <c r="L338" t="s">
        <v>74</v>
      </c>
      <c r="M338" t="s">
        <v>78</v>
      </c>
      <c r="N338" t="s">
        <v>79</v>
      </c>
      <c r="O338" t="s">
        <v>74</v>
      </c>
      <c r="P338" t="s">
        <v>74</v>
      </c>
      <c r="Q338" t="s">
        <v>74</v>
      </c>
      <c r="R338" t="s">
        <v>74</v>
      </c>
      <c r="S338" t="s">
        <v>74</v>
      </c>
      <c r="T338" t="s">
        <v>6991</v>
      </c>
      <c r="U338" t="s">
        <v>6992</v>
      </c>
      <c r="V338" t="s">
        <v>6993</v>
      </c>
      <c r="W338" t="s">
        <v>6994</v>
      </c>
      <c r="X338" t="s">
        <v>6995</v>
      </c>
      <c r="Y338" t="s">
        <v>6996</v>
      </c>
      <c r="Z338" t="s">
        <v>6997</v>
      </c>
      <c r="AA338" t="s">
        <v>6998</v>
      </c>
      <c r="AB338" t="s">
        <v>6999</v>
      </c>
      <c r="AC338" t="s">
        <v>7000</v>
      </c>
      <c r="AD338" t="s">
        <v>7001</v>
      </c>
      <c r="AE338" t="s">
        <v>7002</v>
      </c>
      <c r="AF338" t="s">
        <v>74</v>
      </c>
      <c r="AG338">
        <v>79</v>
      </c>
      <c r="AH338">
        <v>10</v>
      </c>
      <c r="AI338">
        <v>10</v>
      </c>
      <c r="AJ338">
        <v>2</v>
      </c>
      <c r="AK338">
        <v>12</v>
      </c>
      <c r="AL338" t="s">
        <v>151</v>
      </c>
      <c r="AM338" t="s">
        <v>152</v>
      </c>
      <c r="AN338" t="s">
        <v>153</v>
      </c>
      <c r="AO338" t="s">
        <v>1585</v>
      </c>
      <c r="AP338" t="s">
        <v>1586</v>
      </c>
      <c r="AQ338" t="s">
        <v>74</v>
      </c>
      <c r="AR338" t="s">
        <v>1587</v>
      </c>
      <c r="AS338" t="s">
        <v>1588</v>
      </c>
      <c r="AT338" t="s">
        <v>6874</v>
      </c>
      <c r="AU338">
        <v>2020</v>
      </c>
      <c r="AV338">
        <v>125</v>
      </c>
      <c r="AW338">
        <v>11</v>
      </c>
      <c r="AX338" t="s">
        <v>74</v>
      </c>
      <c r="AY338" t="s">
        <v>74</v>
      </c>
      <c r="AZ338" t="s">
        <v>74</v>
      </c>
      <c r="BA338" t="s">
        <v>74</v>
      </c>
      <c r="BB338" t="s">
        <v>74</v>
      </c>
      <c r="BC338" t="s">
        <v>74</v>
      </c>
      <c r="BD338" t="s">
        <v>7003</v>
      </c>
      <c r="BE338" t="s">
        <v>7004</v>
      </c>
      <c r="BF338" t="str">
        <f>HYPERLINK("http://dx.doi.org/10.1029/2019JD032290","http://dx.doi.org/10.1029/2019JD032290")</f>
        <v>http://dx.doi.org/10.1029/2019JD032290</v>
      </c>
      <c r="BG338" t="s">
        <v>74</v>
      </c>
      <c r="BH338" t="s">
        <v>74</v>
      </c>
      <c r="BI338">
        <v>14</v>
      </c>
      <c r="BJ338" t="s">
        <v>159</v>
      </c>
      <c r="BK338" t="s">
        <v>102</v>
      </c>
      <c r="BL338" t="s">
        <v>159</v>
      </c>
      <c r="BM338" t="s">
        <v>6968</v>
      </c>
      <c r="BN338" t="s">
        <v>74</v>
      </c>
      <c r="BO338" t="s">
        <v>7005</v>
      </c>
      <c r="BP338" t="s">
        <v>74</v>
      </c>
      <c r="BQ338" t="s">
        <v>74</v>
      </c>
      <c r="BR338" t="s">
        <v>106</v>
      </c>
      <c r="BS338" t="s">
        <v>7006</v>
      </c>
      <c r="BT338" t="str">
        <f>HYPERLINK("https%3A%2F%2Fwww.webofscience.com%2Fwos%2Fwoscc%2Ffull-record%2FWOS:000541156800024","View Full Record in Web of Science")</f>
        <v>View Full Record in Web of Science</v>
      </c>
    </row>
    <row r="339" spans="1:72" x14ac:dyDescent="0.15">
      <c r="A339" t="s">
        <v>72</v>
      </c>
      <c r="B339" t="s">
        <v>7007</v>
      </c>
      <c r="C339" t="s">
        <v>74</v>
      </c>
      <c r="D339" t="s">
        <v>74</v>
      </c>
      <c r="E339" t="s">
        <v>74</v>
      </c>
      <c r="F339" t="s">
        <v>7008</v>
      </c>
      <c r="G339" t="s">
        <v>74</v>
      </c>
      <c r="H339" t="s">
        <v>74</v>
      </c>
      <c r="I339" t="s">
        <v>7009</v>
      </c>
      <c r="J339" t="s">
        <v>1758</v>
      </c>
      <c r="K339" t="s">
        <v>74</v>
      </c>
      <c r="L339" t="s">
        <v>74</v>
      </c>
      <c r="M339" t="s">
        <v>78</v>
      </c>
      <c r="N339" t="s">
        <v>79</v>
      </c>
      <c r="O339" t="s">
        <v>74</v>
      </c>
      <c r="P339" t="s">
        <v>74</v>
      </c>
      <c r="Q339" t="s">
        <v>74</v>
      </c>
      <c r="R339" t="s">
        <v>74</v>
      </c>
      <c r="S339" t="s">
        <v>74</v>
      </c>
      <c r="T339" t="s">
        <v>7010</v>
      </c>
      <c r="U339" t="s">
        <v>7011</v>
      </c>
      <c r="V339" t="s">
        <v>7012</v>
      </c>
      <c r="W339" t="s">
        <v>7013</v>
      </c>
      <c r="X339" t="s">
        <v>7014</v>
      </c>
      <c r="Y339" t="s">
        <v>7015</v>
      </c>
      <c r="Z339" t="s">
        <v>1836</v>
      </c>
      <c r="AA339" t="s">
        <v>7016</v>
      </c>
      <c r="AB339" t="s">
        <v>7017</v>
      </c>
      <c r="AC339" t="s">
        <v>7018</v>
      </c>
      <c r="AD339" t="s">
        <v>7019</v>
      </c>
      <c r="AE339" t="s">
        <v>7020</v>
      </c>
      <c r="AF339" t="s">
        <v>74</v>
      </c>
      <c r="AG339">
        <v>89</v>
      </c>
      <c r="AH339">
        <v>17</v>
      </c>
      <c r="AI339">
        <v>17</v>
      </c>
      <c r="AJ339">
        <v>2</v>
      </c>
      <c r="AK339">
        <v>15</v>
      </c>
      <c r="AL339" t="s">
        <v>124</v>
      </c>
      <c r="AM339" t="s">
        <v>93</v>
      </c>
      <c r="AN339" t="s">
        <v>125</v>
      </c>
      <c r="AO339" t="s">
        <v>1770</v>
      </c>
      <c r="AP339" t="s">
        <v>74</v>
      </c>
      <c r="AQ339" t="s">
        <v>74</v>
      </c>
      <c r="AR339" t="s">
        <v>1771</v>
      </c>
      <c r="AS339" t="s">
        <v>1772</v>
      </c>
      <c r="AT339" t="s">
        <v>7021</v>
      </c>
      <c r="AU339">
        <v>2020</v>
      </c>
      <c r="AV339">
        <v>8</v>
      </c>
      <c r="AW339" t="s">
        <v>74</v>
      </c>
      <c r="AX339" t="s">
        <v>74</v>
      </c>
      <c r="AY339" t="s">
        <v>74</v>
      </c>
      <c r="AZ339" t="s">
        <v>74</v>
      </c>
      <c r="BA339" t="s">
        <v>74</v>
      </c>
      <c r="BB339" t="s">
        <v>74</v>
      </c>
      <c r="BC339" t="s">
        <v>74</v>
      </c>
      <c r="BD339" t="s">
        <v>7022</v>
      </c>
      <c r="BE339" t="s">
        <v>7023</v>
      </c>
      <c r="BF339" t="str">
        <f>HYPERLINK("http://dx.doi.org/10.1093/conphys/coaa049","http://dx.doi.org/10.1093/conphys/coaa049")</f>
        <v>http://dx.doi.org/10.1093/conphys/coaa049</v>
      </c>
      <c r="BG339" t="s">
        <v>74</v>
      </c>
      <c r="BH339" t="s">
        <v>74</v>
      </c>
      <c r="BI339">
        <v>18</v>
      </c>
      <c r="BJ339" t="s">
        <v>1775</v>
      </c>
      <c r="BK339" t="s">
        <v>102</v>
      </c>
      <c r="BL339" t="s">
        <v>1776</v>
      </c>
      <c r="BM339" t="s">
        <v>7024</v>
      </c>
      <c r="BN339">
        <v>32577288</v>
      </c>
      <c r="BO339" t="s">
        <v>161</v>
      </c>
      <c r="BP339" t="s">
        <v>74</v>
      </c>
      <c r="BQ339" t="s">
        <v>74</v>
      </c>
      <c r="BR339" t="s">
        <v>106</v>
      </c>
      <c r="BS339" t="s">
        <v>7025</v>
      </c>
      <c r="BT339" t="str">
        <f>HYPERLINK("https%3A%2F%2Fwww.webofscience.com%2Fwos%2Fwoscc%2Ffull-record%2FWOS:000544736500001","View Full Record in Web of Science")</f>
        <v>View Full Record in Web of Science</v>
      </c>
    </row>
    <row r="340" spans="1:72" x14ac:dyDescent="0.15">
      <c r="A340" t="s">
        <v>72</v>
      </c>
      <c r="B340" t="s">
        <v>7026</v>
      </c>
      <c r="C340" t="s">
        <v>74</v>
      </c>
      <c r="D340" t="s">
        <v>74</v>
      </c>
      <c r="E340" t="s">
        <v>74</v>
      </c>
      <c r="F340" t="s">
        <v>7027</v>
      </c>
      <c r="G340" t="s">
        <v>74</v>
      </c>
      <c r="H340" t="s">
        <v>74</v>
      </c>
      <c r="I340" t="s">
        <v>7028</v>
      </c>
      <c r="J340" t="s">
        <v>2007</v>
      </c>
      <c r="K340" t="s">
        <v>74</v>
      </c>
      <c r="L340" t="s">
        <v>74</v>
      </c>
      <c r="M340" t="s">
        <v>78</v>
      </c>
      <c r="N340" t="s">
        <v>79</v>
      </c>
      <c r="O340" t="s">
        <v>74</v>
      </c>
      <c r="P340" t="s">
        <v>74</v>
      </c>
      <c r="Q340" t="s">
        <v>74</v>
      </c>
      <c r="R340" t="s">
        <v>74</v>
      </c>
      <c r="S340" t="s">
        <v>74</v>
      </c>
      <c r="T340" t="s">
        <v>74</v>
      </c>
      <c r="U340" t="s">
        <v>7029</v>
      </c>
      <c r="V340" t="s">
        <v>7030</v>
      </c>
      <c r="W340" t="s">
        <v>7031</v>
      </c>
      <c r="X340" t="s">
        <v>7032</v>
      </c>
      <c r="Y340" t="s">
        <v>7033</v>
      </c>
      <c r="Z340" t="s">
        <v>7034</v>
      </c>
      <c r="AA340" t="s">
        <v>7035</v>
      </c>
      <c r="AB340" t="s">
        <v>7036</v>
      </c>
      <c r="AC340" t="s">
        <v>7037</v>
      </c>
      <c r="AD340" t="s">
        <v>7038</v>
      </c>
      <c r="AE340" t="s">
        <v>7039</v>
      </c>
      <c r="AF340" t="s">
        <v>74</v>
      </c>
      <c r="AG340">
        <v>41</v>
      </c>
      <c r="AH340">
        <v>6</v>
      </c>
      <c r="AI340">
        <v>6</v>
      </c>
      <c r="AJ340">
        <v>1</v>
      </c>
      <c r="AK340">
        <v>9</v>
      </c>
      <c r="AL340" t="s">
        <v>1049</v>
      </c>
      <c r="AM340" t="s">
        <v>1050</v>
      </c>
      <c r="AN340" t="s">
        <v>1051</v>
      </c>
      <c r="AO340" t="s">
        <v>2019</v>
      </c>
      <c r="AP340" t="s">
        <v>2020</v>
      </c>
      <c r="AQ340" t="s">
        <v>74</v>
      </c>
      <c r="AR340" t="s">
        <v>2007</v>
      </c>
      <c r="AS340" t="s">
        <v>2021</v>
      </c>
      <c r="AT340" t="s">
        <v>7021</v>
      </c>
      <c r="AU340">
        <v>2020</v>
      </c>
      <c r="AV340">
        <v>14</v>
      </c>
      <c r="AW340">
        <v>6</v>
      </c>
      <c r="AX340" t="s">
        <v>74</v>
      </c>
      <c r="AY340" t="s">
        <v>74</v>
      </c>
      <c r="AZ340" t="s">
        <v>74</v>
      </c>
      <c r="BA340" t="s">
        <v>74</v>
      </c>
      <c r="BB340">
        <v>1909</v>
      </c>
      <c r="BC340">
        <v>1917</v>
      </c>
      <c r="BD340" t="s">
        <v>74</v>
      </c>
      <c r="BE340" t="s">
        <v>7040</v>
      </c>
      <c r="BF340" t="str">
        <f>HYPERLINK("http://dx.doi.org/10.5194/tc-14-1909-2020","http://dx.doi.org/10.5194/tc-14-1909-2020")</f>
        <v>http://dx.doi.org/10.5194/tc-14-1909-2020</v>
      </c>
      <c r="BG340" t="s">
        <v>74</v>
      </c>
      <c r="BH340" t="s">
        <v>74</v>
      </c>
      <c r="BI340">
        <v>9</v>
      </c>
      <c r="BJ340" t="s">
        <v>694</v>
      </c>
      <c r="BK340" t="s">
        <v>102</v>
      </c>
      <c r="BL340" t="s">
        <v>695</v>
      </c>
      <c r="BM340" t="s">
        <v>7041</v>
      </c>
      <c r="BN340" t="s">
        <v>74</v>
      </c>
      <c r="BO340" t="s">
        <v>2993</v>
      </c>
      <c r="BP340" t="s">
        <v>74</v>
      </c>
      <c r="BQ340" t="s">
        <v>74</v>
      </c>
      <c r="BR340" t="s">
        <v>106</v>
      </c>
      <c r="BS340" t="s">
        <v>7042</v>
      </c>
      <c r="BT340" t="str">
        <f>HYPERLINK("https%3A%2F%2Fwww.webofscience.com%2Fwos%2Fwoscc%2Ffull-record%2FWOS:000541796200001","View Full Record in Web of Science")</f>
        <v>View Full Record in Web of Science</v>
      </c>
    </row>
    <row r="341" spans="1:72" x14ac:dyDescent="0.15">
      <c r="A341" t="s">
        <v>72</v>
      </c>
      <c r="B341" t="s">
        <v>7043</v>
      </c>
      <c r="C341" t="s">
        <v>74</v>
      </c>
      <c r="D341" t="s">
        <v>74</v>
      </c>
      <c r="E341" t="s">
        <v>74</v>
      </c>
      <c r="F341" t="s">
        <v>7044</v>
      </c>
      <c r="G341" t="s">
        <v>74</v>
      </c>
      <c r="H341" t="s">
        <v>74</v>
      </c>
      <c r="I341" t="s">
        <v>7045</v>
      </c>
      <c r="J341" t="s">
        <v>7046</v>
      </c>
      <c r="K341" t="s">
        <v>74</v>
      </c>
      <c r="L341" t="s">
        <v>74</v>
      </c>
      <c r="M341" t="s">
        <v>78</v>
      </c>
      <c r="N341" t="s">
        <v>79</v>
      </c>
      <c r="O341" t="s">
        <v>74</v>
      </c>
      <c r="P341" t="s">
        <v>74</v>
      </c>
      <c r="Q341" t="s">
        <v>74</v>
      </c>
      <c r="R341" t="s">
        <v>74</v>
      </c>
      <c r="S341" t="s">
        <v>74</v>
      </c>
      <c r="T341" t="s">
        <v>7047</v>
      </c>
      <c r="U341" t="s">
        <v>7048</v>
      </c>
      <c r="V341" t="s">
        <v>7049</v>
      </c>
      <c r="W341" t="s">
        <v>7050</v>
      </c>
      <c r="X341" t="s">
        <v>7051</v>
      </c>
      <c r="Y341" t="s">
        <v>7052</v>
      </c>
      <c r="Z341" t="s">
        <v>7053</v>
      </c>
      <c r="AA341" t="s">
        <v>7054</v>
      </c>
      <c r="AB341" t="s">
        <v>7055</v>
      </c>
      <c r="AC341" t="s">
        <v>74</v>
      </c>
      <c r="AD341" t="s">
        <v>74</v>
      </c>
      <c r="AE341" t="s">
        <v>74</v>
      </c>
      <c r="AF341" t="s">
        <v>74</v>
      </c>
      <c r="AG341">
        <v>54</v>
      </c>
      <c r="AH341">
        <v>21</v>
      </c>
      <c r="AI341">
        <v>21</v>
      </c>
      <c r="AJ341">
        <v>2</v>
      </c>
      <c r="AK341">
        <v>15</v>
      </c>
      <c r="AL341" t="s">
        <v>994</v>
      </c>
      <c r="AM341" t="s">
        <v>995</v>
      </c>
      <c r="AN341" t="s">
        <v>996</v>
      </c>
      <c r="AO341" t="s">
        <v>7056</v>
      </c>
      <c r="AP341" t="s">
        <v>7057</v>
      </c>
      <c r="AQ341" t="s">
        <v>74</v>
      </c>
      <c r="AR341" t="s">
        <v>7058</v>
      </c>
      <c r="AS341" t="s">
        <v>7059</v>
      </c>
      <c r="AT341" t="s">
        <v>7021</v>
      </c>
      <c r="AU341">
        <v>2020</v>
      </c>
      <c r="AV341">
        <v>45</v>
      </c>
      <c r="AW341">
        <v>7</v>
      </c>
      <c r="AX341" t="s">
        <v>74</v>
      </c>
      <c r="AY341" t="s">
        <v>74</v>
      </c>
      <c r="AZ341" t="s">
        <v>74</v>
      </c>
      <c r="BA341" t="s">
        <v>74</v>
      </c>
      <c r="BB341">
        <v>1569</v>
      </c>
      <c r="BC341">
        <v>1578</v>
      </c>
      <c r="BD341" t="s">
        <v>74</v>
      </c>
      <c r="BE341" t="s">
        <v>7060</v>
      </c>
      <c r="BF341" t="str">
        <f>HYPERLINK("http://dx.doi.org/10.1002/esp.4831","http://dx.doi.org/10.1002/esp.4831")</f>
        <v>http://dx.doi.org/10.1002/esp.4831</v>
      </c>
      <c r="BG341" t="s">
        <v>74</v>
      </c>
      <c r="BH341" t="s">
        <v>74</v>
      </c>
      <c r="BI341">
        <v>10</v>
      </c>
      <c r="BJ341" t="s">
        <v>694</v>
      </c>
      <c r="BK341" t="s">
        <v>102</v>
      </c>
      <c r="BL341" t="s">
        <v>695</v>
      </c>
      <c r="BM341" t="s">
        <v>7061</v>
      </c>
      <c r="BN341" t="s">
        <v>74</v>
      </c>
      <c r="BO341" t="s">
        <v>74</v>
      </c>
      <c r="BP341" t="s">
        <v>74</v>
      </c>
      <c r="BQ341" t="s">
        <v>74</v>
      </c>
      <c r="BR341" t="s">
        <v>106</v>
      </c>
      <c r="BS341" t="s">
        <v>7062</v>
      </c>
      <c r="BT341" t="str">
        <f>HYPERLINK("https%3A%2F%2Fwww.webofscience.com%2Fwos%2Fwoscc%2Ffull-record%2FWOS:000541225100007","View Full Record in Web of Science")</f>
        <v>View Full Record in Web of Science</v>
      </c>
    </row>
    <row r="342" spans="1:72" x14ac:dyDescent="0.15">
      <c r="A342" t="s">
        <v>72</v>
      </c>
      <c r="B342" t="s">
        <v>7063</v>
      </c>
      <c r="C342" t="s">
        <v>74</v>
      </c>
      <c r="D342" t="s">
        <v>74</v>
      </c>
      <c r="E342" t="s">
        <v>74</v>
      </c>
      <c r="F342" t="s">
        <v>7064</v>
      </c>
      <c r="G342" t="s">
        <v>74</v>
      </c>
      <c r="H342" t="s">
        <v>74</v>
      </c>
      <c r="I342" t="s">
        <v>7065</v>
      </c>
      <c r="J342" t="s">
        <v>2294</v>
      </c>
      <c r="K342" t="s">
        <v>74</v>
      </c>
      <c r="L342" t="s">
        <v>74</v>
      </c>
      <c r="M342" t="s">
        <v>78</v>
      </c>
      <c r="N342" t="s">
        <v>79</v>
      </c>
      <c r="O342" t="s">
        <v>74</v>
      </c>
      <c r="P342" t="s">
        <v>74</v>
      </c>
      <c r="Q342" t="s">
        <v>74</v>
      </c>
      <c r="R342" t="s">
        <v>74</v>
      </c>
      <c r="S342" t="s">
        <v>74</v>
      </c>
      <c r="T342" t="s">
        <v>74</v>
      </c>
      <c r="U342" t="s">
        <v>7066</v>
      </c>
      <c r="V342" t="s">
        <v>7067</v>
      </c>
      <c r="W342" t="s">
        <v>7068</v>
      </c>
      <c r="X342" t="s">
        <v>7069</v>
      </c>
      <c r="Y342" t="s">
        <v>7070</v>
      </c>
      <c r="Z342" t="s">
        <v>7071</v>
      </c>
      <c r="AA342" t="s">
        <v>74</v>
      </c>
      <c r="AB342" t="s">
        <v>7072</v>
      </c>
      <c r="AC342" t="s">
        <v>7073</v>
      </c>
      <c r="AD342" t="s">
        <v>7074</v>
      </c>
      <c r="AE342" t="s">
        <v>7075</v>
      </c>
      <c r="AF342" t="s">
        <v>74</v>
      </c>
      <c r="AG342">
        <v>70</v>
      </c>
      <c r="AH342">
        <v>24</v>
      </c>
      <c r="AI342">
        <v>27</v>
      </c>
      <c r="AJ342">
        <v>2</v>
      </c>
      <c r="AK342">
        <v>27</v>
      </c>
      <c r="AL342" t="s">
        <v>994</v>
      </c>
      <c r="AM342" t="s">
        <v>995</v>
      </c>
      <c r="AN342" t="s">
        <v>996</v>
      </c>
      <c r="AO342" t="s">
        <v>2306</v>
      </c>
      <c r="AP342" t="s">
        <v>2307</v>
      </c>
      <c r="AQ342" t="s">
        <v>74</v>
      </c>
      <c r="AR342" t="s">
        <v>2308</v>
      </c>
      <c r="AS342" t="s">
        <v>2309</v>
      </c>
      <c r="AT342" t="s">
        <v>3950</v>
      </c>
      <c r="AU342">
        <v>2020</v>
      </c>
      <c r="AV342">
        <v>65</v>
      </c>
      <c r="AW342">
        <v>7</v>
      </c>
      <c r="AX342" t="s">
        <v>74</v>
      </c>
      <c r="AY342" t="s">
        <v>74</v>
      </c>
      <c r="AZ342" t="s">
        <v>74</v>
      </c>
      <c r="BA342" t="s">
        <v>74</v>
      </c>
      <c r="BB342">
        <v>1651</v>
      </c>
      <c r="BC342">
        <v>1668</v>
      </c>
      <c r="BD342" t="s">
        <v>74</v>
      </c>
      <c r="BE342" t="s">
        <v>7076</v>
      </c>
      <c r="BF342" t="str">
        <f>HYPERLINK("http://dx.doi.org/10.1002/lno.11477","http://dx.doi.org/10.1002/lno.11477")</f>
        <v>http://dx.doi.org/10.1002/lno.11477</v>
      </c>
      <c r="BG342" t="s">
        <v>74</v>
      </c>
      <c r="BH342" t="s">
        <v>5750</v>
      </c>
      <c r="BI342">
        <v>18</v>
      </c>
      <c r="BJ342" t="s">
        <v>2311</v>
      </c>
      <c r="BK342" t="s">
        <v>102</v>
      </c>
      <c r="BL342" t="s">
        <v>2312</v>
      </c>
      <c r="BM342" t="s">
        <v>7077</v>
      </c>
      <c r="BN342" t="s">
        <v>74</v>
      </c>
      <c r="BO342" t="s">
        <v>7078</v>
      </c>
      <c r="BP342" t="s">
        <v>74</v>
      </c>
      <c r="BQ342" t="s">
        <v>74</v>
      </c>
      <c r="BR342" t="s">
        <v>106</v>
      </c>
      <c r="BS342" t="s">
        <v>7079</v>
      </c>
      <c r="BT342" t="str">
        <f>HYPERLINK("https%3A%2F%2Fwww.webofscience.com%2Fwos%2Fwoscc%2Ffull-record%2FWOS:000541079700001","View Full Record in Web of Science")</f>
        <v>View Full Record in Web of Science</v>
      </c>
    </row>
    <row r="343" spans="1:72" x14ac:dyDescent="0.15">
      <c r="A343" t="s">
        <v>72</v>
      </c>
      <c r="B343" t="s">
        <v>7080</v>
      </c>
      <c r="C343" t="s">
        <v>74</v>
      </c>
      <c r="D343" t="s">
        <v>74</v>
      </c>
      <c r="E343" t="s">
        <v>74</v>
      </c>
      <c r="F343" t="s">
        <v>7081</v>
      </c>
      <c r="G343" t="s">
        <v>74</v>
      </c>
      <c r="H343" t="s">
        <v>74</v>
      </c>
      <c r="I343" t="s">
        <v>7082</v>
      </c>
      <c r="J343" t="s">
        <v>7083</v>
      </c>
      <c r="K343" t="s">
        <v>74</v>
      </c>
      <c r="L343" t="s">
        <v>74</v>
      </c>
      <c r="M343" t="s">
        <v>78</v>
      </c>
      <c r="N343" t="s">
        <v>79</v>
      </c>
      <c r="O343" t="s">
        <v>74</v>
      </c>
      <c r="P343" t="s">
        <v>74</v>
      </c>
      <c r="Q343" t="s">
        <v>74</v>
      </c>
      <c r="R343" t="s">
        <v>74</v>
      </c>
      <c r="S343" t="s">
        <v>74</v>
      </c>
      <c r="T343" t="s">
        <v>74</v>
      </c>
      <c r="U343" t="s">
        <v>7084</v>
      </c>
      <c r="V343" t="s">
        <v>7085</v>
      </c>
      <c r="W343" t="s">
        <v>7086</v>
      </c>
      <c r="X343" t="s">
        <v>7087</v>
      </c>
      <c r="Y343" t="s">
        <v>7088</v>
      </c>
      <c r="Z343" t="s">
        <v>7089</v>
      </c>
      <c r="AA343" t="s">
        <v>74</v>
      </c>
      <c r="AB343" t="s">
        <v>74</v>
      </c>
      <c r="AC343" t="s">
        <v>74</v>
      </c>
      <c r="AD343" t="s">
        <v>74</v>
      </c>
      <c r="AE343" t="s">
        <v>74</v>
      </c>
      <c r="AF343" t="s">
        <v>74</v>
      </c>
      <c r="AG343">
        <v>55</v>
      </c>
      <c r="AH343">
        <v>3</v>
      </c>
      <c r="AI343">
        <v>3</v>
      </c>
      <c r="AJ343">
        <v>1</v>
      </c>
      <c r="AK343">
        <v>9</v>
      </c>
      <c r="AL343" t="s">
        <v>1440</v>
      </c>
      <c r="AM343" t="s">
        <v>399</v>
      </c>
      <c r="AN343" t="s">
        <v>1441</v>
      </c>
      <c r="AO343" t="s">
        <v>7090</v>
      </c>
      <c r="AP343" t="s">
        <v>7091</v>
      </c>
      <c r="AQ343" t="s">
        <v>74</v>
      </c>
      <c r="AR343" t="s">
        <v>7092</v>
      </c>
      <c r="AS343" t="s">
        <v>7093</v>
      </c>
      <c r="AT343" t="s">
        <v>99</v>
      </c>
      <c r="AU343">
        <v>2020</v>
      </c>
      <c r="AV343">
        <v>22</v>
      </c>
      <c r="AW343">
        <v>6</v>
      </c>
      <c r="AX343" t="s">
        <v>74</v>
      </c>
      <c r="AY343" t="s">
        <v>74</v>
      </c>
      <c r="AZ343" t="s">
        <v>74</v>
      </c>
      <c r="BA343" t="s">
        <v>74</v>
      </c>
      <c r="BB343">
        <v>1215</v>
      </c>
      <c r="BC343">
        <v>1227</v>
      </c>
      <c r="BD343" t="s">
        <v>74</v>
      </c>
      <c r="BE343" t="s">
        <v>7094</v>
      </c>
      <c r="BF343" t="str">
        <f>HYPERLINK("http://dx.doi.org/10.1007/s10098-020-01868-1","http://dx.doi.org/10.1007/s10098-020-01868-1")</f>
        <v>http://dx.doi.org/10.1007/s10098-020-01868-1</v>
      </c>
      <c r="BG343" t="s">
        <v>74</v>
      </c>
      <c r="BH343" t="s">
        <v>5750</v>
      </c>
      <c r="BI343">
        <v>13</v>
      </c>
      <c r="BJ343" t="s">
        <v>7095</v>
      </c>
      <c r="BK343" t="s">
        <v>102</v>
      </c>
      <c r="BL343" t="s">
        <v>7096</v>
      </c>
      <c r="BM343" t="s">
        <v>7097</v>
      </c>
      <c r="BN343">
        <v>32837503</v>
      </c>
      <c r="BO343" t="s">
        <v>3733</v>
      </c>
      <c r="BP343" t="s">
        <v>74</v>
      </c>
      <c r="BQ343" t="s">
        <v>74</v>
      </c>
      <c r="BR343" t="s">
        <v>106</v>
      </c>
      <c r="BS343" t="s">
        <v>7098</v>
      </c>
      <c r="BT343" t="str">
        <f>HYPERLINK("https%3A%2F%2Fwww.webofscience.com%2Fwos%2Fwoscc%2Ffull-record%2FWOS:000540929700001","View Full Record in Web of Science")</f>
        <v>View Full Record in Web of Science</v>
      </c>
    </row>
    <row r="344" spans="1:72" x14ac:dyDescent="0.15">
      <c r="A344" t="s">
        <v>72</v>
      </c>
      <c r="B344" t="s">
        <v>7099</v>
      </c>
      <c r="C344" t="s">
        <v>74</v>
      </c>
      <c r="D344" t="s">
        <v>74</v>
      </c>
      <c r="E344" t="s">
        <v>74</v>
      </c>
      <c r="F344" t="s">
        <v>7100</v>
      </c>
      <c r="G344" t="s">
        <v>74</v>
      </c>
      <c r="H344" t="s">
        <v>74</v>
      </c>
      <c r="I344" t="s">
        <v>7101</v>
      </c>
      <c r="J344" t="s">
        <v>2785</v>
      </c>
      <c r="K344" t="s">
        <v>74</v>
      </c>
      <c r="L344" t="s">
        <v>74</v>
      </c>
      <c r="M344" t="s">
        <v>78</v>
      </c>
      <c r="N344" t="s">
        <v>79</v>
      </c>
      <c r="O344" t="s">
        <v>74</v>
      </c>
      <c r="P344" t="s">
        <v>74</v>
      </c>
      <c r="Q344" t="s">
        <v>74</v>
      </c>
      <c r="R344" t="s">
        <v>74</v>
      </c>
      <c r="S344" t="s">
        <v>74</v>
      </c>
      <c r="T344" t="s">
        <v>74</v>
      </c>
      <c r="U344" t="s">
        <v>7102</v>
      </c>
      <c r="V344" t="s">
        <v>7103</v>
      </c>
      <c r="W344" t="s">
        <v>7104</v>
      </c>
      <c r="X344" t="s">
        <v>7105</v>
      </c>
      <c r="Y344" t="s">
        <v>7106</v>
      </c>
      <c r="Z344" t="s">
        <v>7107</v>
      </c>
      <c r="AA344" t="s">
        <v>7108</v>
      </c>
      <c r="AB344" t="s">
        <v>7109</v>
      </c>
      <c r="AC344" t="s">
        <v>7110</v>
      </c>
      <c r="AD344" t="s">
        <v>7111</v>
      </c>
      <c r="AE344" t="s">
        <v>7112</v>
      </c>
      <c r="AF344" t="s">
        <v>74</v>
      </c>
      <c r="AG344">
        <v>82</v>
      </c>
      <c r="AH344">
        <v>21</v>
      </c>
      <c r="AI344">
        <v>23</v>
      </c>
      <c r="AJ344">
        <v>0</v>
      </c>
      <c r="AK344">
        <v>15</v>
      </c>
      <c r="AL344" t="s">
        <v>92</v>
      </c>
      <c r="AM344" t="s">
        <v>93</v>
      </c>
      <c r="AN344" t="s">
        <v>94</v>
      </c>
      <c r="AO344" t="s">
        <v>2797</v>
      </c>
      <c r="AP344" t="s">
        <v>74</v>
      </c>
      <c r="AQ344" t="s">
        <v>74</v>
      </c>
      <c r="AR344" t="s">
        <v>2799</v>
      </c>
      <c r="AS344" t="s">
        <v>2800</v>
      </c>
      <c r="AT344" t="s">
        <v>7021</v>
      </c>
      <c r="AU344">
        <v>2020</v>
      </c>
      <c r="AV344">
        <v>238</v>
      </c>
      <c r="AW344" t="s">
        <v>74</v>
      </c>
      <c r="AX344" t="s">
        <v>74</v>
      </c>
      <c r="AY344" t="s">
        <v>74</v>
      </c>
      <c r="AZ344" t="s">
        <v>74</v>
      </c>
      <c r="BA344" t="s">
        <v>74</v>
      </c>
      <c r="BB344" t="s">
        <v>74</v>
      </c>
      <c r="BC344" t="s">
        <v>74</v>
      </c>
      <c r="BD344">
        <v>106328</v>
      </c>
      <c r="BE344" t="s">
        <v>7113</v>
      </c>
      <c r="BF344" t="str">
        <f>HYPERLINK("http://dx.doi.org/10.1016/j.quascirev.2020.106328","http://dx.doi.org/10.1016/j.quascirev.2020.106328")</f>
        <v>http://dx.doi.org/10.1016/j.quascirev.2020.106328</v>
      </c>
      <c r="BG344" t="s">
        <v>74</v>
      </c>
      <c r="BH344" t="s">
        <v>74</v>
      </c>
      <c r="BI344">
        <v>19</v>
      </c>
      <c r="BJ344" t="s">
        <v>694</v>
      </c>
      <c r="BK344" t="s">
        <v>102</v>
      </c>
      <c r="BL344" t="s">
        <v>695</v>
      </c>
      <c r="BM344" t="s">
        <v>7114</v>
      </c>
      <c r="BN344" t="s">
        <v>74</v>
      </c>
      <c r="BO344" t="s">
        <v>74</v>
      </c>
      <c r="BP344" t="s">
        <v>74</v>
      </c>
      <c r="BQ344" t="s">
        <v>74</v>
      </c>
      <c r="BR344" t="s">
        <v>106</v>
      </c>
      <c r="BS344" t="s">
        <v>7115</v>
      </c>
      <c r="BT344" t="str">
        <f>HYPERLINK("https%3A%2F%2Fwww.webofscience.com%2Fwos%2Fwoscc%2Ffull-record%2FWOS:000537559500007","View Full Record in Web of Science")</f>
        <v>View Full Record in Web of Science</v>
      </c>
    </row>
    <row r="345" spans="1:72" x14ac:dyDescent="0.15">
      <c r="A345" t="s">
        <v>72</v>
      </c>
      <c r="B345" t="s">
        <v>7116</v>
      </c>
      <c r="C345" t="s">
        <v>74</v>
      </c>
      <c r="D345" t="s">
        <v>74</v>
      </c>
      <c r="E345" t="s">
        <v>74</v>
      </c>
      <c r="F345" t="s">
        <v>7117</v>
      </c>
      <c r="G345" t="s">
        <v>74</v>
      </c>
      <c r="H345" t="s">
        <v>74</v>
      </c>
      <c r="I345" t="s">
        <v>7118</v>
      </c>
      <c r="J345" t="s">
        <v>2785</v>
      </c>
      <c r="K345" t="s">
        <v>74</v>
      </c>
      <c r="L345" t="s">
        <v>74</v>
      </c>
      <c r="M345" t="s">
        <v>78</v>
      </c>
      <c r="N345" t="s">
        <v>79</v>
      </c>
      <c r="O345" t="s">
        <v>74</v>
      </c>
      <c r="P345" t="s">
        <v>74</v>
      </c>
      <c r="Q345" t="s">
        <v>74</v>
      </c>
      <c r="R345" t="s">
        <v>74</v>
      </c>
      <c r="S345" t="s">
        <v>74</v>
      </c>
      <c r="T345" t="s">
        <v>7119</v>
      </c>
      <c r="U345" t="s">
        <v>7120</v>
      </c>
      <c r="V345" t="s">
        <v>7121</v>
      </c>
      <c r="W345" t="s">
        <v>7122</v>
      </c>
      <c r="X345" t="s">
        <v>7123</v>
      </c>
      <c r="Y345" t="s">
        <v>7124</v>
      </c>
      <c r="Z345" t="s">
        <v>7125</v>
      </c>
      <c r="AA345" t="s">
        <v>7126</v>
      </c>
      <c r="AB345" t="s">
        <v>7127</v>
      </c>
      <c r="AC345" t="s">
        <v>7128</v>
      </c>
      <c r="AD345" t="s">
        <v>7129</v>
      </c>
      <c r="AE345" t="s">
        <v>7130</v>
      </c>
      <c r="AF345" t="s">
        <v>74</v>
      </c>
      <c r="AG345">
        <v>113</v>
      </c>
      <c r="AH345">
        <v>9</v>
      </c>
      <c r="AI345">
        <v>9</v>
      </c>
      <c r="AJ345">
        <v>0</v>
      </c>
      <c r="AK345">
        <v>10</v>
      </c>
      <c r="AL345" t="s">
        <v>92</v>
      </c>
      <c r="AM345" t="s">
        <v>93</v>
      </c>
      <c r="AN345" t="s">
        <v>94</v>
      </c>
      <c r="AO345" t="s">
        <v>2797</v>
      </c>
      <c r="AP345" t="s">
        <v>74</v>
      </c>
      <c r="AQ345" t="s">
        <v>74</v>
      </c>
      <c r="AR345" t="s">
        <v>2799</v>
      </c>
      <c r="AS345" t="s">
        <v>2800</v>
      </c>
      <c r="AT345" t="s">
        <v>7021</v>
      </c>
      <c r="AU345">
        <v>2020</v>
      </c>
      <c r="AV345">
        <v>238</v>
      </c>
      <c r="AW345" t="s">
        <v>74</v>
      </c>
      <c r="AX345" t="s">
        <v>74</v>
      </c>
      <c r="AY345" t="s">
        <v>74</v>
      </c>
      <c r="AZ345" t="s">
        <v>74</v>
      </c>
      <c r="BA345" t="s">
        <v>74</v>
      </c>
      <c r="BB345" t="s">
        <v>74</v>
      </c>
      <c r="BC345" t="s">
        <v>74</v>
      </c>
      <c r="BD345">
        <v>106314</v>
      </c>
      <c r="BE345" t="s">
        <v>7131</v>
      </c>
      <c r="BF345" t="str">
        <f>HYPERLINK("http://dx.doi.org/10.1016/j.quascirev.2020.106314","http://dx.doi.org/10.1016/j.quascirev.2020.106314")</f>
        <v>http://dx.doi.org/10.1016/j.quascirev.2020.106314</v>
      </c>
      <c r="BG345" t="s">
        <v>74</v>
      </c>
      <c r="BH345" t="s">
        <v>74</v>
      </c>
      <c r="BI345">
        <v>22</v>
      </c>
      <c r="BJ345" t="s">
        <v>694</v>
      </c>
      <c r="BK345" t="s">
        <v>102</v>
      </c>
      <c r="BL345" t="s">
        <v>695</v>
      </c>
      <c r="BM345" t="s">
        <v>7114</v>
      </c>
      <c r="BN345" t="s">
        <v>74</v>
      </c>
      <c r="BO345" t="s">
        <v>7132</v>
      </c>
      <c r="BP345" t="s">
        <v>74</v>
      </c>
      <c r="BQ345" t="s">
        <v>74</v>
      </c>
      <c r="BR345" t="s">
        <v>106</v>
      </c>
      <c r="BS345" t="s">
        <v>7133</v>
      </c>
      <c r="BT345" t="str">
        <f>HYPERLINK("https%3A%2F%2Fwww.webofscience.com%2Fwos%2Fwoscc%2Ffull-record%2FWOS:000537559500004","View Full Record in Web of Science")</f>
        <v>View Full Record in Web of Science</v>
      </c>
    </row>
    <row r="346" spans="1:72" x14ac:dyDescent="0.15">
      <c r="A346" t="s">
        <v>72</v>
      </c>
      <c r="B346" t="s">
        <v>7134</v>
      </c>
      <c r="C346" t="s">
        <v>74</v>
      </c>
      <c r="D346" t="s">
        <v>74</v>
      </c>
      <c r="E346" t="s">
        <v>74</v>
      </c>
      <c r="F346" t="s">
        <v>7135</v>
      </c>
      <c r="G346" t="s">
        <v>74</v>
      </c>
      <c r="H346" t="s">
        <v>74</v>
      </c>
      <c r="I346" t="s">
        <v>7136</v>
      </c>
      <c r="J346" t="s">
        <v>5774</v>
      </c>
      <c r="K346" t="s">
        <v>74</v>
      </c>
      <c r="L346" t="s">
        <v>74</v>
      </c>
      <c r="M346" t="s">
        <v>78</v>
      </c>
      <c r="N346" t="s">
        <v>79</v>
      </c>
      <c r="O346" t="s">
        <v>74</v>
      </c>
      <c r="P346" t="s">
        <v>74</v>
      </c>
      <c r="Q346" t="s">
        <v>74</v>
      </c>
      <c r="R346" t="s">
        <v>74</v>
      </c>
      <c r="S346" t="s">
        <v>74</v>
      </c>
      <c r="T346" t="s">
        <v>74</v>
      </c>
      <c r="U346" t="s">
        <v>7137</v>
      </c>
      <c r="V346" t="s">
        <v>7138</v>
      </c>
      <c r="W346" t="s">
        <v>7139</v>
      </c>
      <c r="X346" t="s">
        <v>7140</v>
      </c>
      <c r="Y346" t="s">
        <v>7141</v>
      </c>
      <c r="Z346" t="s">
        <v>7142</v>
      </c>
      <c r="AA346" t="s">
        <v>7143</v>
      </c>
      <c r="AB346" t="s">
        <v>7144</v>
      </c>
      <c r="AC346" t="s">
        <v>7145</v>
      </c>
      <c r="AD346" t="s">
        <v>7146</v>
      </c>
      <c r="AE346" t="s">
        <v>7147</v>
      </c>
      <c r="AF346" t="s">
        <v>74</v>
      </c>
      <c r="AG346">
        <v>53</v>
      </c>
      <c r="AH346">
        <v>40</v>
      </c>
      <c r="AI346">
        <v>47</v>
      </c>
      <c r="AJ346">
        <v>4</v>
      </c>
      <c r="AK346">
        <v>52</v>
      </c>
      <c r="AL346" t="s">
        <v>1389</v>
      </c>
      <c r="AM346" t="s">
        <v>945</v>
      </c>
      <c r="AN346" t="s">
        <v>1390</v>
      </c>
      <c r="AO346" t="s">
        <v>5782</v>
      </c>
      <c r="AP346" t="s">
        <v>5783</v>
      </c>
      <c r="AQ346" t="s">
        <v>74</v>
      </c>
      <c r="AR346" t="s">
        <v>5784</v>
      </c>
      <c r="AS346" t="s">
        <v>5785</v>
      </c>
      <c r="AT346" t="s">
        <v>3950</v>
      </c>
      <c r="AU346">
        <v>2020</v>
      </c>
      <c r="AV346">
        <v>10</v>
      </c>
      <c r="AW346">
        <v>7</v>
      </c>
      <c r="AX346" t="s">
        <v>74</v>
      </c>
      <c r="AY346" t="s">
        <v>74</v>
      </c>
      <c r="AZ346" t="s">
        <v>74</v>
      </c>
      <c r="BA346" t="s">
        <v>74</v>
      </c>
      <c r="BB346">
        <v>678</v>
      </c>
      <c r="BC346" t="s">
        <v>1244</v>
      </c>
      <c r="BD346" t="s">
        <v>74</v>
      </c>
      <c r="BE346" t="s">
        <v>7148</v>
      </c>
      <c r="BF346" t="str">
        <f>HYPERLINK("http://dx.doi.org/10.1038/s41558-020-0784-2","http://dx.doi.org/10.1038/s41558-020-0784-2")</f>
        <v>http://dx.doi.org/10.1038/s41558-020-0784-2</v>
      </c>
      <c r="BG346" t="s">
        <v>74</v>
      </c>
      <c r="BH346" t="s">
        <v>5750</v>
      </c>
      <c r="BI346">
        <v>19</v>
      </c>
      <c r="BJ346" t="s">
        <v>5787</v>
      </c>
      <c r="BK346" t="s">
        <v>925</v>
      </c>
      <c r="BL346" t="s">
        <v>2069</v>
      </c>
      <c r="BM346" t="s">
        <v>7149</v>
      </c>
      <c r="BN346" t="s">
        <v>74</v>
      </c>
      <c r="BO346" t="s">
        <v>74</v>
      </c>
      <c r="BP346" t="s">
        <v>74</v>
      </c>
      <c r="BQ346" t="s">
        <v>74</v>
      </c>
      <c r="BR346" t="s">
        <v>106</v>
      </c>
      <c r="BS346" t="s">
        <v>7150</v>
      </c>
      <c r="BT346" t="str">
        <f>HYPERLINK("https%3A%2F%2Fwww.webofscience.com%2Fwos%2Fwoscc%2Ffull-record%2FWOS:000540398100001","View Full Record in Web of Science")</f>
        <v>View Full Record in Web of Science</v>
      </c>
    </row>
    <row r="347" spans="1:72" x14ac:dyDescent="0.15">
      <c r="A347" t="s">
        <v>72</v>
      </c>
      <c r="B347" t="s">
        <v>7151</v>
      </c>
      <c r="C347" t="s">
        <v>74</v>
      </c>
      <c r="D347" t="s">
        <v>74</v>
      </c>
      <c r="E347" t="s">
        <v>74</v>
      </c>
      <c r="F347" t="s">
        <v>7152</v>
      </c>
      <c r="G347" t="s">
        <v>74</v>
      </c>
      <c r="H347" t="s">
        <v>74</v>
      </c>
      <c r="I347" t="s">
        <v>7153</v>
      </c>
      <c r="J347" t="s">
        <v>1106</v>
      </c>
      <c r="K347" t="s">
        <v>74</v>
      </c>
      <c r="L347" t="s">
        <v>74</v>
      </c>
      <c r="M347" t="s">
        <v>78</v>
      </c>
      <c r="N347" t="s">
        <v>79</v>
      </c>
      <c r="O347" t="s">
        <v>74</v>
      </c>
      <c r="P347" t="s">
        <v>74</v>
      </c>
      <c r="Q347" t="s">
        <v>74</v>
      </c>
      <c r="R347" t="s">
        <v>74</v>
      </c>
      <c r="S347" t="s">
        <v>74</v>
      </c>
      <c r="T347" t="s">
        <v>74</v>
      </c>
      <c r="U347" t="s">
        <v>7154</v>
      </c>
      <c r="V347" t="s">
        <v>7155</v>
      </c>
      <c r="W347" t="s">
        <v>7156</v>
      </c>
      <c r="X347" t="s">
        <v>7157</v>
      </c>
      <c r="Y347" t="s">
        <v>7158</v>
      </c>
      <c r="Z347" t="s">
        <v>7159</v>
      </c>
      <c r="AA347" t="s">
        <v>7160</v>
      </c>
      <c r="AB347" t="s">
        <v>7161</v>
      </c>
      <c r="AC347" t="s">
        <v>7162</v>
      </c>
      <c r="AD347" t="s">
        <v>7163</v>
      </c>
      <c r="AE347" t="s">
        <v>7164</v>
      </c>
      <c r="AF347" t="s">
        <v>74</v>
      </c>
      <c r="AG347">
        <v>51</v>
      </c>
      <c r="AH347">
        <v>10</v>
      </c>
      <c r="AI347">
        <v>10</v>
      </c>
      <c r="AJ347">
        <v>0</v>
      </c>
      <c r="AK347">
        <v>6</v>
      </c>
      <c r="AL347" t="s">
        <v>1118</v>
      </c>
      <c r="AM347" t="s">
        <v>1119</v>
      </c>
      <c r="AN347" t="s">
        <v>1120</v>
      </c>
      <c r="AO347" t="s">
        <v>1121</v>
      </c>
      <c r="AP347" t="s">
        <v>74</v>
      </c>
      <c r="AQ347" t="s">
        <v>74</v>
      </c>
      <c r="AR347" t="s">
        <v>1122</v>
      </c>
      <c r="AS347" t="s">
        <v>1123</v>
      </c>
      <c r="AT347" t="s">
        <v>7021</v>
      </c>
      <c r="AU347">
        <v>2020</v>
      </c>
      <c r="AV347">
        <v>10</v>
      </c>
      <c r="AW347">
        <v>1</v>
      </c>
      <c r="AX347" t="s">
        <v>74</v>
      </c>
      <c r="AY347" t="s">
        <v>74</v>
      </c>
      <c r="AZ347" t="s">
        <v>74</v>
      </c>
      <c r="BA347" t="s">
        <v>74</v>
      </c>
      <c r="BB347" t="s">
        <v>74</v>
      </c>
      <c r="BC347" t="s">
        <v>74</v>
      </c>
      <c r="BD347">
        <v>9677</v>
      </c>
      <c r="BE347" t="s">
        <v>7165</v>
      </c>
      <c r="BF347" t="str">
        <f>HYPERLINK("http://dx.doi.org/10.1038/s41598-020-66601-w","http://dx.doi.org/10.1038/s41598-020-66601-w")</f>
        <v>http://dx.doi.org/10.1038/s41598-020-66601-w</v>
      </c>
      <c r="BG347" t="s">
        <v>74</v>
      </c>
      <c r="BH347" t="s">
        <v>74</v>
      </c>
      <c r="BI347">
        <v>13</v>
      </c>
      <c r="BJ347" t="s">
        <v>1125</v>
      </c>
      <c r="BK347" t="s">
        <v>102</v>
      </c>
      <c r="BL347" t="s">
        <v>1126</v>
      </c>
      <c r="BM347" t="s">
        <v>7166</v>
      </c>
      <c r="BN347">
        <v>32541862</v>
      </c>
      <c r="BO347" t="s">
        <v>2956</v>
      </c>
      <c r="BP347" t="s">
        <v>74</v>
      </c>
      <c r="BQ347" t="s">
        <v>74</v>
      </c>
      <c r="BR347" t="s">
        <v>106</v>
      </c>
      <c r="BS347" t="s">
        <v>7167</v>
      </c>
      <c r="BT347" t="str">
        <f>HYPERLINK("https%3A%2F%2Fwww.webofscience.com%2Fwos%2Fwoscc%2Ffull-record%2FWOS:000544937400020","View Full Record in Web of Science")</f>
        <v>View Full Record in Web of Science</v>
      </c>
    </row>
    <row r="348" spans="1:72" x14ac:dyDescent="0.15">
      <c r="A348" t="s">
        <v>72</v>
      </c>
      <c r="B348" t="s">
        <v>7168</v>
      </c>
      <c r="C348" t="s">
        <v>74</v>
      </c>
      <c r="D348" t="s">
        <v>74</v>
      </c>
      <c r="E348" t="s">
        <v>74</v>
      </c>
      <c r="F348" t="s">
        <v>7169</v>
      </c>
      <c r="G348" t="s">
        <v>74</v>
      </c>
      <c r="H348" t="s">
        <v>74</v>
      </c>
      <c r="I348" t="s">
        <v>7170</v>
      </c>
      <c r="J348" t="s">
        <v>299</v>
      </c>
      <c r="K348" t="s">
        <v>74</v>
      </c>
      <c r="L348" t="s">
        <v>74</v>
      </c>
      <c r="M348" t="s">
        <v>78</v>
      </c>
      <c r="N348" t="s">
        <v>79</v>
      </c>
      <c r="O348" t="s">
        <v>74</v>
      </c>
      <c r="P348" t="s">
        <v>74</v>
      </c>
      <c r="Q348" t="s">
        <v>74</v>
      </c>
      <c r="R348" t="s">
        <v>74</v>
      </c>
      <c r="S348" t="s">
        <v>74</v>
      </c>
      <c r="T348" t="s">
        <v>7171</v>
      </c>
      <c r="U348" t="s">
        <v>7172</v>
      </c>
      <c r="V348" t="s">
        <v>7173</v>
      </c>
      <c r="W348" t="s">
        <v>7174</v>
      </c>
      <c r="X348" t="s">
        <v>7175</v>
      </c>
      <c r="Y348" t="s">
        <v>7176</v>
      </c>
      <c r="Z348" t="s">
        <v>7177</v>
      </c>
      <c r="AA348" t="s">
        <v>7178</v>
      </c>
      <c r="AB348" t="s">
        <v>7179</v>
      </c>
      <c r="AC348" t="s">
        <v>7180</v>
      </c>
      <c r="AD348" t="s">
        <v>7181</v>
      </c>
      <c r="AE348" t="s">
        <v>7182</v>
      </c>
      <c r="AF348" t="s">
        <v>74</v>
      </c>
      <c r="AG348">
        <v>44</v>
      </c>
      <c r="AH348">
        <v>23</v>
      </c>
      <c r="AI348">
        <v>23</v>
      </c>
      <c r="AJ348">
        <v>5</v>
      </c>
      <c r="AK348">
        <v>43</v>
      </c>
      <c r="AL348" t="s">
        <v>284</v>
      </c>
      <c r="AM348" t="s">
        <v>285</v>
      </c>
      <c r="AN348" t="s">
        <v>286</v>
      </c>
      <c r="AO348" t="s">
        <v>312</v>
      </c>
      <c r="AP348" t="s">
        <v>313</v>
      </c>
      <c r="AQ348" t="s">
        <v>74</v>
      </c>
      <c r="AR348" t="s">
        <v>314</v>
      </c>
      <c r="AS348" t="s">
        <v>315</v>
      </c>
      <c r="AT348" t="s">
        <v>7021</v>
      </c>
      <c r="AU348">
        <v>2020</v>
      </c>
      <c r="AV348">
        <v>721</v>
      </c>
      <c r="AW348" t="s">
        <v>74</v>
      </c>
      <c r="AX348" t="s">
        <v>74</v>
      </c>
      <c r="AY348" t="s">
        <v>74</v>
      </c>
      <c r="AZ348" t="s">
        <v>74</v>
      </c>
      <c r="BA348" t="s">
        <v>74</v>
      </c>
      <c r="BB348" t="s">
        <v>74</v>
      </c>
      <c r="BC348" t="s">
        <v>74</v>
      </c>
      <c r="BD348">
        <v>137702</v>
      </c>
      <c r="BE348" t="s">
        <v>7183</v>
      </c>
      <c r="BF348" t="str">
        <f>HYPERLINK("http://dx.doi.org/10.1016/j.scitotenv.2020.137702","http://dx.doi.org/10.1016/j.scitotenv.2020.137702")</f>
        <v>http://dx.doi.org/10.1016/j.scitotenv.2020.137702</v>
      </c>
      <c r="BG348" t="s">
        <v>74</v>
      </c>
      <c r="BH348" t="s">
        <v>74</v>
      </c>
      <c r="BI348">
        <v>7</v>
      </c>
      <c r="BJ348" t="s">
        <v>101</v>
      </c>
      <c r="BK348" t="s">
        <v>102</v>
      </c>
      <c r="BL348" t="s">
        <v>103</v>
      </c>
      <c r="BM348" t="s">
        <v>7184</v>
      </c>
      <c r="BN348">
        <v>32169645</v>
      </c>
      <c r="BO348" t="s">
        <v>74</v>
      </c>
      <c r="BP348" t="s">
        <v>74</v>
      </c>
      <c r="BQ348" t="s">
        <v>74</v>
      </c>
      <c r="BR348" t="s">
        <v>106</v>
      </c>
      <c r="BS348" t="s">
        <v>7185</v>
      </c>
      <c r="BT348" t="str">
        <f>HYPERLINK("https%3A%2F%2Fwww.webofscience.com%2Fwos%2Fwoscc%2Ffull-record%2FWOS:000535720100010","View Full Record in Web of Science")</f>
        <v>View Full Record in Web of Science</v>
      </c>
    </row>
    <row r="349" spans="1:72" x14ac:dyDescent="0.15">
      <c r="A349" t="s">
        <v>72</v>
      </c>
      <c r="B349" t="s">
        <v>7186</v>
      </c>
      <c r="C349" t="s">
        <v>74</v>
      </c>
      <c r="D349" t="s">
        <v>74</v>
      </c>
      <c r="E349" t="s">
        <v>74</v>
      </c>
      <c r="F349" t="s">
        <v>7187</v>
      </c>
      <c r="G349" t="s">
        <v>74</v>
      </c>
      <c r="H349" t="s">
        <v>74</v>
      </c>
      <c r="I349" t="s">
        <v>7188</v>
      </c>
      <c r="J349" t="s">
        <v>7189</v>
      </c>
      <c r="K349" t="s">
        <v>74</v>
      </c>
      <c r="L349" t="s">
        <v>74</v>
      </c>
      <c r="M349" t="s">
        <v>78</v>
      </c>
      <c r="N349" t="s">
        <v>245</v>
      </c>
      <c r="O349" t="s">
        <v>74</v>
      </c>
      <c r="P349" t="s">
        <v>74</v>
      </c>
      <c r="Q349" t="s">
        <v>74</v>
      </c>
      <c r="R349" t="s">
        <v>74</v>
      </c>
      <c r="S349" t="s">
        <v>74</v>
      </c>
      <c r="T349" t="s">
        <v>7190</v>
      </c>
      <c r="U349" t="s">
        <v>7191</v>
      </c>
      <c r="V349" t="s">
        <v>7192</v>
      </c>
      <c r="W349" t="s">
        <v>7193</v>
      </c>
      <c r="X349" t="s">
        <v>7194</v>
      </c>
      <c r="Y349" t="s">
        <v>7195</v>
      </c>
      <c r="Z349" t="s">
        <v>7196</v>
      </c>
      <c r="AA349" t="s">
        <v>74</v>
      </c>
      <c r="AB349" t="s">
        <v>74</v>
      </c>
      <c r="AC349" t="s">
        <v>7197</v>
      </c>
      <c r="AD349" t="s">
        <v>7198</v>
      </c>
      <c r="AE349" t="s">
        <v>7199</v>
      </c>
      <c r="AF349" t="s">
        <v>74</v>
      </c>
      <c r="AG349">
        <v>254</v>
      </c>
      <c r="AH349">
        <v>65</v>
      </c>
      <c r="AI349">
        <v>71</v>
      </c>
      <c r="AJ349">
        <v>42</v>
      </c>
      <c r="AK349">
        <v>239</v>
      </c>
      <c r="AL349" t="s">
        <v>284</v>
      </c>
      <c r="AM349" t="s">
        <v>285</v>
      </c>
      <c r="AN349" t="s">
        <v>713</v>
      </c>
      <c r="AO349" t="s">
        <v>7200</v>
      </c>
      <c r="AP349" t="s">
        <v>7201</v>
      </c>
      <c r="AQ349" t="s">
        <v>74</v>
      </c>
      <c r="AR349" t="s">
        <v>7202</v>
      </c>
      <c r="AS349" t="s">
        <v>7203</v>
      </c>
      <c r="AT349" t="s">
        <v>7021</v>
      </c>
      <c r="AU349">
        <v>2020</v>
      </c>
      <c r="AV349">
        <v>153</v>
      </c>
      <c r="AW349" t="s">
        <v>74</v>
      </c>
      <c r="AX349" t="s">
        <v>74</v>
      </c>
      <c r="AY349" t="s">
        <v>74</v>
      </c>
      <c r="AZ349" t="s">
        <v>74</v>
      </c>
      <c r="BA349" t="s">
        <v>74</v>
      </c>
      <c r="BB349">
        <v>661</v>
      </c>
      <c r="BC349">
        <v>675</v>
      </c>
      <c r="BD349" t="s">
        <v>74</v>
      </c>
      <c r="BE349" t="s">
        <v>7204</v>
      </c>
      <c r="BF349" t="str">
        <f>HYPERLINK("http://dx.doi.org/10.1016/j.ijbiomac.2020.03.040","http://dx.doi.org/10.1016/j.ijbiomac.2020.03.040")</f>
        <v>http://dx.doi.org/10.1016/j.ijbiomac.2020.03.040</v>
      </c>
      <c r="BG349" t="s">
        <v>74</v>
      </c>
      <c r="BH349" t="s">
        <v>74</v>
      </c>
      <c r="BI349">
        <v>15</v>
      </c>
      <c r="BJ349" t="s">
        <v>7205</v>
      </c>
      <c r="BK349" t="s">
        <v>102</v>
      </c>
      <c r="BL349" t="s">
        <v>7206</v>
      </c>
      <c r="BM349" t="s">
        <v>7207</v>
      </c>
      <c r="BN349">
        <v>32156540</v>
      </c>
      <c r="BO349" t="s">
        <v>74</v>
      </c>
      <c r="BP349" t="s">
        <v>74</v>
      </c>
      <c r="BQ349" t="s">
        <v>74</v>
      </c>
      <c r="BR349" t="s">
        <v>106</v>
      </c>
      <c r="BS349" t="s">
        <v>7208</v>
      </c>
      <c r="BT349" t="str">
        <f>HYPERLINK("https%3A%2F%2Fwww.webofscience.com%2Fwos%2Fwoscc%2Ffull-record%2FWOS:000531080800068","View Full Record in Web of Science")</f>
        <v>View Full Record in Web of Science</v>
      </c>
    </row>
    <row r="350" spans="1:72" x14ac:dyDescent="0.15">
      <c r="A350" t="s">
        <v>72</v>
      </c>
      <c r="B350" t="s">
        <v>7209</v>
      </c>
      <c r="C350" t="s">
        <v>74</v>
      </c>
      <c r="D350" t="s">
        <v>74</v>
      </c>
      <c r="E350" t="s">
        <v>74</v>
      </c>
      <c r="F350" t="s">
        <v>7210</v>
      </c>
      <c r="G350" t="s">
        <v>74</v>
      </c>
      <c r="H350" t="s">
        <v>74</v>
      </c>
      <c r="I350" t="s">
        <v>7211</v>
      </c>
      <c r="J350" t="s">
        <v>7212</v>
      </c>
      <c r="K350" t="s">
        <v>74</v>
      </c>
      <c r="L350" t="s">
        <v>74</v>
      </c>
      <c r="M350" t="s">
        <v>78</v>
      </c>
      <c r="N350" t="s">
        <v>79</v>
      </c>
      <c r="O350" t="s">
        <v>74</v>
      </c>
      <c r="P350" t="s">
        <v>74</v>
      </c>
      <c r="Q350" t="s">
        <v>74</v>
      </c>
      <c r="R350" t="s">
        <v>74</v>
      </c>
      <c r="S350" t="s">
        <v>74</v>
      </c>
      <c r="T350" t="s">
        <v>7213</v>
      </c>
      <c r="U350" t="s">
        <v>7214</v>
      </c>
      <c r="V350" t="s">
        <v>7215</v>
      </c>
      <c r="W350" t="s">
        <v>7216</v>
      </c>
      <c r="X350" t="s">
        <v>7217</v>
      </c>
      <c r="Y350" t="s">
        <v>7218</v>
      </c>
      <c r="Z350" t="s">
        <v>7219</v>
      </c>
      <c r="AA350" t="s">
        <v>7220</v>
      </c>
      <c r="AB350" t="s">
        <v>7221</v>
      </c>
      <c r="AC350" t="s">
        <v>7222</v>
      </c>
      <c r="AD350" t="s">
        <v>7223</v>
      </c>
      <c r="AE350" t="s">
        <v>7224</v>
      </c>
      <c r="AF350" t="s">
        <v>74</v>
      </c>
      <c r="AG350">
        <v>106</v>
      </c>
      <c r="AH350">
        <v>16</v>
      </c>
      <c r="AI350">
        <v>16</v>
      </c>
      <c r="AJ350">
        <v>0</v>
      </c>
      <c r="AK350">
        <v>8</v>
      </c>
      <c r="AL350" t="s">
        <v>284</v>
      </c>
      <c r="AM350" t="s">
        <v>285</v>
      </c>
      <c r="AN350" t="s">
        <v>286</v>
      </c>
      <c r="AO350" t="s">
        <v>7225</v>
      </c>
      <c r="AP350" t="s">
        <v>7226</v>
      </c>
      <c r="AQ350" t="s">
        <v>74</v>
      </c>
      <c r="AR350" t="s">
        <v>7227</v>
      </c>
      <c r="AS350" t="s">
        <v>7228</v>
      </c>
      <c r="AT350" t="s">
        <v>7021</v>
      </c>
      <c r="AU350">
        <v>2020</v>
      </c>
      <c r="AV350">
        <v>342</v>
      </c>
      <c r="AW350" t="s">
        <v>74</v>
      </c>
      <c r="AX350" t="s">
        <v>74</v>
      </c>
      <c r="AY350" t="s">
        <v>74</v>
      </c>
      <c r="AZ350" t="s">
        <v>74</v>
      </c>
      <c r="BA350" t="s">
        <v>74</v>
      </c>
      <c r="BB350" t="s">
        <v>74</v>
      </c>
      <c r="BC350" t="s">
        <v>74</v>
      </c>
      <c r="BD350">
        <v>105553</v>
      </c>
      <c r="BE350" t="s">
        <v>7229</v>
      </c>
      <c r="BF350" t="str">
        <f>HYPERLINK("http://dx.doi.org/10.1016/j.precamres.2019.105553","http://dx.doi.org/10.1016/j.precamres.2019.105553")</f>
        <v>http://dx.doi.org/10.1016/j.precamres.2019.105553</v>
      </c>
      <c r="BG350" t="s">
        <v>74</v>
      </c>
      <c r="BH350" t="s">
        <v>74</v>
      </c>
      <c r="BI350">
        <v>20</v>
      </c>
      <c r="BJ350" t="s">
        <v>471</v>
      </c>
      <c r="BK350" t="s">
        <v>102</v>
      </c>
      <c r="BL350" t="s">
        <v>472</v>
      </c>
      <c r="BM350" t="s">
        <v>7230</v>
      </c>
      <c r="BN350" t="s">
        <v>74</v>
      </c>
      <c r="BO350" t="s">
        <v>74</v>
      </c>
      <c r="BP350" t="s">
        <v>74</v>
      </c>
      <c r="BQ350" t="s">
        <v>74</v>
      </c>
      <c r="BR350" t="s">
        <v>106</v>
      </c>
      <c r="BS350" t="s">
        <v>7231</v>
      </c>
      <c r="BT350" t="str">
        <f>HYPERLINK("https%3A%2F%2Fwww.webofscience.com%2Fwos%2Fwoscc%2Ffull-record%2FWOS:000528208200002","View Full Record in Web of Science")</f>
        <v>View Full Record in Web of Science</v>
      </c>
    </row>
    <row r="351" spans="1:72" x14ac:dyDescent="0.15">
      <c r="A351" t="s">
        <v>72</v>
      </c>
      <c r="B351" t="s">
        <v>7232</v>
      </c>
      <c r="C351" t="s">
        <v>74</v>
      </c>
      <c r="D351" t="s">
        <v>74</v>
      </c>
      <c r="E351" t="s">
        <v>74</v>
      </c>
      <c r="F351" t="s">
        <v>7233</v>
      </c>
      <c r="G351" t="s">
        <v>74</v>
      </c>
      <c r="H351" t="s">
        <v>74</v>
      </c>
      <c r="I351" t="s">
        <v>7234</v>
      </c>
      <c r="J351" t="s">
        <v>1911</v>
      </c>
      <c r="K351" t="s">
        <v>74</v>
      </c>
      <c r="L351" t="s">
        <v>74</v>
      </c>
      <c r="M351" t="s">
        <v>78</v>
      </c>
      <c r="N351" t="s">
        <v>79</v>
      </c>
      <c r="O351" t="s">
        <v>74</v>
      </c>
      <c r="P351" t="s">
        <v>74</v>
      </c>
      <c r="Q351" t="s">
        <v>74</v>
      </c>
      <c r="R351" t="s">
        <v>74</v>
      </c>
      <c r="S351" t="s">
        <v>74</v>
      </c>
      <c r="T351" t="s">
        <v>7235</v>
      </c>
      <c r="U351" t="s">
        <v>7236</v>
      </c>
      <c r="V351" t="s">
        <v>7237</v>
      </c>
      <c r="W351" t="s">
        <v>7238</v>
      </c>
      <c r="X351" t="s">
        <v>7239</v>
      </c>
      <c r="Y351" t="s">
        <v>7240</v>
      </c>
      <c r="Z351" t="s">
        <v>7241</v>
      </c>
      <c r="AA351" t="s">
        <v>7242</v>
      </c>
      <c r="AB351" t="s">
        <v>7243</v>
      </c>
      <c r="AC351" t="s">
        <v>7244</v>
      </c>
      <c r="AD351" t="s">
        <v>7245</v>
      </c>
      <c r="AE351" t="s">
        <v>7246</v>
      </c>
      <c r="AF351" t="s">
        <v>74</v>
      </c>
      <c r="AG351">
        <v>84</v>
      </c>
      <c r="AH351">
        <v>17</v>
      </c>
      <c r="AI351">
        <v>17</v>
      </c>
      <c r="AJ351">
        <v>4</v>
      </c>
      <c r="AK351">
        <v>31</v>
      </c>
      <c r="AL351" t="s">
        <v>1924</v>
      </c>
      <c r="AM351" t="s">
        <v>1925</v>
      </c>
      <c r="AN351" t="s">
        <v>1926</v>
      </c>
      <c r="AO351" t="s">
        <v>1927</v>
      </c>
      <c r="AP351" t="s">
        <v>1928</v>
      </c>
      <c r="AQ351" t="s">
        <v>74</v>
      </c>
      <c r="AR351" t="s">
        <v>1911</v>
      </c>
      <c r="AS351" t="s">
        <v>1929</v>
      </c>
      <c r="AT351" t="s">
        <v>3950</v>
      </c>
      <c r="AU351">
        <v>2020</v>
      </c>
      <c r="AV351">
        <v>24</v>
      </c>
      <c r="AW351">
        <v>4</v>
      </c>
      <c r="AX351" t="s">
        <v>74</v>
      </c>
      <c r="AY351" t="s">
        <v>74</v>
      </c>
      <c r="AZ351" t="s">
        <v>74</v>
      </c>
      <c r="BA351" t="s">
        <v>74</v>
      </c>
      <c r="BB351">
        <v>637</v>
      </c>
      <c r="BC351">
        <v>655</v>
      </c>
      <c r="BD351" t="s">
        <v>74</v>
      </c>
      <c r="BE351" t="s">
        <v>7247</v>
      </c>
      <c r="BF351" t="str">
        <f>HYPERLINK("http://dx.doi.org/10.1007/s00792-020-01183-z","http://dx.doi.org/10.1007/s00792-020-01183-z")</f>
        <v>http://dx.doi.org/10.1007/s00792-020-01183-z</v>
      </c>
      <c r="BG351" t="s">
        <v>74</v>
      </c>
      <c r="BH351" t="s">
        <v>5750</v>
      </c>
      <c r="BI351">
        <v>19</v>
      </c>
      <c r="BJ351" t="s">
        <v>1932</v>
      </c>
      <c r="BK351" t="s">
        <v>102</v>
      </c>
      <c r="BL351" t="s">
        <v>1932</v>
      </c>
      <c r="BM351" t="s">
        <v>7248</v>
      </c>
      <c r="BN351">
        <v>32533308</v>
      </c>
      <c r="BO351" t="s">
        <v>74</v>
      </c>
      <c r="BP351" t="s">
        <v>74</v>
      </c>
      <c r="BQ351" t="s">
        <v>74</v>
      </c>
      <c r="BR351" t="s">
        <v>106</v>
      </c>
      <c r="BS351" t="s">
        <v>7249</v>
      </c>
      <c r="BT351" t="str">
        <f>HYPERLINK("https%3A%2F%2Fwww.webofscience.com%2Fwos%2Fwoscc%2Ffull-record%2FWOS:000539922300001","View Full Record in Web of Science")</f>
        <v>View Full Record in Web of Science</v>
      </c>
    </row>
    <row r="352" spans="1:72" x14ac:dyDescent="0.15">
      <c r="A352" t="s">
        <v>72</v>
      </c>
      <c r="B352" t="s">
        <v>7250</v>
      </c>
      <c r="C352" t="s">
        <v>74</v>
      </c>
      <c r="D352" t="s">
        <v>74</v>
      </c>
      <c r="E352" t="s">
        <v>74</v>
      </c>
      <c r="F352" t="s">
        <v>7251</v>
      </c>
      <c r="G352" t="s">
        <v>74</v>
      </c>
      <c r="H352" t="s">
        <v>74</v>
      </c>
      <c r="I352" t="s">
        <v>7252</v>
      </c>
      <c r="J352" t="s">
        <v>1783</v>
      </c>
      <c r="K352" t="s">
        <v>74</v>
      </c>
      <c r="L352" t="s">
        <v>74</v>
      </c>
      <c r="M352" t="s">
        <v>78</v>
      </c>
      <c r="N352" t="s">
        <v>79</v>
      </c>
      <c r="O352" t="s">
        <v>74</v>
      </c>
      <c r="P352" t="s">
        <v>74</v>
      </c>
      <c r="Q352" t="s">
        <v>74</v>
      </c>
      <c r="R352" t="s">
        <v>74</v>
      </c>
      <c r="S352" t="s">
        <v>74</v>
      </c>
      <c r="T352" t="s">
        <v>7253</v>
      </c>
      <c r="U352" t="s">
        <v>7254</v>
      </c>
      <c r="V352" t="s">
        <v>7255</v>
      </c>
      <c r="W352" t="s">
        <v>7256</v>
      </c>
      <c r="X352" t="s">
        <v>7257</v>
      </c>
      <c r="Y352" t="s">
        <v>7258</v>
      </c>
      <c r="Z352" t="s">
        <v>7259</v>
      </c>
      <c r="AA352" t="s">
        <v>7260</v>
      </c>
      <c r="AB352" t="s">
        <v>7261</v>
      </c>
      <c r="AC352" t="s">
        <v>7262</v>
      </c>
      <c r="AD352" t="s">
        <v>7263</v>
      </c>
      <c r="AE352" t="s">
        <v>7264</v>
      </c>
      <c r="AF352" t="s">
        <v>74</v>
      </c>
      <c r="AG352">
        <v>62</v>
      </c>
      <c r="AH352">
        <v>0</v>
      </c>
      <c r="AI352">
        <v>0</v>
      </c>
      <c r="AJ352">
        <v>1</v>
      </c>
      <c r="AK352">
        <v>29</v>
      </c>
      <c r="AL352" t="s">
        <v>1440</v>
      </c>
      <c r="AM352" t="s">
        <v>399</v>
      </c>
      <c r="AN352" t="s">
        <v>1441</v>
      </c>
      <c r="AO352" t="s">
        <v>1796</v>
      </c>
      <c r="AP352" t="s">
        <v>1797</v>
      </c>
      <c r="AQ352" t="s">
        <v>74</v>
      </c>
      <c r="AR352" t="s">
        <v>1798</v>
      </c>
      <c r="AS352" t="s">
        <v>1799</v>
      </c>
      <c r="AT352" t="s">
        <v>3950</v>
      </c>
      <c r="AU352">
        <v>2020</v>
      </c>
      <c r="AV352">
        <v>43</v>
      </c>
      <c r="AW352">
        <v>7</v>
      </c>
      <c r="AX352" t="s">
        <v>74</v>
      </c>
      <c r="AY352" t="s">
        <v>74</v>
      </c>
      <c r="AZ352" t="s">
        <v>74</v>
      </c>
      <c r="BA352" t="s">
        <v>74</v>
      </c>
      <c r="BB352">
        <v>851</v>
      </c>
      <c r="BC352">
        <v>859</v>
      </c>
      <c r="BD352" t="s">
        <v>74</v>
      </c>
      <c r="BE352" t="s">
        <v>7265</v>
      </c>
      <c r="BF352" t="str">
        <f>HYPERLINK("http://dx.doi.org/10.1007/s00300-020-02692-5","http://dx.doi.org/10.1007/s00300-020-02692-5")</f>
        <v>http://dx.doi.org/10.1007/s00300-020-02692-5</v>
      </c>
      <c r="BG352" t="s">
        <v>74</v>
      </c>
      <c r="BH352" t="s">
        <v>5750</v>
      </c>
      <c r="BI352">
        <v>9</v>
      </c>
      <c r="BJ352" t="s">
        <v>1004</v>
      </c>
      <c r="BK352" t="s">
        <v>102</v>
      </c>
      <c r="BL352" t="s">
        <v>1005</v>
      </c>
      <c r="BM352" t="s">
        <v>6677</v>
      </c>
      <c r="BN352" t="s">
        <v>74</v>
      </c>
      <c r="BO352" t="s">
        <v>74</v>
      </c>
      <c r="BP352" t="s">
        <v>74</v>
      </c>
      <c r="BQ352" t="s">
        <v>74</v>
      </c>
      <c r="BR352" t="s">
        <v>106</v>
      </c>
      <c r="BS352" t="s">
        <v>7266</v>
      </c>
      <c r="BT352" t="str">
        <f>HYPERLINK("https%3A%2F%2Fwww.webofscience.com%2Fwos%2Fwoscc%2Ffull-record%2FWOS:000539927900002","View Full Record in Web of Science")</f>
        <v>View Full Record in Web of Science</v>
      </c>
    </row>
    <row r="353" spans="1:72" x14ac:dyDescent="0.15">
      <c r="A353" t="s">
        <v>72</v>
      </c>
      <c r="B353" t="s">
        <v>7267</v>
      </c>
      <c r="C353" t="s">
        <v>74</v>
      </c>
      <c r="D353" t="s">
        <v>74</v>
      </c>
      <c r="E353" t="s">
        <v>74</v>
      </c>
      <c r="F353" t="s">
        <v>7268</v>
      </c>
      <c r="G353" t="s">
        <v>74</v>
      </c>
      <c r="H353" t="s">
        <v>74</v>
      </c>
      <c r="I353" t="s">
        <v>7269</v>
      </c>
      <c r="J353" t="s">
        <v>6606</v>
      </c>
      <c r="K353" t="s">
        <v>74</v>
      </c>
      <c r="L353" t="s">
        <v>74</v>
      </c>
      <c r="M353" t="s">
        <v>78</v>
      </c>
      <c r="N353" t="s">
        <v>79</v>
      </c>
      <c r="O353" t="s">
        <v>74</v>
      </c>
      <c r="P353" t="s">
        <v>74</v>
      </c>
      <c r="Q353" t="s">
        <v>74</v>
      </c>
      <c r="R353" t="s">
        <v>74</v>
      </c>
      <c r="S353" t="s">
        <v>74</v>
      </c>
      <c r="T353" t="s">
        <v>74</v>
      </c>
      <c r="U353" t="s">
        <v>7270</v>
      </c>
      <c r="V353" t="s">
        <v>7271</v>
      </c>
      <c r="W353" t="s">
        <v>7272</v>
      </c>
      <c r="X353" t="s">
        <v>7273</v>
      </c>
      <c r="Y353" t="s">
        <v>7274</v>
      </c>
      <c r="Z353" t="s">
        <v>7275</v>
      </c>
      <c r="AA353" t="s">
        <v>7276</v>
      </c>
      <c r="AB353" t="s">
        <v>7277</v>
      </c>
      <c r="AC353" t="s">
        <v>7278</v>
      </c>
      <c r="AD353" t="s">
        <v>7279</v>
      </c>
      <c r="AE353" t="s">
        <v>7280</v>
      </c>
      <c r="AF353" t="s">
        <v>74</v>
      </c>
      <c r="AG353">
        <v>96</v>
      </c>
      <c r="AH353">
        <v>249</v>
      </c>
      <c r="AI353">
        <v>291</v>
      </c>
      <c r="AJ353">
        <v>12</v>
      </c>
      <c r="AK353">
        <v>153</v>
      </c>
      <c r="AL353" t="s">
        <v>6607</v>
      </c>
      <c r="AM353" t="s">
        <v>152</v>
      </c>
      <c r="AN353" t="s">
        <v>6608</v>
      </c>
      <c r="AO353" t="s">
        <v>6609</v>
      </c>
      <c r="AP353" t="s">
        <v>6610</v>
      </c>
      <c r="AQ353" t="s">
        <v>74</v>
      </c>
      <c r="AR353" t="s">
        <v>6606</v>
      </c>
      <c r="AS353" t="s">
        <v>6611</v>
      </c>
      <c r="AT353" t="s">
        <v>7281</v>
      </c>
      <c r="AU353">
        <v>2020</v>
      </c>
      <c r="AV353">
        <v>368</v>
      </c>
      <c r="AW353">
        <v>6496</v>
      </c>
      <c r="AX353" t="s">
        <v>74</v>
      </c>
      <c r="AY353" t="s">
        <v>74</v>
      </c>
      <c r="AZ353" t="s">
        <v>74</v>
      </c>
      <c r="BA353" t="s">
        <v>74</v>
      </c>
      <c r="BB353">
        <v>1239</v>
      </c>
      <c r="BC353" t="s">
        <v>1244</v>
      </c>
      <c r="BD353" t="s">
        <v>74</v>
      </c>
      <c r="BE353" t="s">
        <v>7282</v>
      </c>
      <c r="BF353" t="str">
        <f>HYPERLINK("http://dx.doi.org/10.1126/science.aaz5845","http://dx.doi.org/10.1126/science.aaz5845")</f>
        <v>http://dx.doi.org/10.1126/science.aaz5845</v>
      </c>
      <c r="BG353" t="s">
        <v>74</v>
      </c>
      <c r="BH353" t="s">
        <v>74</v>
      </c>
      <c r="BI353">
        <v>35</v>
      </c>
      <c r="BJ353" t="s">
        <v>1125</v>
      </c>
      <c r="BK353" t="s">
        <v>102</v>
      </c>
      <c r="BL353" t="s">
        <v>1126</v>
      </c>
      <c r="BM353" t="s">
        <v>7283</v>
      </c>
      <c r="BN353">
        <v>32354841</v>
      </c>
      <c r="BO353" t="s">
        <v>3733</v>
      </c>
      <c r="BP353" t="s">
        <v>162</v>
      </c>
      <c r="BQ353" t="s">
        <v>163</v>
      </c>
      <c r="BR353" t="s">
        <v>106</v>
      </c>
      <c r="BS353" t="s">
        <v>7284</v>
      </c>
      <c r="BT353" t="str">
        <f>HYPERLINK("https%3A%2F%2Fwww.webofscience.com%2Fwos%2Fwoscc%2Ffull-record%2FWOS:000544031400031","View Full Record in Web of Science")</f>
        <v>View Full Record in Web of Science</v>
      </c>
    </row>
    <row r="354" spans="1:72" x14ac:dyDescent="0.15">
      <c r="A354" t="s">
        <v>72</v>
      </c>
      <c r="B354" t="s">
        <v>7285</v>
      </c>
      <c r="C354" t="s">
        <v>74</v>
      </c>
      <c r="D354" t="s">
        <v>74</v>
      </c>
      <c r="E354" t="s">
        <v>74</v>
      </c>
      <c r="F354" t="s">
        <v>7286</v>
      </c>
      <c r="G354" t="s">
        <v>74</v>
      </c>
      <c r="H354" t="s">
        <v>74</v>
      </c>
      <c r="I354" t="s">
        <v>7287</v>
      </c>
      <c r="J354" t="s">
        <v>7288</v>
      </c>
      <c r="K354" t="s">
        <v>74</v>
      </c>
      <c r="L354" t="s">
        <v>74</v>
      </c>
      <c r="M354" t="s">
        <v>78</v>
      </c>
      <c r="N354" t="s">
        <v>79</v>
      </c>
      <c r="O354" t="s">
        <v>74</v>
      </c>
      <c r="P354" t="s">
        <v>74</v>
      </c>
      <c r="Q354" t="s">
        <v>74</v>
      </c>
      <c r="R354" t="s">
        <v>74</v>
      </c>
      <c r="S354" t="s">
        <v>74</v>
      </c>
      <c r="T354" t="s">
        <v>74</v>
      </c>
      <c r="U354" t="s">
        <v>74</v>
      </c>
      <c r="V354" t="s">
        <v>7289</v>
      </c>
      <c r="W354" t="s">
        <v>7290</v>
      </c>
      <c r="X354" t="s">
        <v>390</v>
      </c>
      <c r="Y354" t="s">
        <v>7291</v>
      </c>
      <c r="Z354" t="s">
        <v>7292</v>
      </c>
      <c r="AA354" t="s">
        <v>74</v>
      </c>
      <c r="AB354" t="s">
        <v>74</v>
      </c>
      <c r="AC354" t="s">
        <v>74</v>
      </c>
      <c r="AD354" t="s">
        <v>74</v>
      </c>
      <c r="AE354" t="s">
        <v>74</v>
      </c>
      <c r="AF354" t="s">
        <v>74</v>
      </c>
      <c r="AG354">
        <v>9</v>
      </c>
      <c r="AH354">
        <v>3</v>
      </c>
      <c r="AI354">
        <v>3</v>
      </c>
      <c r="AJ354">
        <v>0</v>
      </c>
      <c r="AK354">
        <v>0</v>
      </c>
      <c r="AL354" t="s">
        <v>1049</v>
      </c>
      <c r="AM354" t="s">
        <v>1050</v>
      </c>
      <c r="AN354" t="s">
        <v>1051</v>
      </c>
      <c r="AO354" t="s">
        <v>7293</v>
      </c>
      <c r="AP354" t="s">
        <v>74</v>
      </c>
      <c r="AQ354" t="s">
        <v>74</v>
      </c>
      <c r="AR354" t="s">
        <v>7294</v>
      </c>
      <c r="AS354" t="s">
        <v>7295</v>
      </c>
      <c r="AT354" t="s">
        <v>7281</v>
      </c>
      <c r="AU354">
        <v>2020</v>
      </c>
      <c r="AV354">
        <v>16</v>
      </c>
      <c r="AW354">
        <v>3</v>
      </c>
      <c r="AX354" t="s">
        <v>74</v>
      </c>
      <c r="AY354" t="s">
        <v>74</v>
      </c>
      <c r="AZ354" t="s">
        <v>74</v>
      </c>
      <c r="BA354" t="s">
        <v>74</v>
      </c>
      <c r="BB354">
        <v>703</v>
      </c>
      <c r="BC354">
        <v>714</v>
      </c>
      <c r="BD354" t="s">
        <v>74</v>
      </c>
      <c r="BE354" t="s">
        <v>7296</v>
      </c>
      <c r="BF354" t="str">
        <f>HYPERLINK("http://dx.doi.org/10.5194/os-16-703-2020","http://dx.doi.org/10.5194/os-16-703-2020")</f>
        <v>http://dx.doi.org/10.5194/os-16-703-2020</v>
      </c>
      <c r="BG354" t="s">
        <v>74</v>
      </c>
      <c r="BH354" t="s">
        <v>74</v>
      </c>
      <c r="BI354">
        <v>12</v>
      </c>
      <c r="BJ354" t="s">
        <v>7297</v>
      </c>
      <c r="BK354" t="s">
        <v>102</v>
      </c>
      <c r="BL354" t="s">
        <v>7297</v>
      </c>
      <c r="BM354" t="s">
        <v>7298</v>
      </c>
      <c r="BN354" t="s">
        <v>74</v>
      </c>
      <c r="BO354" t="s">
        <v>1352</v>
      </c>
      <c r="BP354" t="s">
        <v>74</v>
      </c>
      <c r="BQ354" t="s">
        <v>74</v>
      </c>
      <c r="BR354" t="s">
        <v>106</v>
      </c>
      <c r="BS354" t="s">
        <v>7299</v>
      </c>
      <c r="BT354" t="str">
        <f>HYPERLINK("https%3A%2F%2Fwww.webofscience.com%2Fwos%2Fwoscc%2Ffull-record%2FWOS:000541726300001","View Full Record in Web of Science")</f>
        <v>View Full Record in Web of Science</v>
      </c>
    </row>
    <row r="355" spans="1:72" x14ac:dyDescent="0.15">
      <c r="A355" t="s">
        <v>72</v>
      </c>
      <c r="B355" t="s">
        <v>7300</v>
      </c>
      <c r="C355" t="s">
        <v>74</v>
      </c>
      <c r="D355" t="s">
        <v>74</v>
      </c>
      <c r="E355" t="s">
        <v>74</v>
      </c>
      <c r="F355" t="s">
        <v>7301</v>
      </c>
      <c r="G355" t="s">
        <v>74</v>
      </c>
      <c r="H355" t="s">
        <v>74</v>
      </c>
      <c r="I355" t="s">
        <v>7302</v>
      </c>
      <c r="J355" t="s">
        <v>3878</v>
      </c>
      <c r="K355" t="s">
        <v>74</v>
      </c>
      <c r="L355" t="s">
        <v>74</v>
      </c>
      <c r="M355" t="s">
        <v>78</v>
      </c>
      <c r="N355" t="s">
        <v>79</v>
      </c>
      <c r="O355" t="s">
        <v>74</v>
      </c>
      <c r="P355" t="s">
        <v>74</v>
      </c>
      <c r="Q355" t="s">
        <v>74</v>
      </c>
      <c r="R355" t="s">
        <v>74</v>
      </c>
      <c r="S355" t="s">
        <v>74</v>
      </c>
      <c r="T355" t="s">
        <v>7303</v>
      </c>
      <c r="U355" t="s">
        <v>7304</v>
      </c>
      <c r="V355" t="s">
        <v>7305</v>
      </c>
      <c r="W355" t="s">
        <v>7306</v>
      </c>
      <c r="X355" t="s">
        <v>7307</v>
      </c>
      <c r="Y355" t="s">
        <v>7308</v>
      </c>
      <c r="Z355" t="s">
        <v>7309</v>
      </c>
      <c r="AA355" t="s">
        <v>74</v>
      </c>
      <c r="AB355" t="s">
        <v>7310</v>
      </c>
      <c r="AC355" t="s">
        <v>7311</v>
      </c>
      <c r="AD355" t="s">
        <v>7312</v>
      </c>
      <c r="AE355" t="s">
        <v>7313</v>
      </c>
      <c r="AF355" t="s">
        <v>74</v>
      </c>
      <c r="AG355">
        <v>83</v>
      </c>
      <c r="AH355">
        <v>9</v>
      </c>
      <c r="AI355">
        <v>10</v>
      </c>
      <c r="AJ355">
        <v>2</v>
      </c>
      <c r="AK355">
        <v>15</v>
      </c>
      <c r="AL355" t="s">
        <v>1440</v>
      </c>
      <c r="AM355" t="s">
        <v>1628</v>
      </c>
      <c r="AN355" t="s">
        <v>1629</v>
      </c>
      <c r="AO355" t="s">
        <v>3891</v>
      </c>
      <c r="AP355" t="s">
        <v>3892</v>
      </c>
      <c r="AQ355" t="s">
        <v>74</v>
      </c>
      <c r="AR355" t="s">
        <v>3878</v>
      </c>
      <c r="AS355" t="s">
        <v>3893</v>
      </c>
      <c r="AT355" t="s">
        <v>1930</v>
      </c>
      <c r="AU355">
        <v>2020</v>
      </c>
      <c r="AV355">
        <v>162</v>
      </c>
      <c r="AW355">
        <v>2</v>
      </c>
      <c r="AX355" t="s">
        <v>74</v>
      </c>
      <c r="AY355" t="s">
        <v>74</v>
      </c>
      <c r="AZ355" t="s">
        <v>74</v>
      </c>
      <c r="BA355" t="s">
        <v>74</v>
      </c>
      <c r="BB355">
        <v>741</v>
      </c>
      <c r="BC355">
        <v>759</v>
      </c>
      <c r="BD355" t="s">
        <v>74</v>
      </c>
      <c r="BE355" t="s">
        <v>7314</v>
      </c>
      <c r="BF355" t="str">
        <f>HYPERLINK("http://dx.doi.org/10.1007/s10584-020-02747-w","http://dx.doi.org/10.1007/s10584-020-02747-w")</f>
        <v>http://dx.doi.org/10.1007/s10584-020-02747-w</v>
      </c>
      <c r="BG355" t="s">
        <v>74</v>
      </c>
      <c r="BH355" t="s">
        <v>5750</v>
      </c>
      <c r="BI355">
        <v>19</v>
      </c>
      <c r="BJ355" t="s">
        <v>2068</v>
      </c>
      <c r="BK355" t="s">
        <v>102</v>
      </c>
      <c r="BL355" t="s">
        <v>2069</v>
      </c>
      <c r="BM355" t="s">
        <v>3895</v>
      </c>
      <c r="BN355" t="s">
        <v>74</v>
      </c>
      <c r="BO355" t="s">
        <v>3716</v>
      </c>
      <c r="BP355" t="s">
        <v>74</v>
      </c>
      <c r="BQ355" t="s">
        <v>74</v>
      </c>
      <c r="BR355" t="s">
        <v>106</v>
      </c>
      <c r="BS355" t="s">
        <v>7315</v>
      </c>
      <c r="BT355" t="str">
        <f>HYPERLINK("https%3A%2F%2Fwww.webofscience.com%2Fwos%2Fwoscc%2Ffull-record%2FWOS:000539906100001","View Full Record in Web of Science")</f>
        <v>View Full Record in Web of Science</v>
      </c>
    </row>
    <row r="356" spans="1:72" x14ac:dyDescent="0.15">
      <c r="A356" t="s">
        <v>72</v>
      </c>
      <c r="B356" t="s">
        <v>7316</v>
      </c>
      <c r="C356" t="s">
        <v>74</v>
      </c>
      <c r="D356" t="s">
        <v>74</v>
      </c>
      <c r="E356" t="s">
        <v>74</v>
      </c>
      <c r="F356" t="s">
        <v>7317</v>
      </c>
      <c r="G356" t="s">
        <v>74</v>
      </c>
      <c r="H356" t="s">
        <v>74</v>
      </c>
      <c r="I356" t="s">
        <v>7318</v>
      </c>
      <c r="J356" t="s">
        <v>7319</v>
      </c>
      <c r="K356" t="s">
        <v>74</v>
      </c>
      <c r="L356" t="s">
        <v>74</v>
      </c>
      <c r="M356" t="s">
        <v>78</v>
      </c>
      <c r="N356" t="s">
        <v>245</v>
      </c>
      <c r="O356" t="s">
        <v>74</v>
      </c>
      <c r="P356" t="s">
        <v>74</v>
      </c>
      <c r="Q356" t="s">
        <v>74</v>
      </c>
      <c r="R356" t="s">
        <v>74</v>
      </c>
      <c r="S356" t="s">
        <v>74</v>
      </c>
      <c r="T356" t="s">
        <v>7320</v>
      </c>
      <c r="U356" t="s">
        <v>7321</v>
      </c>
      <c r="V356" t="s">
        <v>7322</v>
      </c>
      <c r="W356" t="s">
        <v>7323</v>
      </c>
      <c r="X356" t="s">
        <v>7324</v>
      </c>
      <c r="Y356" t="s">
        <v>7325</v>
      </c>
      <c r="Z356" t="s">
        <v>7326</v>
      </c>
      <c r="AA356" t="s">
        <v>7327</v>
      </c>
      <c r="AB356" t="s">
        <v>7328</v>
      </c>
      <c r="AC356" t="s">
        <v>7329</v>
      </c>
      <c r="AD356" t="s">
        <v>7330</v>
      </c>
      <c r="AE356" t="s">
        <v>7331</v>
      </c>
      <c r="AF356" t="s">
        <v>74</v>
      </c>
      <c r="AG356">
        <v>261</v>
      </c>
      <c r="AH356">
        <v>60</v>
      </c>
      <c r="AI356">
        <v>63</v>
      </c>
      <c r="AJ356">
        <v>9</v>
      </c>
      <c r="AK356">
        <v>89</v>
      </c>
      <c r="AL356" t="s">
        <v>1024</v>
      </c>
      <c r="AM356" t="s">
        <v>1025</v>
      </c>
      <c r="AN356" t="s">
        <v>1026</v>
      </c>
      <c r="AO356" t="s">
        <v>74</v>
      </c>
      <c r="AP356" t="s">
        <v>7332</v>
      </c>
      <c r="AQ356" t="s">
        <v>74</v>
      </c>
      <c r="AR356" t="s">
        <v>7333</v>
      </c>
      <c r="AS356" t="s">
        <v>7334</v>
      </c>
      <c r="AT356" t="s">
        <v>7335</v>
      </c>
      <c r="AU356">
        <v>2020</v>
      </c>
      <c r="AV356">
        <v>8</v>
      </c>
      <c r="AW356" t="s">
        <v>74</v>
      </c>
      <c r="AX356" t="s">
        <v>74</v>
      </c>
      <c r="AY356" t="s">
        <v>74</v>
      </c>
      <c r="AZ356" t="s">
        <v>74</v>
      </c>
      <c r="BA356" t="s">
        <v>74</v>
      </c>
      <c r="BB356" t="s">
        <v>74</v>
      </c>
      <c r="BC356" t="s">
        <v>74</v>
      </c>
      <c r="BD356">
        <v>60</v>
      </c>
      <c r="BE356" t="s">
        <v>7336</v>
      </c>
      <c r="BF356" t="str">
        <f>HYPERLINK("http://dx.doi.org/10.3389/fenvs.2020.00060","http://dx.doi.org/10.3389/fenvs.2020.00060")</f>
        <v>http://dx.doi.org/10.3389/fenvs.2020.00060</v>
      </c>
      <c r="BG356" t="s">
        <v>74</v>
      </c>
      <c r="BH356" t="s">
        <v>74</v>
      </c>
      <c r="BI356">
        <v>21</v>
      </c>
      <c r="BJ356" t="s">
        <v>101</v>
      </c>
      <c r="BK356" t="s">
        <v>102</v>
      </c>
      <c r="BL356" t="s">
        <v>103</v>
      </c>
      <c r="BM356" t="s">
        <v>7337</v>
      </c>
      <c r="BN356" t="s">
        <v>74</v>
      </c>
      <c r="BO356" t="s">
        <v>1778</v>
      </c>
      <c r="BP356" t="s">
        <v>74</v>
      </c>
      <c r="BQ356" t="s">
        <v>74</v>
      </c>
      <c r="BR356" t="s">
        <v>106</v>
      </c>
      <c r="BS356" t="s">
        <v>7338</v>
      </c>
      <c r="BT356" t="str">
        <f>HYPERLINK("https%3A%2F%2Fwww.webofscience.com%2Fwos%2Fwoscc%2Ffull-record%2FWOS:000543897100001","View Full Record in Web of Science")</f>
        <v>View Full Record in Web of Science</v>
      </c>
    </row>
    <row r="357" spans="1:72" x14ac:dyDescent="0.15">
      <c r="A357" t="s">
        <v>72</v>
      </c>
      <c r="B357" t="s">
        <v>7339</v>
      </c>
      <c r="C357" t="s">
        <v>74</v>
      </c>
      <c r="D357" t="s">
        <v>74</v>
      </c>
      <c r="E357" t="s">
        <v>74</v>
      </c>
      <c r="F357" t="s">
        <v>7340</v>
      </c>
      <c r="G357" t="s">
        <v>74</v>
      </c>
      <c r="H357" t="s">
        <v>74</v>
      </c>
      <c r="I357" t="s">
        <v>7341</v>
      </c>
      <c r="J357" t="s">
        <v>3490</v>
      </c>
      <c r="K357" t="s">
        <v>74</v>
      </c>
      <c r="L357" t="s">
        <v>74</v>
      </c>
      <c r="M357" t="s">
        <v>78</v>
      </c>
      <c r="N357" t="s">
        <v>7342</v>
      </c>
      <c r="O357" t="s">
        <v>74</v>
      </c>
      <c r="P357" t="s">
        <v>74</v>
      </c>
      <c r="Q357" t="s">
        <v>74</v>
      </c>
      <c r="R357" t="s">
        <v>74</v>
      </c>
      <c r="S357" t="s">
        <v>74</v>
      </c>
      <c r="T357" t="s">
        <v>74</v>
      </c>
      <c r="U357" t="s">
        <v>74</v>
      </c>
      <c r="V357" t="s">
        <v>74</v>
      </c>
      <c r="W357" t="s">
        <v>7343</v>
      </c>
      <c r="X357" t="s">
        <v>7344</v>
      </c>
      <c r="Y357" t="s">
        <v>7345</v>
      </c>
      <c r="Z357" t="s">
        <v>7346</v>
      </c>
      <c r="AA357" t="s">
        <v>7347</v>
      </c>
      <c r="AB357" t="s">
        <v>7348</v>
      </c>
      <c r="AC357" t="s">
        <v>74</v>
      </c>
      <c r="AD357" t="s">
        <v>74</v>
      </c>
      <c r="AE357" t="s">
        <v>74</v>
      </c>
      <c r="AF357" t="s">
        <v>74</v>
      </c>
      <c r="AG357">
        <v>8</v>
      </c>
      <c r="AH357">
        <v>8</v>
      </c>
      <c r="AI357">
        <v>8</v>
      </c>
      <c r="AJ357">
        <v>0</v>
      </c>
      <c r="AK357">
        <v>3</v>
      </c>
      <c r="AL357" t="s">
        <v>1389</v>
      </c>
      <c r="AM357" t="s">
        <v>945</v>
      </c>
      <c r="AN357" t="s">
        <v>1390</v>
      </c>
      <c r="AO357" t="s">
        <v>3493</v>
      </c>
      <c r="AP357" t="s">
        <v>74</v>
      </c>
      <c r="AQ357" t="s">
        <v>74</v>
      </c>
      <c r="AR357" t="s">
        <v>3494</v>
      </c>
      <c r="AS357" t="s">
        <v>3495</v>
      </c>
      <c r="AT357" t="s">
        <v>7335</v>
      </c>
      <c r="AU357">
        <v>2020</v>
      </c>
      <c r="AV357">
        <v>11</v>
      </c>
      <c r="AW357">
        <v>1</v>
      </c>
      <c r="AX357" t="s">
        <v>74</v>
      </c>
      <c r="AY357" t="s">
        <v>74</v>
      </c>
      <c r="AZ357" t="s">
        <v>74</v>
      </c>
      <c r="BA357" t="s">
        <v>74</v>
      </c>
      <c r="BB357" t="s">
        <v>74</v>
      </c>
      <c r="BC357" t="s">
        <v>74</v>
      </c>
      <c r="BD357">
        <v>2969</v>
      </c>
      <c r="BE357" t="s">
        <v>7349</v>
      </c>
      <c r="BF357" t="str">
        <f>HYPERLINK("http://dx.doi.org/10.1038/s41467-020-16658-y","http://dx.doi.org/10.1038/s41467-020-16658-y")</f>
        <v>http://dx.doi.org/10.1038/s41467-020-16658-y</v>
      </c>
      <c r="BG357" t="s">
        <v>74</v>
      </c>
      <c r="BH357" t="s">
        <v>74</v>
      </c>
      <c r="BI357">
        <v>3</v>
      </c>
      <c r="BJ357" t="s">
        <v>1125</v>
      </c>
      <c r="BK357" t="s">
        <v>102</v>
      </c>
      <c r="BL357" t="s">
        <v>1126</v>
      </c>
      <c r="BM357" t="s">
        <v>7350</v>
      </c>
      <c r="BN357">
        <v>32527997</v>
      </c>
      <c r="BO357" t="s">
        <v>4945</v>
      </c>
      <c r="BP357" t="s">
        <v>74</v>
      </c>
      <c r="BQ357" t="s">
        <v>74</v>
      </c>
      <c r="BR357" t="s">
        <v>106</v>
      </c>
      <c r="BS357" t="s">
        <v>7351</v>
      </c>
      <c r="BT357" t="str">
        <f>HYPERLINK("https%3A%2F%2Fwww.webofscience.com%2Fwos%2Fwoscc%2Ffull-record%2FWOS:000542765300010","View Full Record in Web of Science")</f>
        <v>View Full Record in Web of Science</v>
      </c>
    </row>
    <row r="358" spans="1:72" x14ac:dyDescent="0.15">
      <c r="A358" t="s">
        <v>72</v>
      </c>
      <c r="B358" t="s">
        <v>7352</v>
      </c>
      <c r="C358" t="s">
        <v>74</v>
      </c>
      <c r="D358" t="s">
        <v>74</v>
      </c>
      <c r="E358" t="s">
        <v>74</v>
      </c>
      <c r="F358" t="s">
        <v>7353</v>
      </c>
      <c r="G358" t="s">
        <v>74</v>
      </c>
      <c r="H358" t="s">
        <v>74</v>
      </c>
      <c r="I358" t="s">
        <v>7354</v>
      </c>
      <c r="J358" t="s">
        <v>3490</v>
      </c>
      <c r="K358" t="s">
        <v>74</v>
      </c>
      <c r="L358" t="s">
        <v>74</v>
      </c>
      <c r="M358" t="s">
        <v>78</v>
      </c>
      <c r="N358" t="s">
        <v>7342</v>
      </c>
      <c r="O358" t="s">
        <v>74</v>
      </c>
      <c r="P358" t="s">
        <v>74</v>
      </c>
      <c r="Q358" t="s">
        <v>74</v>
      </c>
      <c r="R358" t="s">
        <v>74</v>
      </c>
      <c r="S358" t="s">
        <v>74</v>
      </c>
      <c r="T358" t="s">
        <v>74</v>
      </c>
      <c r="U358" t="s">
        <v>7355</v>
      </c>
      <c r="V358" t="s">
        <v>74</v>
      </c>
      <c r="W358" t="s">
        <v>7356</v>
      </c>
      <c r="X358" t="s">
        <v>7357</v>
      </c>
      <c r="Y358" t="s">
        <v>7358</v>
      </c>
      <c r="Z358" t="s">
        <v>7359</v>
      </c>
      <c r="AA358" t="s">
        <v>74</v>
      </c>
      <c r="AB358" t="s">
        <v>7360</v>
      </c>
      <c r="AC358" t="s">
        <v>7361</v>
      </c>
      <c r="AD358" t="s">
        <v>688</v>
      </c>
      <c r="AE358" t="s">
        <v>74</v>
      </c>
      <c r="AF358" t="s">
        <v>74</v>
      </c>
      <c r="AG358">
        <v>10</v>
      </c>
      <c r="AH358">
        <v>1</v>
      </c>
      <c r="AI358">
        <v>1</v>
      </c>
      <c r="AJ358">
        <v>0</v>
      </c>
      <c r="AK358">
        <v>0</v>
      </c>
      <c r="AL358" t="s">
        <v>1389</v>
      </c>
      <c r="AM358" t="s">
        <v>945</v>
      </c>
      <c r="AN358" t="s">
        <v>1390</v>
      </c>
      <c r="AO358" t="s">
        <v>3493</v>
      </c>
      <c r="AP358" t="s">
        <v>74</v>
      </c>
      <c r="AQ358" t="s">
        <v>74</v>
      </c>
      <c r="AR358" t="s">
        <v>3494</v>
      </c>
      <c r="AS358" t="s">
        <v>3495</v>
      </c>
      <c r="AT358" t="s">
        <v>7335</v>
      </c>
      <c r="AU358">
        <v>2020</v>
      </c>
      <c r="AV358">
        <v>11</v>
      </c>
      <c r="AW358">
        <v>1</v>
      </c>
      <c r="AX358" t="s">
        <v>74</v>
      </c>
      <c r="AY358" t="s">
        <v>74</v>
      </c>
      <c r="AZ358" t="s">
        <v>74</v>
      </c>
      <c r="BA358" t="s">
        <v>74</v>
      </c>
      <c r="BB358" t="s">
        <v>74</v>
      </c>
      <c r="BC358" t="s">
        <v>74</v>
      </c>
      <c r="BD358">
        <v>2970</v>
      </c>
      <c r="BE358" t="s">
        <v>7362</v>
      </c>
      <c r="BF358" t="str">
        <f>HYPERLINK("http://dx.doi.org/10.1038/s41467-020-16685-9","http://dx.doi.org/10.1038/s41467-020-16685-9")</f>
        <v>http://dx.doi.org/10.1038/s41467-020-16685-9</v>
      </c>
      <c r="BG358" t="s">
        <v>74</v>
      </c>
      <c r="BH358" t="s">
        <v>74</v>
      </c>
      <c r="BI358">
        <v>4</v>
      </c>
      <c r="BJ358" t="s">
        <v>1125</v>
      </c>
      <c r="BK358" t="s">
        <v>102</v>
      </c>
      <c r="BL358" t="s">
        <v>1126</v>
      </c>
      <c r="BM358" t="s">
        <v>7350</v>
      </c>
      <c r="BN358">
        <v>32528117</v>
      </c>
      <c r="BO358" t="s">
        <v>2974</v>
      </c>
      <c r="BP358" t="s">
        <v>74</v>
      </c>
      <c r="BQ358" t="s">
        <v>74</v>
      </c>
      <c r="BR358" t="s">
        <v>106</v>
      </c>
      <c r="BS358" t="s">
        <v>7363</v>
      </c>
      <c r="BT358" t="str">
        <f>HYPERLINK("https%3A%2F%2Fwww.webofscience.com%2Fwos%2Fwoscc%2Ffull-record%2FWOS:000542765300011","View Full Record in Web of Science")</f>
        <v>View Full Record in Web of Science</v>
      </c>
    </row>
    <row r="359" spans="1:72" x14ac:dyDescent="0.15">
      <c r="A359" t="s">
        <v>72</v>
      </c>
      <c r="B359" t="s">
        <v>7364</v>
      </c>
      <c r="C359" t="s">
        <v>74</v>
      </c>
      <c r="D359" t="s">
        <v>74</v>
      </c>
      <c r="E359" t="s">
        <v>74</v>
      </c>
      <c r="F359" t="s">
        <v>7365</v>
      </c>
      <c r="G359" t="s">
        <v>74</v>
      </c>
      <c r="H359" t="s">
        <v>74</v>
      </c>
      <c r="I359" t="s">
        <v>7366</v>
      </c>
      <c r="J359" t="s">
        <v>7367</v>
      </c>
      <c r="K359" t="s">
        <v>74</v>
      </c>
      <c r="L359" t="s">
        <v>74</v>
      </c>
      <c r="M359" t="s">
        <v>78</v>
      </c>
      <c r="N359" t="s">
        <v>245</v>
      </c>
      <c r="O359" t="s">
        <v>74</v>
      </c>
      <c r="P359" t="s">
        <v>74</v>
      </c>
      <c r="Q359" t="s">
        <v>74</v>
      </c>
      <c r="R359" t="s">
        <v>74</v>
      </c>
      <c r="S359" t="s">
        <v>74</v>
      </c>
      <c r="T359" t="s">
        <v>74</v>
      </c>
      <c r="U359" t="s">
        <v>7368</v>
      </c>
      <c r="V359" t="s">
        <v>7369</v>
      </c>
      <c r="W359" t="s">
        <v>7370</v>
      </c>
      <c r="X359" t="s">
        <v>7371</v>
      </c>
      <c r="Y359" t="s">
        <v>7372</v>
      </c>
      <c r="Z359" t="s">
        <v>7373</v>
      </c>
      <c r="AA359" t="s">
        <v>7374</v>
      </c>
      <c r="AB359" t="s">
        <v>7375</v>
      </c>
      <c r="AC359" t="s">
        <v>7376</v>
      </c>
      <c r="AD359" t="s">
        <v>7377</v>
      </c>
      <c r="AE359" t="s">
        <v>7378</v>
      </c>
      <c r="AF359" t="s">
        <v>74</v>
      </c>
      <c r="AG359">
        <v>285</v>
      </c>
      <c r="AH359">
        <v>143</v>
      </c>
      <c r="AI359">
        <v>149</v>
      </c>
      <c r="AJ359">
        <v>24</v>
      </c>
      <c r="AK359">
        <v>90</v>
      </c>
      <c r="AL359" t="s">
        <v>2425</v>
      </c>
      <c r="AM359" t="s">
        <v>152</v>
      </c>
      <c r="AN359" t="s">
        <v>2426</v>
      </c>
      <c r="AO359" t="s">
        <v>7379</v>
      </c>
      <c r="AP359" t="s">
        <v>7380</v>
      </c>
      <c r="AQ359" t="s">
        <v>74</v>
      </c>
      <c r="AR359" t="s">
        <v>7381</v>
      </c>
      <c r="AS359" t="s">
        <v>7382</v>
      </c>
      <c r="AT359" t="s">
        <v>7335</v>
      </c>
      <c r="AU359">
        <v>2020</v>
      </c>
      <c r="AV359">
        <v>120</v>
      </c>
      <c r="AW359">
        <v>11</v>
      </c>
      <c r="AX359" t="s">
        <v>74</v>
      </c>
      <c r="AY359" t="s">
        <v>74</v>
      </c>
      <c r="AZ359" t="s">
        <v>74</v>
      </c>
      <c r="BA359" t="s">
        <v>74</v>
      </c>
      <c r="BB359">
        <v>4660</v>
      </c>
      <c r="BC359">
        <v>4689</v>
      </c>
      <c r="BD359" t="s">
        <v>74</v>
      </c>
      <c r="BE359" t="s">
        <v>7383</v>
      </c>
      <c r="BF359" t="str">
        <f>HYPERLINK("http://dx.doi.org/10.1021/acs.chemrev.9b00474","http://dx.doi.org/10.1021/acs.chemrev.9b00474")</f>
        <v>http://dx.doi.org/10.1021/acs.chemrev.9b00474</v>
      </c>
      <c r="BG359" t="s">
        <v>74</v>
      </c>
      <c r="BH359" t="s">
        <v>74</v>
      </c>
      <c r="BI359">
        <v>30</v>
      </c>
      <c r="BJ359" t="s">
        <v>6305</v>
      </c>
      <c r="BK359" t="s">
        <v>102</v>
      </c>
      <c r="BL359" t="s">
        <v>3680</v>
      </c>
      <c r="BM359" t="s">
        <v>7384</v>
      </c>
      <c r="BN359">
        <v>31743015</v>
      </c>
      <c r="BO359" t="s">
        <v>189</v>
      </c>
      <c r="BP359" t="s">
        <v>74</v>
      </c>
      <c r="BQ359" t="s">
        <v>74</v>
      </c>
      <c r="BR359" t="s">
        <v>106</v>
      </c>
      <c r="BS359" t="s">
        <v>7385</v>
      </c>
      <c r="BT359" t="str">
        <f>HYPERLINK("https%3A%2F%2Fwww.webofscience.com%2Fwos%2Fwoscc%2Ffull-record%2FWOS:000541680900003","View Full Record in Web of Science")</f>
        <v>View Full Record in Web of Science</v>
      </c>
    </row>
    <row r="360" spans="1:72" x14ac:dyDescent="0.15">
      <c r="A360" t="s">
        <v>72</v>
      </c>
      <c r="B360" t="s">
        <v>7386</v>
      </c>
      <c r="C360" t="s">
        <v>74</v>
      </c>
      <c r="D360" t="s">
        <v>74</v>
      </c>
      <c r="E360" t="s">
        <v>74</v>
      </c>
      <c r="F360" t="s">
        <v>7387</v>
      </c>
      <c r="G360" t="s">
        <v>74</v>
      </c>
      <c r="H360" t="s">
        <v>74</v>
      </c>
      <c r="I360" t="s">
        <v>7388</v>
      </c>
      <c r="J360" t="s">
        <v>1186</v>
      </c>
      <c r="K360" t="s">
        <v>74</v>
      </c>
      <c r="L360" t="s">
        <v>74</v>
      </c>
      <c r="M360" t="s">
        <v>78</v>
      </c>
      <c r="N360" t="s">
        <v>79</v>
      </c>
      <c r="O360" t="s">
        <v>74</v>
      </c>
      <c r="P360" t="s">
        <v>74</v>
      </c>
      <c r="Q360" t="s">
        <v>74</v>
      </c>
      <c r="R360" t="s">
        <v>74</v>
      </c>
      <c r="S360" t="s">
        <v>74</v>
      </c>
      <c r="T360" t="s">
        <v>7389</v>
      </c>
      <c r="U360" t="s">
        <v>7390</v>
      </c>
      <c r="V360" t="s">
        <v>7391</v>
      </c>
      <c r="W360" t="s">
        <v>7392</v>
      </c>
      <c r="X360" t="s">
        <v>7393</v>
      </c>
      <c r="Y360" t="s">
        <v>7394</v>
      </c>
      <c r="Z360" t="s">
        <v>7395</v>
      </c>
      <c r="AA360" t="s">
        <v>7396</v>
      </c>
      <c r="AB360" t="s">
        <v>7397</v>
      </c>
      <c r="AC360" t="s">
        <v>7398</v>
      </c>
      <c r="AD360" t="s">
        <v>7399</v>
      </c>
      <c r="AE360" t="s">
        <v>7400</v>
      </c>
      <c r="AF360" t="s">
        <v>74</v>
      </c>
      <c r="AG360">
        <v>68</v>
      </c>
      <c r="AH360">
        <v>3</v>
      </c>
      <c r="AI360">
        <v>3</v>
      </c>
      <c r="AJ360">
        <v>1</v>
      </c>
      <c r="AK360">
        <v>24</v>
      </c>
      <c r="AL360" t="s">
        <v>1199</v>
      </c>
      <c r="AM360" t="s">
        <v>1200</v>
      </c>
      <c r="AN360" t="s">
        <v>1201</v>
      </c>
      <c r="AO360" t="s">
        <v>1202</v>
      </c>
      <c r="AP360" t="s">
        <v>1203</v>
      </c>
      <c r="AQ360" t="s">
        <v>74</v>
      </c>
      <c r="AR360" t="s">
        <v>1204</v>
      </c>
      <c r="AS360" t="s">
        <v>1205</v>
      </c>
      <c r="AT360" t="s">
        <v>7335</v>
      </c>
      <c r="AU360">
        <v>2020</v>
      </c>
      <c r="AV360">
        <v>643</v>
      </c>
      <c r="AW360" t="s">
        <v>74</v>
      </c>
      <c r="AX360" t="s">
        <v>74</v>
      </c>
      <c r="AY360" t="s">
        <v>74</v>
      </c>
      <c r="AZ360" t="s">
        <v>74</v>
      </c>
      <c r="BA360" t="s">
        <v>74</v>
      </c>
      <c r="BB360">
        <v>219</v>
      </c>
      <c r="BC360">
        <v>227</v>
      </c>
      <c r="BD360" t="s">
        <v>74</v>
      </c>
      <c r="BE360" t="s">
        <v>7401</v>
      </c>
      <c r="BF360" t="str">
        <f>HYPERLINK("http://dx.doi.org/10.3354/meps13329","http://dx.doi.org/10.3354/meps13329")</f>
        <v>http://dx.doi.org/10.3354/meps13329</v>
      </c>
      <c r="BG360" t="s">
        <v>74</v>
      </c>
      <c r="BH360" t="s">
        <v>74</v>
      </c>
      <c r="BI360">
        <v>9</v>
      </c>
      <c r="BJ360" t="s">
        <v>1208</v>
      </c>
      <c r="BK360" t="s">
        <v>102</v>
      </c>
      <c r="BL360" t="s">
        <v>1209</v>
      </c>
      <c r="BM360" t="s">
        <v>7402</v>
      </c>
      <c r="BN360" t="s">
        <v>74</v>
      </c>
      <c r="BO360" t="s">
        <v>5178</v>
      </c>
      <c r="BP360" t="s">
        <v>74</v>
      </c>
      <c r="BQ360" t="s">
        <v>74</v>
      </c>
      <c r="BR360" t="s">
        <v>106</v>
      </c>
      <c r="BS360" t="s">
        <v>7403</v>
      </c>
      <c r="BT360" t="str">
        <f>HYPERLINK("https%3A%2F%2Fwww.webofscience.com%2Fwos%2Fwoscc%2Ffull-record%2FWOS:000545931200016","View Full Record in Web of Science")</f>
        <v>View Full Record in Web of Science</v>
      </c>
    </row>
    <row r="361" spans="1:72" x14ac:dyDescent="0.15">
      <c r="A361" t="s">
        <v>72</v>
      </c>
      <c r="B361" t="s">
        <v>7404</v>
      </c>
      <c r="C361" t="s">
        <v>74</v>
      </c>
      <c r="D361" t="s">
        <v>74</v>
      </c>
      <c r="E361" t="s">
        <v>74</v>
      </c>
      <c r="F361" t="s">
        <v>7405</v>
      </c>
      <c r="G361" t="s">
        <v>74</v>
      </c>
      <c r="H361" t="s">
        <v>74</v>
      </c>
      <c r="I361" t="s">
        <v>7406</v>
      </c>
      <c r="J361" t="s">
        <v>7407</v>
      </c>
      <c r="K361" t="s">
        <v>74</v>
      </c>
      <c r="L361" t="s">
        <v>74</v>
      </c>
      <c r="M361" t="s">
        <v>78</v>
      </c>
      <c r="N361" t="s">
        <v>79</v>
      </c>
      <c r="O361" t="s">
        <v>74</v>
      </c>
      <c r="P361" t="s">
        <v>74</v>
      </c>
      <c r="Q361" t="s">
        <v>74</v>
      </c>
      <c r="R361" t="s">
        <v>74</v>
      </c>
      <c r="S361" t="s">
        <v>74</v>
      </c>
      <c r="T361" t="s">
        <v>7408</v>
      </c>
      <c r="U361" t="s">
        <v>7409</v>
      </c>
      <c r="V361" t="s">
        <v>7410</v>
      </c>
      <c r="W361" t="s">
        <v>7411</v>
      </c>
      <c r="X361" t="s">
        <v>7412</v>
      </c>
      <c r="Y361" t="s">
        <v>7413</v>
      </c>
      <c r="Z361" t="s">
        <v>7414</v>
      </c>
      <c r="AA361" t="s">
        <v>7415</v>
      </c>
      <c r="AB361" t="s">
        <v>7416</v>
      </c>
      <c r="AC361" t="s">
        <v>74</v>
      </c>
      <c r="AD361" t="s">
        <v>74</v>
      </c>
      <c r="AE361" t="s">
        <v>74</v>
      </c>
      <c r="AF361" t="s">
        <v>74</v>
      </c>
      <c r="AG361">
        <v>28</v>
      </c>
      <c r="AH361">
        <v>5</v>
      </c>
      <c r="AI361">
        <v>5</v>
      </c>
      <c r="AJ361">
        <v>0</v>
      </c>
      <c r="AK361">
        <v>6</v>
      </c>
      <c r="AL361" t="s">
        <v>1440</v>
      </c>
      <c r="AM361" t="s">
        <v>1628</v>
      </c>
      <c r="AN361" t="s">
        <v>1629</v>
      </c>
      <c r="AO361" t="s">
        <v>7417</v>
      </c>
      <c r="AP361" t="s">
        <v>7418</v>
      </c>
      <c r="AQ361" t="s">
        <v>74</v>
      </c>
      <c r="AR361" t="s">
        <v>7419</v>
      </c>
      <c r="AS361" t="s">
        <v>7420</v>
      </c>
      <c r="AT361" t="s">
        <v>99</v>
      </c>
      <c r="AU361">
        <v>2020</v>
      </c>
      <c r="AV361">
        <v>47</v>
      </c>
      <c r="AW361">
        <v>8</v>
      </c>
      <c r="AX361" t="s">
        <v>74</v>
      </c>
      <c r="AY361" t="s">
        <v>74</v>
      </c>
      <c r="AZ361" t="s">
        <v>74</v>
      </c>
      <c r="BA361" t="s">
        <v>74</v>
      </c>
      <c r="BB361">
        <v>6379</v>
      </c>
      <c r="BC361">
        <v>6384</v>
      </c>
      <c r="BD361" t="s">
        <v>74</v>
      </c>
      <c r="BE361" t="s">
        <v>7421</v>
      </c>
      <c r="BF361" t="str">
        <f>HYPERLINK("http://dx.doi.org/10.1007/s11033-020-05566-5","http://dx.doi.org/10.1007/s11033-020-05566-5")</f>
        <v>http://dx.doi.org/10.1007/s11033-020-05566-5</v>
      </c>
      <c r="BG361" t="s">
        <v>74</v>
      </c>
      <c r="BH361" t="s">
        <v>5750</v>
      </c>
      <c r="BI361">
        <v>6</v>
      </c>
      <c r="BJ361" t="s">
        <v>7422</v>
      </c>
      <c r="BK361" t="s">
        <v>102</v>
      </c>
      <c r="BL361" t="s">
        <v>7422</v>
      </c>
      <c r="BM361" t="s">
        <v>7423</v>
      </c>
      <c r="BN361">
        <v>32524389</v>
      </c>
      <c r="BO361" t="s">
        <v>7078</v>
      </c>
      <c r="BP361" t="s">
        <v>74</v>
      </c>
      <c r="BQ361" t="s">
        <v>74</v>
      </c>
      <c r="BR361" t="s">
        <v>106</v>
      </c>
      <c r="BS361" t="s">
        <v>7424</v>
      </c>
      <c r="BT361" t="str">
        <f>HYPERLINK("https%3A%2F%2Fwww.webofscience.com%2Fwos%2Fwoscc%2Ffull-record%2FWOS:000539521100004","View Full Record in Web of Science")</f>
        <v>View Full Record in Web of Science</v>
      </c>
    </row>
    <row r="362" spans="1:72" x14ac:dyDescent="0.15">
      <c r="A362" t="s">
        <v>72</v>
      </c>
      <c r="B362" t="s">
        <v>7425</v>
      </c>
      <c r="C362" t="s">
        <v>74</v>
      </c>
      <c r="D362" t="s">
        <v>74</v>
      </c>
      <c r="E362" t="s">
        <v>74</v>
      </c>
      <c r="F362" t="s">
        <v>7426</v>
      </c>
      <c r="G362" t="s">
        <v>74</v>
      </c>
      <c r="H362" t="s">
        <v>74</v>
      </c>
      <c r="I362" t="s">
        <v>7427</v>
      </c>
      <c r="J362" t="s">
        <v>1709</v>
      </c>
      <c r="K362" t="s">
        <v>74</v>
      </c>
      <c r="L362" t="s">
        <v>74</v>
      </c>
      <c r="M362" t="s">
        <v>78</v>
      </c>
      <c r="N362" t="s">
        <v>79</v>
      </c>
      <c r="O362" t="s">
        <v>74</v>
      </c>
      <c r="P362" t="s">
        <v>74</v>
      </c>
      <c r="Q362" t="s">
        <v>74</v>
      </c>
      <c r="R362" t="s">
        <v>74</v>
      </c>
      <c r="S362" t="s">
        <v>74</v>
      </c>
      <c r="T362" t="s">
        <v>7428</v>
      </c>
      <c r="U362" t="s">
        <v>7429</v>
      </c>
      <c r="V362" t="s">
        <v>7430</v>
      </c>
      <c r="W362" t="s">
        <v>7431</v>
      </c>
      <c r="X362" t="s">
        <v>7432</v>
      </c>
      <c r="Y362" t="s">
        <v>7433</v>
      </c>
      <c r="Z362" t="s">
        <v>7434</v>
      </c>
      <c r="AA362" t="s">
        <v>7435</v>
      </c>
      <c r="AB362" t="s">
        <v>7436</v>
      </c>
      <c r="AC362" t="s">
        <v>7437</v>
      </c>
      <c r="AD362" t="s">
        <v>7438</v>
      </c>
      <c r="AE362" t="s">
        <v>7439</v>
      </c>
      <c r="AF362" t="s">
        <v>74</v>
      </c>
      <c r="AG362">
        <v>26</v>
      </c>
      <c r="AH362">
        <v>3</v>
      </c>
      <c r="AI362">
        <v>3</v>
      </c>
      <c r="AJ362">
        <v>2</v>
      </c>
      <c r="AK362">
        <v>27</v>
      </c>
      <c r="AL362" t="s">
        <v>1718</v>
      </c>
      <c r="AM362" t="s">
        <v>1719</v>
      </c>
      <c r="AN362" t="s">
        <v>1720</v>
      </c>
      <c r="AO362" t="s">
        <v>1721</v>
      </c>
      <c r="AP362" t="s">
        <v>74</v>
      </c>
      <c r="AQ362" t="s">
        <v>74</v>
      </c>
      <c r="AR362" t="s">
        <v>1722</v>
      </c>
      <c r="AS362" t="s">
        <v>1723</v>
      </c>
      <c r="AT362" t="s">
        <v>7440</v>
      </c>
      <c r="AU362">
        <v>2020</v>
      </c>
      <c r="AV362">
        <v>118</v>
      </c>
      <c r="AW362">
        <v>11</v>
      </c>
      <c r="AX362" t="s">
        <v>74</v>
      </c>
      <c r="AY362" t="s">
        <v>74</v>
      </c>
      <c r="AZ362" t="s">
        <v>74</v>
      </c>
      <c r="BA362" t="s">
        <v>74</v>
      </c>
      <c r="BB362">
        <v>1681</v>
      </c>
      <c r="BC362">
        <v>1686</v>
      </c>
      <c r="BD362" t="s">
        <v>74</v>
      </c>
      <c r="BE362" t="s">
        <v>7441</v>
      </c>
      <c r="BF362" t="str">
        <f>HYPERLINK("http://dx.doi.org/10.18520/cs/v118/i11/1681-1686","http://dx.doi.org/10.18520/cs/v118/i11/1681-1686")</f>
        <v>http://dx.doi.org/10.18520/cs/v118/i11/1681-1686</v>
      </c>
      <c r="BG362" t="s">
        <v>74</v>
      </c>
      <c r="BH362" t="s">
        <v>74</v>
      </c>
      <c r="BI362">
        <v>6</v>
      </c>
      <c r="BJ362" t="s">
        <v>1125</v>
      </c>
      <c r="BK362" t="s">
        <v>102</v>
      </c>
      <c r="BL362" t="s">
        <v>1126</v>
      </c>
      <c r="BM362" t="s">
        <v>7442</v>
      </c>
      <c r="BN362" t="s">
        <v>74</v>
      </c>
      <c r="BO362" t="s">
        <v>105</v>
      </c>
      <c r="BP362" t="s">
        <v>74</v>
      </c>
      <c r="BQ362" t="s">
        <v>74</v>
      </c>
      <c r="BR362" t="s">
        <v>106</v>
      </c>
      <c r="BS362" t="s">
        <v>7443</v>
      </c>
      <c r="BT362" t="str">
        <f>HYPERLINK("https%3A%2F%2Fwww.webofscience.com%2Fwos%2Fwoscc%2Ffull-record%2FWOS:000538170500011","View Full Record in Web of Science")</f>
        <v>View Full Record in Web of Science</v>
      </c>
    </row>
    <row r="363" spans="1:72" x14ac:dyDescent="0.15">
      <c r="A363" t="s">
        <v>72</v>
      </c>
      <c r="B363" t="s">
        <v>7444</v>
      </c>
      <c r="C363" t="s">
        <v>74</v>
      </c>
      <c r="D363" t="s">
        <v>74</v>
      </c>
      <c r="E363" t="s">
        <v>74</v>
      </c>
      <c r="F363" t="s">
        <v>7445</v>
      </c>
      <c r="G363" t="s">
        <v>74</v>
      </c>
      <c r="H363" t="s">
        <v>74</v>
      </c>
      <c r="I363" t="s">
        <v>7446</v>
      </c>
      <c r="J363" t="s">
        <v>1106</v>
      </c>
      <c r="K363" t="s">
        <v>74</v>
      </c>
      <c r="L363" t="s">
        <v>74</v>
      </c>
      <c r="M363" t="s">
        <v>78</v>
      </c>
      <c r="N363" t="s">
        <v>79</v>
      </c>
      <c r="O363" t="s">
        <v>74</v>
      </c>
      <c r="P363" t="s">
        <v>74</v>
      </c>
      <c r="Q363" t="s">
        <v>74</v>
      </c>
      <c r="R363" t="s">
        <v>74</v>
      </c>
      <c r="S363" t="s">
        <v>74</v>
      </c>
      <c r="T363" t="s">
        <v>74</v>
      </c>
      <c r="U363" t="s">
        <v>7447</v>
      </c>
      <c r="V363" t="s">
        <v>7448</v>
      </c>
      <c r="W363" t="s">
        <v>7449</v>
      </c>
      <c r="X363" t="s">
        <v>7450</v>
      </c>
      <c r="Y363" t="s">
        <v>7451</v>
      </c>
      <c r="Z363" t="s">
        <v>7452</v>
      </c>
      <c r="AA363" t="s">
        <v>7453</v>
      </c>
      <c r="AB363" t="s">
        <v>7454</v>
      </c>
      <c r="AC363" t="s">
        <v>7455</v>
      </c>
      <c r="AD363" t="s">
        <v>7456</v>
      </c>
      <c r="AE363" t="s">
        <v>7457</v>
      </c>
      <c r="AF363" t="s">
        <v>74</v>
      </c>
      <c r="AG363">
        <v>70</v>
      </c>
      <c r="AH363">
        <v>12</v>
      </c>
      <c r="AI363">
        <v>14</v>
      </c>
      <c r="AJ363">
        <v>3</v>
      </c>
      <c r="AK363">
        <v>42</v>
      </c>
      <c r="AL363" t="s">
        <v>1118</v>
      </c>
      <c r="AM363" t="s">
        <v>1119</v>
      </c>
      <c r="AN363" t="s">
        <v>1120</v>
      </c>
      <c r="AO363" t="s">
        <v>1121</v>
      </c>
      <c r="AP363" t="s">
        <v>74</v>
      </c>
      <c r="AQ363" t="s">
        <v>74</v>
      </c>
      <c r="AR363" t="s">
        <v>1122</v>
      </c>
      <c r="AS363" t="s">
        <v>1123</v>
      </c>
      <c r="AT363" t="s">
        <v>7440</v>
      </c>
      <c r="AU363">
        <v>2020</v>
      </c>
      <c r="AV363">
        <v>10</v>
      </c>
      <c r="AW363">
        <v>1</v>
      </c>
      <c r="AX363" t="s">
        <v>74</v>
      </c>
      <c r="AY363" t="s">
        <v>74</v>
      </c>
      <c r="AZ363" t="s">
        <v>74</v>
      </c>
      <c r="BA363" t="s">
        <v>74</v>
      </c>
      <c r="BB363" t="s">
        <v>74</v>
      </c>
      <c r="BC363" t="s">
        <v>74</v>
      </c>
      <c r="BD363">
        <v>9409</v>
      </c>
      <c r="BE363" t="s">
        <v>7458</v>
      </c>
      <c r="BF363" t="str">
        <f>HYPERLINK("http://dx.doi.org/10.1038/s41598-020-66450-7","http://dx.doi.org/10.1038/s41598-020-66450-7")</f>
        <v>http://dx.doi.org/10.1038/s41598-020-66450-7</v>
      </c>
      <c r="BG363" t="s">
        <v>74</v>
      </c>
      <c r="BH363" t="s">
        <v>74</v>
      </c>
      <c r="BI363">
        <v>14</v>
      </c>
      <c r="BJ363" t="s">
        <v>1125</v>
      </c>
      <c r="BK363" t="s">
        <v>102</v>
      </c>
      <c r="BL363" t="s">
        <v>1126</v>
      </c>
      <c r="BM363" t="s">
        <v>7459</v>
      </c>
      <c r="BN363">
        <v>32523081</v>
      </c>
      <c r="BO363" t="s">
        <v>1778</v>
      </c>
      <c r="BP363" t="s">
        <v>74</v>
      </c>
      <c r="BQ363" t="s">
        <v>74</v>
      </c>
      <c r="BR363" t="s">
        <v>106</v>
      </c>
      <c r="BS363" t="s">
        <v>7460</v>
      </c>
      <c r="BT363" t="str">
        <f>HYPERLINK("https%3A%2F%2Fwww.webofscience.com%2Fwos%2Fwoscc%2Ffull-record%2FWOS:000560478900025","View Full Record in Web of Science")</f>
        <v>View Full Record in Web of Science</v>
      </c>
    </row>
    <row r="364" spans="1:72" x14ac:dyDescent="0.15">
      <c r="A364" t="s">
        <v>72</v>
      </c>
      <c r="B364" t="s">
        <v>7461</v>
      </c>
      <c r="C364" t="s">
        <v>74</v>
      </c>
      <c r="D364" t="s">
        <v>74</v>
      </c>
      <c r="E364" t="s">
        <v>74</v>
      </c>
      <c r="F364" t="s">
        <v>7462</v>
      </c>
      <c r="G364" t="s">
        <v>74</v>
      </c>
      <c r="H364" t="s">
        <v>74</v>
      </c>
      <c r="I364" t="s">
        <v>7463</v>
      </c>
      <c r="J364" t="s">
        <v>299</v>
      </c>
      <c r="K364" t="s">
        <v>74</v>
      </c>
      <c r="L364" t="s">
        <v>74</v>
      </c>
      <c r="M364" t="s">
        <v>78</v>
      </c>
      <c r="N364" t="s">
        <v>79</v>
      </c>
      <c r="O364" t="s">
        <v>74</v>
      </c>
      <c r="P364" t="s">
        <v>74</v>
      </c>
      <c r="Q364" t="s">
        <v>74</v>
      </c>
      <c r="R364" t="s">
        <v>74</v>
      </c>
      <c r="S364" t="s">
        <v>74</v>
      </c>
      <c r="T364" t="s">
        <v>7464</v>
      </c>
      <c r="U364" t="s">
        <v>7465</v>
      </c>
      <c r="V364" t="s">
        <v>7466</v>
      </c>
      <c r="W364" t="s">
        <v>7467</v>
      </c>
      <c r="X364" t="s">
        <v>7468</v>
      </c>
      <c r="Y364" t="s">
        <v>7469</v>
      </c>
      <c r="Z364" t="s">
        <v>7470</v>
      </c>
      <c r="AA364" t="s">
        <v>7471</v>
      </c>
      <c r="AB364" t="s">
        <v>7472</v>
      </c>
      <c r="AC364" t="s">
        <v>7473</v>
      </c>
      <c r="AD364" t="s">
        <v>7474</v>
      </c>
      <c r="AE364" t="s">
        <v>7475</v>
      </c>
      <c r="AF364" t="s">
        <v>74</v>
      </c>
      <c r="AG364">
        <v>71</v>
      </c>
      <c r="AH364">
        <v>28</v>
      </c>
      <c r="AI364">
        <v>35</v>
      </c>
      <c r="AJ364">
        <v>19</v>
      </c>
      <c r="AK364">
        <v>197</v>
      </c>
      <c r="AL364" t="s">
        <v>284</v>
      </c>
      <c r="AM364" t="s">
        <v>285</v>
      </c>
      <c r="AN364" t="s">
        <v>286</v>
      </c>
      <c r="AO364" t="s">
        <v>312</v>
      </c>
      <c r="AP364" t="s">
        <v>313</v>
      </c>
      <c r="AQ364" t="s">
        <v>74</v>
      </c>
      <c r="AR364" t="s">
        <v>314</v>
      </c>
      <c r="AS364" t="s">
        <v>315</v>
      </c>
      <c r="AT364" t="s">
        <v>7440</v>
      </c>
      <c r="AU364">
        <v>2020</v>
      </c>
      <c r="AV364">
        <v>720</v>
      </c>
      <c r="AW364" t="s">
        <v>74</v>
      </c>
      <c r="AX364" t="s">
        <v>74</v>
      </c>
      <c r="AY364" t="s">
        <v>74</v>
      </c>
      <c r="AZ364" t="s">
        <v>74</v>
      </c>
      <c r="BA364" t="s">
        <v>74</v>
      </c>
      <c r="BB364" t="s">
        <v>74</v>
      </c>
      <c r="BC364" t="s">
        <v>74</v>
      </c>
      <c r="BD364">
        <v>137557</v>
      </c>
      <c r="BE364" t="s">
        <v>7476</v>
      </c>
      <c r="BF364" t="str">
        <f>HYPERLINK("http://dx.doi.org/10.1016/j.scitotenv.2020.137557","http://dx.doi.org/10.1016/j.scitotenv.2020.137557")</f>
        <v>http://dx.doi.org/10.1016/j.scitotenv.2020.137557</v>
      </c>
      <c r="BG364" t="s">
        <v>74</v>
      </c>
      <c r="BH364" t="s">
        <v>74</v>
      </c>
      <c r="BI364">
        <v>9</v>
      </c>
      <c r="BJ364" t="s">
        <v>101</v>
      </c>
      <c r="BK364" t="s">
        <v>102</v>
      </c>
      <c r="BL364" t="s">
        <v>103</v>
      </c>
      <c r="BM364" t="s">
        <v>7477</v>
      </c>
      <c r="BN364">
        <v>32145627</v>
      </c>
      <c r="BO364" t="s">
        <v>74</v>
      </c>
      <c r="BP364" t="s">
        <v>74</v>
      </c>
      <c r="BQ364" t="s">
        <v>74</v>
      </c>
      <c r="BR364" t="s">
        <v>106</v>
      </c>
      <c r="BS364" t="s">
        <v>7478</v>
      </c>
      <c r="BT364" t="str">
        <f>HYPERLINK("https%3A%2F%2Fwww.webofscience.com%2Fwos%2Fwoscc%2Ffull-record%2FWOS:000525736600102","View Full Record in Web of Science")</f>
        <v>View Full Record in Web of Science</v>
      </c>
    </row>
    <row r="365" spans="1:72" x14ac:dyDescent="0.15">
      <c r="A365" t="s">
        <v>72</v>
      </c>
      <c r="B365" t="s">
        <v>7479</v>
      </c>
      <c r="C365" t="s">
        <v>74</v>
      </c>
      <c r="D365" t="s">
        <v>74</v>
      </c>
      <c r="E365" t="s">
        <v>74</v>
      </c>
      <c r="F365" t="s">
        <v>7480</v>
      </c>
      <c r="G365" t="s">
        <v>74</v>
      </c>
      <c r="H365" t="s">
        <v>74</v>
      </c>
      <c r="I365" t="s">
        <v>7481</v>
      </c>
      <c r="J365" t="s">
        <v>7482</v>
      </c>
      <c r="K365" t="s">
        <v>74</v>
      </c>
      <c r="L365" t="s">
        <v>74</v>
      </c>
      <c r="M365" t="s">
        <v>78</v>
      </c>
      <c r="N365" t="s">
        <v>79</v>
      </c>
      <c r="O365" t="s">
        <v>74</v>
      </c>
      <c r="P365" t="s">
        <v>74</v>
      </c>
      <c r="Q365" t="s">
        <v>74</v>
      </c>
      <c r="R365" t="s">
        <v>74</v>
      </c>
      <c r="S365" t="s">
        <v>74</v>
      </c>
      <c r="T365" t="s">
        <v>7483</v>
      </c>
      <c r="U365" t="s">
        <v>7484</v>
      </c>
      <c r="V365" t="s">
        <v>7485</v>
      </c>
      <c r="W365" t="s">
        <v>7486</v>
      </c>
      <c r="X365" t="s">
        <v>7487</v>
      </c>
      <c r="Y365" t="s">
        <v>7488</v>
      </c>
      <c r="Z365" t="s">
        <v>7489</v>
      </c>
      <c r="AA365" t="s">
        <v>7490</v>
      </c>
      <c r="AB365" t="s">
        <v>7491</v>
      </c>
      <c r="AC365" t="s">
        <v>74</v>
      </c>
      <c r="AD365" t="s">
        <v>74</v>
      </c>
      <c r="AE365" t="s">
        <v>74</v>
      </c>
      <c r="AF365" t="s">
        <v>74</v>
      </c>
      <c r="AG365">
        <v>80</v>
      </c>
      <c r="AH365">
        <v>8</v>
      </c>
      <c r="AI365">
        <v>8</v>
      </c>
      <c r="AJ365">
        <v>1</v>
      </c>
      <c r="AK365">
        <v>9</v>
      </c>
      <c r="AL365" t="s">
        <v>2615</v>
      </c>
      <c r="AM365" t="s">
        <v>1412</v>
      </c>
      <c r="AN365" t="s">
        <v>2616</v>
      </c>
      <c r="AO365" t="s">
        <v>7492</v>
      </c>
      <c r="AP365" t="s">
        <v>7493</v>
      </c>
      <c r="AQ365" t="s">
        <v>74</v>
      </c>
      <c r="AR365" t="s">
        <v>7494</v>
      </c>
      <c r="AS365" t="s">
        <v>7495</v>
      </c>
      <c r="AT365" t="s">
        <v>3808</v>
      </c>
      <c r="AU365">
        <v>2020</v>
      </c>
      <c r="AV365">
        <v>35</v>
      </c>
      <c r="AW365">
        <v>105</v>
      </c>
      <c r="AX365" t="s">
        <v>74</v>
      </c>
      <c r="AY365" t="s">
        <v>74</v>
      </c>
      <c r="AZ365" t="s">
        <v>74</v>
      </c>
      <c r="BA365" t="s">
        <v>74</v>
      </c>
      <c r="BB365">
        <v>261</v>
      </c>
      <c r="BC365">
        <v>276</v>
      </c>
      <c r="BD365" t="s">
        <v>74</v>
      </c>
      <c r="BE365" t="s">
        <v>7496</v>
      </c>
      <c r="BF365" t="str">
        <f>HYPERLINK("http://dx.doi.org/10.1080/08164649.2020.1774864","http://dx.doi.org/10.1080/08164649.2020.1774864")</f>
        <v>http://dx.doi.org/10.1080/08164649.2020.1774864</v>
      </c>
      <c r="BG365" t="s">
        <v>74</v>
      </c>
      <c r="BH365" t="s">
        <v>5750</v>
      </c>
      <c r="BI365">
        <v>16</v>
      </c>
      <c r="BJ365" t="s">
        <v>7497</v>
      </c>
      <c r="BK365" t="s">
        <v>607</v>
      </c>
      <c r="BL365" t="s">
        <v>7497</v>
      </c>
      <c r="BM365" t="s">
        <v>7498</v>
      </c>
      <c r="BN365" t="s">
        <v>74</v>
      </c>
      <c r="BO365" t="s">
        <v>74</v>
      </c>
      <c r="BP365" t="s">
        <v>74</v>
      </c>
      <c r="BQ365" t="s">
        <v>74</v>
      </c>
      <c r="BR365" t="s">
        <v>106</v>
      </c>
      <c r="BS365" t="s">
        <v>7499</v>
      </c>
      <c r="BT365" t="str">
        <f>HYPERLINK("https%3A%2F%2Fwww.webofscience.com%2Fwos%2Fwoscc%2Ffull-record%2FWOS:000543649600001","View Full Record in Web of Science")</f>
        <v>View Full Record in Web of Science</v>
      </c>
    </row>
    <row r="366" spans="1:72" x14ac:dyDescent="0.15">
      <c r="A366" t="s">
        <v>72</v>
      </c>
      <c r="B366" t="s">
        <v>7500</v>
      </c>
      <c r="C366" t="s">
        <v>74</v>
      </c>
      <c r="D366" t="s">
        <v>74</v>
      </c>
      <c r="E366" t="s">
        <v>74</v>
      </c>
      <c r="F366" t="s">
        <v>7501</v>
      </c>
      <c r="G366" t="s">
        <v>74</v>
      </c>
      <c r="H366" t="s">
        <v>74</v>
      </c>
      <c r="I366" t="s">
        <v>7502</v>
      </c>
      <c r="J366" t="s">
        <v>7503</v>
      </c>
      <c r="K366" t="s">
        <v>74</v>
      </c>
      <c r="L366" t="s">
        <v>74</v>
      </c>
      <c r="M366" t="s">
        <v>78</v>
      </c>
      <c r="N366" t="s">
        <v>79</v>
      </c>
      <c r="O366" t="s">
        <v>74</v>
      </c>
      <c r="P366" t="s">
        <v>74</v>
      </c>
      <c r="Q366" t="s">
        <v>74</v>
      </c>
      <c r="R366" t="s">
        <v>74</v>
      </c>
      <c r="S366" t="s">
        <v>74</v>
      </c>
      <c r="T366" t="s">
        <v>7504</v>
      </c>
      <c r="U366" t="s">
        <v>7505</v>
      </c>
      <c r="V366" t="s">
        <v>7506</v>
      </c>
      <c r="W366" t="s">
        <v>7507</v>
      </c>
      <c r="X366" t="s">
        <v>7508</v>
      </c>
      <c r="Y366" t="s">
        <v>7509</v>
      </c>
      <c r="Z366" t="s">
        <v>7510</v>
      </c>
      <c r="AA366" t="s">
        <v>7511</v>
      </c>
      <c r="AB366" t="s">
        <v>7512</v>
      </c>
      <c r="AC366" t="s">
        <v>7513</v>
      </c>
      <c r="AD366" t="s">
        <v>7514</v>
      </c>
      <c r="AE366" t="s">
        <v>7515</v>
      </c>
      <c r="AF366" t="s">
        <v>74</v>
      </c>
      <c r="AG366">
        <v>74</v>
      </c>
      <c r="AH366">
        <v>11</v>
      </c>
      <c r="AI366">
        <v>12</v>
      </c>
      <c r="AJ366">
        <v>0</v>
      </c>
      <c r="AK366">
        <v>20</v>
      </c>
      <c r="AL366" t="s">
        <v>1024</v>
      </c>
      <c r="AM366" t="s">
        <v>1025</v>
      </c>
      <c r="AN366" t="s">
        <v>1026</v>
      </c>
      <c r="AO366" t="s">
        <v>7516</v>
      </c>
      <c r="AP366" t="s">
        <v>74</v>
      </c>
      <c r="AQ366" t="s">
        <v>74</v>
      </c>
      <c r="AR366" t="s">
        <v>7517</v>
      </c>
      <c r="AS366" t="s">
        <v>7518</v>
      </c>
      <c r="AT366" t="s">
        <v>7519</v>
      </c>
      <c r="AU366">
        <v>2020</v>
      </c>
      <c r="AV366">
        <v>11</v>
      </c>
      <c r="AW366" t="s">
        <v>74</v>
      </c>
      <c r="AX366" t="s">
        <v>74</v>
      </c>
      <c r="AY366" t="s">
        <v>74</v>
      </c>
      <c r="AZ366" t="s">
        <v>74</v>
      </c>
      <c r="BA366" t="s">
        <v>74</v>
      </c>
      <c r="BB366" t="s">
        <v>74</v>
      </c>
      <c r="BC366" t="s">
        <v>74</v>
      </c>
      <c r="BD366">
        <v>766</v>
      </c>
      <c r="BE366" t="s">
        <v>7520</v>
      </c>
      <c r="BF366" t="str">
        <f>HYPERLINK("http://dx.doi.org/10.3389/fpls.2020.00766","http://dx.doi.org/10.3389/fpls.2020.00766")</f>
        <v>http://dx.doi.org/10.3389/fpls.2020.00766</v>
      </c>
      <c r="BG366" t="s">
        <v>74</v>
      </c>
      <c r="BH366" t="s">
        <v>74</v>
      </c>
      <c r="BI366">
        <v>16</v>
      </c>
      <c r="BJ366" t="s">
        <v>1635</v>
      </c>
      <c r="BK366" t="s">
        <v>102</v>
      </c>
      <c r="BL366" t="s">
        <v>1635</v>
      </c>
      <c r="BM366" t="s">
        <v>7521</v>
      </c>
      <c r="BN366">
        <v>32582270</v>
      </c>
      <c r="BO366" t="s">
        <v>1778</v>
      </c>
      <c r="BP366" t="s">
        <v>74</v>
      </c>
      <c r="BQ366" t="s">
        <v>74</v>
      </c>
      <c r="BR366" t="s">
        <v>106</v>
      </c>
      <c r="BS366" t="s">
        <v>7522</v>
      </c>
      <c r="BT366" t="str">
        <f>HYPERLINK("https%3A%2F%2Fwww.webofscience.com%2Fwos%2Fwoscc%2Ffull-record%2FWOS:000543809900001","View Full Record in Web of Science")</f>
        <v>View Full Record in Web of Science</v>
      </c>
    </row>
    <row r="367" spans="1:72" x14ac:dyDescent="0.15">
      <c r="A367" t="s">
        <v>72</v>
      </c>
      <c r="B367" t="s">
        <v>7523</v>
      </c>
      <c r="C367" t="s">
        <v>74</v>
      </c>
      <c r="D367" t="s">
        <v>74</v>
      </c>
      <c r="E367" t="s">
        <v>74</v>
      </c>
      <c r="F367" t="s">
        <v>7524</v>
      </c>
      <c r="G367" t="s">
        <v>74</v>
      </c>
      <c r="H367" t="s">
        <v>74</v>
      </c>
      <c r="I367" t="s">
        <v>7525</v>
      </c>
      <c r="J367" t="s">
        <v>2028</v>
      </c>
      <c r="K367" t="s">
        <v>74</v>
      </c>
      <c r="L367" t="s">
        <v>74</v>
      </c>
      <c r="M367" t="s">
        <v>78</v>
      </c>
      <c r="N367" t="s">
        <v>79</v>
      </c>
      <c r="O367" t="s">
        <v>74</v>
      </c>
      <c r="P367" t="s">
        <v>74</v>
      </c>
      <c r="Q367" t="s">
        <v>74</v>
      </c>
      <c r="R367" t="s">
        <v>74</v>
      </c>
      <c r="S367" t="s">
        <v>74</v>
      </c>
      <c r="T367" t="s">
        <v>7526</v>
      </c>
      <c r="U367" t="s">
        <v>7527</v>
      </c>
      <c r="V367" t="s">
        <v>7528</v>
      </c>
      <c r="W367" t="s">
        <v>7529</v>
      </c>
      <c r="X367" t="s">
        <v>7530</v>
      </c>
      <c r="Y367" t="s">
        <v>7531</v>
      </c>
      <c r="Z367" t="s">
        <v>7532</v>
      </c>
      <c r="AA367" t="s">
        <v>7533</v>
      </c>
      <c r="AB367" t="s">
        <v>7534</v>
      </c>
      <c r="AC367" t="s">
        <v>7535</v>
      </c>
      <c r="AD367" t="s">
        <v>7536</v>
      </c>
      <c r="AE367" t="s">
        <v>7537</v>
      </c>
      <c r="AF367" t="s">
        <v>74</v>
      </c>
      <c r="AG367">
        <v>124</v>
      </c>
      <c r="AH367">
        <v>7</v>
      </c>
      <c r="AI367">
        <v>7</v>
      </c>
      <c r="AJ367">
        <v>0</v>
      </c>
      <c r="AK367">
        <v>11</v>
      </c>
      <c r="AL367" t="s">
        <v>1024</v>
      </c>
      <c r="AM367" t="s">
        <v>1025</v>
      </c>
      <c r="AN367" t="s">
        <v>1026</v>
      </c>
      <c r="AO367" t="s">
        <v>74</v>
      </c>
      <c r="AP367" t="s">
        <v>2040</v>
      </c>
      <c r="AQ367" t="s">
        <v>74</v>
      </c>
      <c r="AR367" t="s">
        <v>2041</v>
      </c>
      <c r="AS367" t="s">
        <v>2042</v>
      </c>
      <c r="AT367" t="s">
        <v>7519</v>
      </c>
      <c r="AU367">
        <v>2020</v>
      </c>
      <c r="AV367">
        <v>11</v>
      </c>
      <c r="AW367" t="s">
        <v>74</v>
      </c>
      <c r="AX367" t="s">
        <v>74</v>
      </c>
      <c r="AY367" t="s">
        <v>74</v>
      </c>
      <c r="AZ367" t="s">
        <v>74</v>
      </c>
      <c r="BA367" t="s">
        <v>74</v>
      </c>
      <c r="BB367" t="s">
        <v>74</v>
      </c>
      <c r="BC367" t="s">
        <v>74</v>
      </c>
      <c r="BD367">
        <v>1242</v>
      </c>
      <c r="BE367" t="s">
        <v>7538</v>
      </c>
      <c r="BF367" t="str">
        <f>HYPERLINK("http://dx.doi.org/10.3389/fmicb.2020.01242","http://dx.doi.org/10.3389/fmicb.2020.01242")</f>
        <v>http://dx.doi.org/10.3389/fmicb.2020.01242</v>
      </c>
      <c r="BG367" t="s">
        <v>74</v>
      </c>
      <c r="BH367" t="s">
        <v>74</v>
      </c>
      <c r="BI367">
        <v>18</v>
      </c>
      <c r="BJ367" t="s">
        <v>2045</v>
      </c>
      <c r="BK367" t="s">
        <v>102</v>
      </c>
      <c r="BL367" t="s">
        <v>2045</v>
      </c>
      <c r="BM367" t="s">
        <v>7539</v>
      </c>
      <c r="BN367">
        <v>32582131</v>
      </c>
      <c r="BO367" t="s">
        <v>1778</v>
      </c>
      <c r="BP367" t="s">
        <v>74</v>
      </c>
      <c r="BQ367" t="s">
        <v>74</v>
      </c>
      <c r="BR367" t="s">
        <v>106</v>
      </c>
      <c r="BS367" t="s">
        <v>7540</v>
      </c>
      <c r="BT367" t="str">
        <f>HYPERLINK("https%3A%2F%2Fwww.webofscience.com%2Fwos%2Fwoscc%2Ffull-record%2FWOS:000543513400001","View Full Record in Web of Science")</f>
        <v>View Full Record in Web of Science</v>
      </c>
    </row>
    <row r="368" spans="1:72" x14ac:dyDescent="0.15">
      <c r="A368" t="s">
        <v>72</v>
      </c>
      <c r="B368" t="s">
        <v>7541</v>
      </c>
      <c r="C368" t="s">
        <v>74</v>
      </c>
      <c r="D368" t="s">
        <v>74</v>
      </c>
      <c r="E368" t="s">
        <v>74</v>
      </c>
      <c r="F368" t="s">
        <v>7542</v>
      </c>
      <c r="G368" t="s">
        <v>74</v>
      </c>
      <c r="H368" t="s">
        <v>74</v>
      </c>
      <c r="I368" t="s">
        <v>7543</v>
      </c>
      <c r="J368" t="s">
        <v>5711</v>
      </c>
      <c r="K368" t="s">
        <v>74</v>
      </c>
      <c r="L368" t="s">
        <v>74</v>
      </c>
      <c r="M368" t="s">
        <v>78</v>
      </c>
      <c r="N368" t="s">
        <v>79</v>
      </c>
      <c r="O368" t="s">
        <v>74</v>
      </c>
      <c r="P368" t="s">
        <v>74</v>
      </c>
      <c r="Q368" t="s">
        <v>74</v>
      </c>
      <c r="R368" t="s">
        <v>74</v>
      </c>
      <c r="S368" t="s">
        <v>74</v>
      </c>
      <c r="T368" t="s">
        <v>74</v>
      </c>
      <c r="U368" t="s">
        <v>7544</v>
      </c>
      <c r="V368" t="s">
        <v>7545</v>
      </c>
      <c r="W368" t="s">
        <v>7546</v>
      </c>
      <c r="X368" t="s">
        <v>7547</v>
      </c>
      <c r="Y368" t="s">
        <v>7548</v>
      </c>
      <c r="Z368" t="s">
        <v>7549</v>
      </c>
      <c r="AA368" t="s">
        <v>7550</v>
      </c>
      <c r="AB368" t="s">
        <v>7551</v>
      </c>
      <c r="AC368" t="s">
        <v>7552</v>
      </c>
      <c r="AD368" t="s">
        <v>7553</v>
      </c>
      <c r="AE368" t="s">
        <v>7554</v>
      </c>
      <c r="AF368" t="s">
        <v>74</v>
      </c>
      <c r="AG368">
        <v>30</v>
      </c>
      <c r="AH368">
        <v>2</v>
      </c>
      <c r="AI368">
        <v>2</v>
      </c>
      <c r="AJ368">
        <v>1</v>
      </c>
      <c r="AK368">
        <v>5</v>
      </c>
      <c r="AL368" t="s">
        <v>1049</v>
      </c>
      <c r="AM368" t="s">
        <v>1050</v>
      </c>
      <c r="AN368" t="s">
        <v>1051</v>
      </c>
      <c r="AO368" t="s">
        <v>5723</v>
      </c>
      <c r="AP368" t="s">
        <v>5724</v>
      </c>
      <c r="AQ368" t="s">
        <v>74</v>
      </c>
      <c r="AR368" t="s">
        <v>5725</v>
      </c>
      <c r="AS368" t="s">
        <v>5726</v>
      </c>
      <c r="AT368" t="s">
        <v>7519</v>
      </c>
      <c r="AU368">
        <v>2020</v>
      </c>
      <c r="AV368">
        <v>13</v>
      </c>
      <c r="AW368">
        <v>6</v>
      </c>
      <c r="AX368" t="s">
        <v>74</v>
      </c>
      <c r="AY368" t="s">
        <v>74</v>
      </c>
      <c r="AZ368" t="s">
        <v>74</v>
      </c>
      <c r="BA368" t="s">
        <v>74</v>
      </c>
      <c r="BB368">
        <v>3023</v>
      </c>
      <c r="BC368">
        <v>3031</v>
      </c>
      <c r="BD368" t="s">
        <v>74</v>
      </c>
      <c r="BE368" t="s">
        <v>7555</v>
      </c>
      <c r="BF368" t="str">
        <f>HYPERLINK("http://dx.doi.org/10.5194/amt-13-3023-2020","http://dx.doi.org/10.5194/amt-13-3023-2020")</f>
        <v>http://dx.doi.org/10.5194/amt-13-3023-2020</v>
      </c>
      <c r="BG368" t="s">
        <v>74</v>
      </c>
      <c r="BH368" t="s">
        <v>74</v>
      </c>
      <c r="BI368">
        <v>9</v>
      </c>
      <c r="BJ368" t="s">
        <v>159</v>
      </c>
      <c r="BK368" t="s">
        <v>102</v>
      </c>
      <c r="BL368" t="s">
        <v>159</v>
      </c>
      <c r="BM368" t="s">
        <v>7556</v>
      </c>
      <c r="BN368" t="s">
        <v>74</v>
      </c>
      <c r="BO368" t="s">
        <v>6409</v>
      </c>
      <c r="BP368" t="s">
        <v>74</v>
      </c>
      <c r="BQ368" t="s">
        <v>74</v>
      </c>
      <c r="BR368" t="s">
        <v>106</v>
      </c>
      <c r="BS368" t="s">
        <v>7557</v>
      </c>
      <c r="BT368" t="str">
        <f>HYPERLINK("https%3A%2F%2Fwww.webofscience.com%2Fwos%2Fwoscc%2Ffull-record%2FWOS:000541457400002","View Full Record in Web of Science")</f>
        <v>View Full Record in Web of Science</v>
      </c>
    </row>
    <row r="369" spans="1:72" x14ac:dyDescent="0.15">
      <c r="A369" t="s">
        <v>72</v>
      </c>
      <c r="B369" t="s">
        <v>7558</v>
      </c>
      <c r="C369" t="s">
        <v>74</v>
      </c>
      <c r="D369" t="s">
        <v>74</v>
      </c>
      <c r="E369" t="s">
        <v>74</v>
      </c>
      <c r="F369" t="s">
        <v>7559</v>
      </c>
      <c r="G369" t="s">
        <v>74</v>
      </c>
      <c r="H369" t="s">
        <v>74</v>
      </c>
      <c r="I369" t="s">
        <v>7560</v>
      </c>
      <c r="J369" t="s">
        <v>2496</v>
      </c>
      <c r="K369" t="s">
        <v>74</v>
      </c>
      <c r="L369" t="s">
        <v>74</v>
      </c>
      <c r="M369" t="s">
        <v>78</v>
      </c>
      <c r="N369" t="s">
        <v>79</v>
      </c>
      <c r="O369" t="s">
        <v>74</v>
      </c>
      <c r="P369" t="s">
        <v>74</v>
      </c>
      <c r="Q369" t="s">
        <v>74</v>
      </c>
      <c r="R369" t="s">
        <v>74</v>
      </c>
      <c r="S369" t="s">
        <v>74</v>
      </c>
      <c r="T369" t="s">
        <v>74</v>
      </c>
      <c r="U369" t="s">
        <v>7561</v>
      </c>
      <c r="V369" t="s">
        <v>7562</v>
      </c>
      <c r="W369" t="s">
        <v>7563</v>
      </c>
      <c r="X369" t="s">
        <v>7564</v>
      </c>
      <c r="Y369" t="s">
        <v>7565</v>
      </c>
      <c r="Z369" t="s">
        <v>7566</v>
      </c>
      <c r="AA369" t="s">
        <v>7567</v>
      </c>
      <c r="AB369" t="s">
        <v>7568</v>
      </c>
      <c r="AC369" t="s">
        <v>7569</v>
      </c>
      <c r="AD369" t="s">
        <v>7570</v>
      </c>
      <c r="AE369" t="s">
        <v>7571</v>
      </c>
      <c r="AF369" t="s">
        <v>74</v>
      </c>
      <c r="AG369">
        <v>133</v>
      </c>
      <c r="AH369">
        <v>35</v>
      </c>
      <c r="AI369">
        <v>38</v>
      </c>
      <c r="AJ369">
        <v>1</v>
      </c>
      <c r="AK369">
        <v>18</v>
      </c>
      <c r="AL369" t="s">
        <v>1049</v>
      </c>
      <c r="AM369" t="s">
        <v>1050</v>
      </c>
      <c r="AN369" t="s">
        <v>1051</v>
      </c>
      <c r="AO369" t="s">
        <v>2508</v>
      </c>
      <c r="AP369" t="s">
        <v>2509</v>
      </c>
      <c r="AQ369" t="s">
        <v>74</v>
      </c>
      <c r="AR369" t="s">
        <v>2510</v>
      </c>
      <c r="AS369" t="s">
        <v>2511</v>
      </c>
      <c r="AT369" t="s">
        <v>7519</v>
      </c>
      <c r="AU369">
        <v>2020</v>
      </c>
      <c r="AV369">
        <v>16</v>
      </c>
      <c r="AW369">
        <v>3</v>
      </c>
      <c r="AX369" t="s">
        <v>74</v>
      </c>
      <c r="AY369" t="s">
        <v>74</v>
      </c>
      <c r="AZ369" t="s">
        <v>74</v>
      </c>
      <c r="BA369" t="s">
        <v>74</v>
      </c>
      <c r="BB369">
        <v>973</v>
      </c>
      <c r="BC369">
        <v>1006</v>
      </c>
      <c r="BD369" t="s">
        <v>74</v>
      </c>
      <c r="BE369" t="s">
        <v>7572</v>
      </c>
      <c r="BF369" t="str">
        <f>HYPERLINK("http://dx.doi.org/10.5194/cp-16-973-2020","http://dx.doi.org/10.5194/cp-16-973-2020")</f>
        <v>http://dx.doi.org/10.5194/cp-16-973-2020</v>
      </c>
      <c r="BG369" t="s">
        <v>74</v>
      </c>
      <c r="BH369" t="s">
        <v>74</v>
      </c>
      <c r="BI369">
        <v>34</v>
      </c>
      <c r="BJ369" t="s">
        <v>1057</v>
      </c>
      <c r="BK369" t="s">
        <v>102</v>
      </c>
      <c r="BL369" t="s">
        <v>1058</v>
      </c>
      <c r="BM369" t="s">
        <v>7573</v>
      </c>
      <c r="BN369" t="s">
        <v>74</v>
      </c>
      <c r="BO369" t="s">
        <v>1352</v>
      </c>
      <c r="BP369" t="s">
        <v>74</v>
      </c>
      <c r="BQ369" t="s">
        <v>74</v>
      </c>
      <c r="BR369" t="s">
        <v>106</v>
      </c>
      <c r="BS369" t="s">
        <v>7574</v>
      </c>
      <c r="BT369" t="str">
        <f>HYPERLINK("https%3A%2F%2Fwww.webofscience.com%2Fwos%2Fwoscc%2Ffull-record%2FWOS:000541458800001","View Full Record in Web of Science")</f>
        <v>View Full Record in Web of Science</v>
      </c>
    </row>
    <row r="370" spans="1:72" x14ac:dyDescent="0.15">
      <c r="A370" t="s">
        <v>72</v>
      </c>
      <c r="B370" t="s">
        <v>7575</v>
      </c>
      <c r="C370" t="s">
        <v>74</v>
      </c>
      <c r="D370" t="s">
        <v>74</v>
      </c>
      <c r="E370" t="s">
        <v>74</v>
      </c>
      <c r="F370" t="s">
        <v>7576</v>
      </c>
      <c r="G370" t="s">
        <v>74</v>
      </c>
      <c r="H370" t="s">
        <v>74</v>
      </c>
      <c r="I370" t="s">
        <v>7577</v>
      </c>
      <c r="J370" t="s">
        <v>2496</v>
      </c>
      <c r="K370" t="s">
        <v>74</v>
      </c>
      <c r="L370" t="s">
        <v>74</v>
      </c>
      <c r="M370" t="s">
        <v>78</v>
      </c>
      <c r="N370" t="s">
        <v>79</v>
      </c>
      <c r="O370" t="s">
        <v>74</v>
      </c>
      <c r="P370" t="s">
        <v>74</v>
      </c>
      <c r="Q370" t="s">
        <v>74</v>
      </c>
      <c r="R370" t="s">
        <v>74</v>
      </c>
      <c r="S370" t="s">
        <v>74</v>
      </c>
      <c r="T370" t="s">
        <v>74</v>
      </c>
      <c r="U370" t="s">
        <v>7578</v>
      </c>
      <c r="V370" t="s">
        <v>7579</v>
      </c>
      <c r="W370" t="s">
        <v>7580</v>
      </c>
      <c r="X370" t="s">
        <v>7581</v>
      </c>
      <c r="Y370" t="s">
        <v>7582</v>
      </c>
      <c r="Z370" t="s">
        <v>7583</v>
      </c>
      <c r="AA370" t="s">
        <v>74</v>
      </c>
      <c r="AB370" t="s">
        <v>7584</v>
      </c>
      <c r="AC370" t="s">
        <v>7585</v>
      </c>
      <c r="AD370" t="s">
        <v>7586</v>
      </c>
      <c r="AE370" t="s">
        <v>7587</v>
      </c>
      <c r="AF370" t="s">
        <v>74</v>
      </c>
      <c r="AG370">
        <v>68</v>
      </c>
      <c r="AH370">
        <v>13</v>
      </c>
      <c r="AI370">
        <v>13</v>
      </c>
      <c r="AJ370">
        <v>1</v>
      </c>
      <c r="AK370">
        <v>10</v>
      </c>
      <c r="AL370" t="s">
        <v>1049</v>
      </c>
      <c r="AM370" t="s">
        <v>1050</v>
      </c>
      <c r="AN370" t="s">
        <v>1051</v>
      </c>
      <c r="AO370" t="s">
        <v>2508</v>
      </c>
      <c r="AP370" t="s">
        <v>2509</v>
      </c>
      <c r="AQ370" t="s">
        <v>74</v>
      </c>
      <c r="AR370" t="s">
        <v>2510</v>
      </c>
      <c r="AS370" t="s">
        <v>2511</v>
      </c>
      <c r="AT370" t="s">
        <v>7519</v>
      </c>
      <c r="AU370">
        <v>2020</v>
      </c>
      <c r="AV370">
        <v>16</v>
      </c>
      <c r="AW370">
        <v>3</v>
      </c>
      <c r="AX370" t="s">
        <v>74</v>
      </c>
      <c r="AY370" t="s">
        <v>74</v>
      </c>
      <c r="AZ370" t="s">
        <v>74</v>
      </c>
      <c r="BA370" t="s">
        <v>74</v>
      </c>
      <c r="BB370">
        <v>1007</v>
      </c>
      <c r="BC370">
        <v>1025</v>
      </c>
      <c r="BD370" t="s">
        <v>74</v>
      </c>
      <c r="BE370" t="s">
        <v>7588</v>
      </c>
      <c r="BF370" t="str">
        <f>HYPERLINK("http://dx.doi.org/10.5194/cp-16-1007-2020","http://dx.doi.org/10.5194/cp-16-1007-2020")</f>
        <v>http://dx.doi.org/10.5194/cp-16-1007-2020</v>
      </c>
      <c r="BG370" t="s">
        <v>74</v>
      </c>
      <c r="BH370" t="s">
        <v>74</v>
      </c>
      <c r="BI370">
        <v>19</v>
      </c>
      <c r="BJ370" t="s">
        <v>1057</v>
      </c>
      <c r="BK370" t="s">
        <v>102</v>
      </c>
      <c r="BL370" t="s">
        <v>1058</v>
      </c>
      <c r="BM370" t="s">
        <v>7573</v>
      </c>
      <c r="BN370" t="s">
        <v>74</v>
      </c>
      <c r="BO370" t="s">
        <v>2089</v>
      </c>
      <c r="BP370" t="s">
        <v>74</v>
      </c>
      <c r="BQ370" t="s">
        <v>74</v>
      </c>
      <c r="BR370" t="s">
        <v>106</v>
      </c>
      <c r="BS370" t="s">
        <v>7589</v>
      </c>
      <c r="BT370" t="str">
        <f>HYPERLINK("https%3A%2F%2Fwww.webofscience.com%2Fwos%2Fwoscc%2Ffull-record%2FWOS:000541458800002","View Full Record in Web of Science")</f>
        <v>View Full Record in Web of Science</v>
      </c>
    </row>
    <row r="371" spans="1:72" x14ac:dyDescent="0.15">
      <c r="A371" t="s">
        <v>72</v>
      </c>
      <c r="B371" t="s">
        <v>7590</v>
      </c>
      <c r="C371" t="s">
        <v>74</v>
      </c>
      <c r="D371" t="s">
        <v>74</v>
      </c>
      <c r="E371" t="s">
        <v>74</v>
      </c>
      <c r="F371" t="s">
        <v>7591</v>
      </c>
      <c r="G371" t="s">
        <v>74</v>
      </c>
      <c r="H371" t="s">
        <v>74</v>
      </c>
      <c r="I371" t="s">
        <v>7592</v>
      </c>
      <c r="J371" t="s">
        <v>1039</v>
      </c>
      <c r="K371" t="s">
        <v>74</v>
      </c>
      <c r="L371" t="s">
        <v>74</v>
      </c>
      <c r="M371" t="s">
        <v>78</v>
      </c>
      <c r="N371" t="s">
        <v>1040</v>
      </c>
      <c r="O371" t="s">
        <v>74</v>
      </c>
      <c r="P371" t="s">
        <v>74</v>
      </c>
      <c r="Q371" t="s">
        <v>74</v>
      </c>
      <c r="R371" t="s">
        <v>74</v>
      </c>
      <c r="S371" t="s">
        <v>74</v>
      </c>
      <c r="T371" t="s">
        <v>74</v>
      </c>
      <c r="U371" t="s">
        <v>7593</v>
      </c>
      <c r="V371" t="s">
        <v>7594</v>
      </c>
      <c r="W371" t="s">
        <v>7595</v>
      </c>
      <c r="X371" t="s">
        <v>7596</v>
      </c>
      <c r="Y371" t="s">
        <v>7597</v>
      </c>
      <c r="Z371" t="s">
        <v>7598</v>
      </c>
      <c r="AA371" t="s">
        <v>7599</v>
      </c>
      <c r="AB371" t="s">
        <v>7600</v>
      </c>
      <c r="AC371" t="s">
        <v>7601</v>
      </c>
      <c r="AD371" t="s">
        <v>7602</v>
      </c>
      <c r="AE371" t="s">
        <v>7603</v>
      </c>
      <c r="AF371" t="s">
        <v>74</v>
      </c>
      <c r="AG371">
        <v>185</v>
      </c>
      <c r="AH371">
        <v>18</v>
      </c>
      <c r="AI371">
        <v>19</v>
      </c>
      <c r="AJ371">
        <v>2</v>
      </c>
      <c r="AK371">
        <v>17</v>
      </c>
      <c r="AL371" t="s">
        <v>1049</v>
      </c>
      <c r="AM371" t="s">
        <v>1050</v>
      </c>
      <c r="AN371" t="s">
        <v>1051</v>
      </c>
      <c r="AO371" t="s">
        <v>1052</v>
      </c>
      <c r="AP371" t="s">
        <v>1053</v>
      </c>
      <c r="AQ371" t="s">
        <v>74</v>
      </c>
      <c r="AR371" t="s">
        <v>1054</v>
      </c>
      <c r="AS371" t="s">
        <v>1055</v>
      </c>
      <c r="AT371" t="s">
        <v>7519</v>
      </c>
      <c r="AU371">
        <v>2020</v>
      </c>
      <c r="AV371">
        <v>12</v>
      </c>
      <c r="AW371">
        <v>2</v>
      </c>
      <c r="AX371" t="s">
        <v>74</v>
      </c>
      <c r="AY371" t="s">
        <v>74</v>
      </c>
      <c r="AZ371" t="s">
        <v>74</v>
      </c>
      <c r="BA371" t="s">
        <v>74</v>
      </c>
      <c r="BB371">
        <v>1267</v>
      </c>
      <c r="BC371">
        <v>1285</v>
      </c>
      <c r="BD371" t="s">
        <v>74</v>
      </c>
      <c r="BE371" t="s">
        <v>7604</v>
      </c>
      <c r="BF371" t="str">
        <f>HYPERLINK("http://dx.doi.org/10.5194/essd-12-1267-2020","http://dx.doi.org/10.5194/essd-12-1267-2020")</f>
        <v>http://dx.doi.org/10.5194/essd-12-1267-2020</v>
      </c>
      <c r="BG371" t="s">
        <v>74</v>
      </c>
      <c r="BH371" t="s">
        <v>74</v>
      </c>
      <c r="BI371">
        <v>19</v>
      </c>
      <c r="BJ371" t="s">
        <v>1057</v>
      </c>
      <c r="BK371" t="s">
        <v>102</v>
      </c>
      <c r="BL371" t="s">
        <v>1058</v>
      </c>
      <c r="BM371" t="s">
        <v>7605</v>
      </c>
      <c r="BN371" t="s">
        <v>74</v>
      </c>
      <c r="BO371" t="s">
        <v>1352</v>
      </c>
      <c r="BP371" t="s">
        <v>74</v>
      </c>
      <c r="BQ371" t="s">
        <v>74</v>
      </c>
      <c r="BR371" t="s">
        <v>106</v>
      </c>
      <c r="BS371" t="s">
        <v>7606</v>
      </c>
      <c r="BT371" t="str">
        <f>HYPERLINK("https%3A%2F%2Fwww.webofscience.com%2Fwos%2Fwoscc%2Ffull-record%2FWOS:000541460000001","View Full Record in Web of Science")</f>
        <v>View Full Record in Web of Science</v>
      </c>
    </row>
    <row r="372" spans="1:72" x14ac:dyDescent="0.15">
      <c r="A372" t="s">
        <v>72</v>
      </c>
      <c r="B372" t="s">
        <v>7607</v>
      </c>
      <c r="C372" t="s">
        <v>74</v>
      </c>
      <c r="D372" t="s">
        <v>74</v>
      </c>
      <c r="E372" t="s">
        <v>74</v>
      </c>
      <c r="F372" t="s">
        <v>7608</v>
      </c>
      <c r="G372" t="s">
        <v>74</v>
      </c>
      <c r="H372" t="s">
        <v>74</v>
      </c>
      <c r="I372" t="s">
        <v>7609</v>
      </c>
      <c r="J372" t="s">
        <v>1065</v>
      </c>
      <c r="K372" t="s">
        <v>74</v>
      </c>
      <c r="L372" t="s">
        <v>74</v>
      </c>
      <c r="M372" t="s">
        <v>78</v>
      </c>
      <c r="N372" t="s">
        <v>79</v>
      </c>
      <c r="O372" t="s">
        <v>74</v>
      </c>
      <c r="P372" t="s">
        <v>74</v>
      </c>
      <c r="Q372" t="s">
        <v>74</v>
      </c>
      <c r="R372" t="s">
        <v>74</v>
      </c>
      <c r="S372" t="s">
        <v>74</v>
      </c>
      <c r="T372" t="s">
        <v>7610</v>
      </c>
      <c r="U372" t="s">
        <v>7611</v>
      </c>
      <c r="V372" t="s">
        <v>7612</v>
      </c>
      <c r="W372" t="s">
        <v>7613</v>
      </c>
      <c r="X372" t="s">
        <v>7614</v>
      </c>
      <c r="Y372" t="s">
        <v>7615</v>
      </c>
      <c r="Z372" t="s">
        <v>7616</v>
      </c>
      <c r="AA372" t="s">
        <v>7617</v>
      </c>
      <c r="AB372" t="s">
        <v>74</v>
      </c>
      <c r="AC372" t="s">
        <v>7618</v>
      </c>
      <c r="AD372" t="s">
        <v>7619</v>
      </c>
      <c r="AE372" t="s">
        <v>7620</v>
      </c>
      <c r="AF372" t="s">
        <v>74</v>
      </c>
      <c r="AG372">
        <v>71</v>
      </c>
      <c r="AH372">
        <v>4</v>
      </c>
      <c r="AI372">
        <v>4</v>
      </c>
      <c r="AJ372">
        <v>3</v>
      </c>
      <c r="AK372">
        <v>31</v>
      </c>
      <c r="AL372" t="s">
        <v>1024</v>
      </c>
      <c r="AM372" t="s">
        <v>1025</v>
      </c>
      <c r="AN372" t="s">
        <v>1026</v>
      </c>
      <c r="AO372" t="s">
        <v>74</v>
      </c>
      <c r="AP372" t="s">
        <v>1078</v>
      </c>
      <c r="AQ372" t="s">
        <v>74</v>
      </c>
      <c r="AR372" t="s">
        <v>1079</v>
      </c>
      <c r="AS372" t="s">
        <v>1080</v>
      </c>
      <c r="AT372" t="s">
        <v>7519</v>
      </c>
      <c r="AU372">
        <v>2020</v>
      </c>
      <c r="AV372">
        <v>7</v>
      </c>
      <c r="AW372" t="s">
        <v>74</v>
      </c>
      <c r="AX372" t="s">
        <v>74</v>
      </c>
      <c r="AY372" t="s">
        <v>74</v>
      </c>
      <c r="AZ372" t="s">
        <v>74</v>
      </c>
      <c r="BA372" t="s">
        <v>74</v>
      </c>
      <c r="BB372" t="s">
        <v>74</v>
      </c>
      <c r="BC372" t="s">
        <v>74</v>
      </c>
      <c r="BD372">
        <v>339</v>
      </c>
      <c r="BE372" t="s">
        <v>7621</v>
      </c>
      <c r="BF372" t="str">
        <f>HYPERLINK("http://dx.doi.org/10.3389/fmars.2020.00339","http://dx.doi.org/10.3389/fmars.2020.00339")</f>
        <v>http://dx.doi.org/10.3389/fmars.2020.00339</v>
      </c>
      <c r="BG372" t="s">
        <v>74</v>
      </c>
      <c r="BH372" t="s">
        <v>74</v>
      </c>
      <c r="BI372">
        <v>12</v>
      </c>
      <c r="BJ372" t="s">
        <v>237</v>
      </c>
      <c r="BK372" t="s">
        <v>102</v>
      </c>
      <c r="BL372" t="s">
        <v>238</v>
      </c>
      <c r="BM372" t="s">
        <v>7622</v>
      </c>
      <c r="BN372" t="s">
        <v>74</v>
      </c>
      <c r="BO372" t="s">
        <v>161</v>
      </c>
      <c r="BP372" t="s">
        <v>74</v>
      </c>
      <c r="BQ372" t="s">
        <v>74</v>
      </c>
      <c r="BR372" t="s">
        <v>106</v>
      </c>
      <c r="BS372" t="s">
        <v>7623</v>
      </c>
      <c r="BT372" t="str">
        <f>HYPERLINK("https%3A%2F%2Fwww.webofscience.com%2Fwos%2Fwoscc%2Ffull-record%2FWOS:000538994400001","View Full Record in Web of Science")</f>
        <v>View Full Record in Web of Science</v>
      </c>
    </row>
    <row r="373" spans="1:72" x14ac:dyDescent="0.15">
      <c r="A373" t="s">
        <v>72</v>
      </c>
      <c r="B373" t="s">
        <v>7624</v>
      </c>
      <c r="C373" t="s">
        <v>74</v>
      </c>
      <c r="D373" t="s">
        <v>74</v>
      </c>
      <c r="E373" t="s">
        <v>74</v>
      </c>
      <c r="F373" t="s">
        <v>7625</v>
      </c>
      <c r="G373" t="s">
        <v>74</v>
      </c>
      <c r="H373" t="s">
        <v>74</v>
      </c>
      <c r="I373" t="s">
        <v>7626</v>
      </c>
      <c r="J373" t="s">
        <v>1065</v>
      </c>
      <c r="K373" t="s">
        <v>74</v>
      </c>
      <c r="L373" t="s">
        <v>74</v>
      </c>
      <c r="M373" t="s">
        <v>78</v>
      </c>
      <c r="N373" t="s">
        <v>79</v>
      </c>
      <c r="O373" t="s">
        <v>74</v>
      </c>
      <c r="P373" t="s">
        <v>74</v>
      </c>
      <c r="Q373" t="s">
        <v>74</v>
      </c>
      <c r="R373" t="s">
        <v>74</v>
      </c>
      <c r="S373" t="s">
        <v>74</v>
      </c>
      <c r="T373" t="s">
        <v>7627</v>
      </c>
      <c r="U373" t="s">
        <v>7628</v>
      </c>
      <c r="V373" t="s">
        <v>7629</v>
      </c>
      <c r="W373" t="s">
        <v>7630</v>
      </c>
      <c r="X373" t="s">
        <v>7631</v>
      </c>
      <c r="Y373" t="s">
        <v>7632</v>
      </c>
      <c r="Z373" t="s">
        <v>7633</v>
      </c>
      <c r="AA373" t="s">
        <v>7634</v>
      </c>
      <c r="AB373" t="s">
        <v>7635</v>
      </c>
      <c r="AC373" t="s">
        <v>7636</v>
      </c>
      <c r="AD373" t="s">
        <v>7637</v>
      </c>
      <c r="AE373" t="s">
        <v>7638</v>
      </c>
      <c r="AF373" t="s">
        <v>74</v>
      </c>
      <c r="AG373">
        <v>128</v>
      </c>
      <c r="AH373">
        <v>14</v>
      </c>
      <c r="AI373">
        <v>15</v>
      </c>
      <c r="AJ373">
        <v>2</v>
      </c>
      <c r="AK373">
        <v>14</v>
      </c>
      <c r="AL373" t="s">
        <v>1024</v>
      </c>
      <c r="AM373" t="s">
        <v>1025</v>
      </c>
      <c r="AN373" t="s">
        <v>1026</v>
      </c>
      <c r="AO373" t="s">
        <v>74</v>
      </c>
      <c r="AP373" t="s">
        <v>1078</v>
      </c>
      <c r="AQ373" t="s">
        <v>74</v>
      </c>
      <c r="AR373" t="s">
        <v>1079</v>
      </c>
      <c r="AS373" t="s">
        <v>1080</v>
      </c>
      <c r="AT373" t="s">
        <v>7519</v>
      </c>
      <c r="AU373">
        <v>2020</v>
      </c>
      <c r="AV373">
        <v>7</v>
      </c>
      <c r="AW373" t="s">
        <v>74</v>
      </c>
      <c r="AX373" t="s">
        <v>74</v>
      </c>
      <c r="AY373" t="s">
        <v>74</v>
      </c>
      <c r="AZ373" t="s">
        <v>74</v>
      </c>
      <c r="BA373" t="s">
        <v>74</v>
      </c>
      <c r="BB373" t="s">
        <v>74</v>
      </c>
      <c r="BC373" t="s">
        <v>74</v>
      </c>
      <c r="BD373">
        <v>416</v>
      </c>
      <c r="BE373" t="s">
        <v>7639</v>
      </c>
      <c r="BF373" t="str">
        <f>HYPERLINK("http://dx.doi.org/10.3389/fmars.2020.00416","http://dx.doi.org/10.3389/fmars.2020.00416")</f>
        <v>http://dx.doi.org/10.3389/fmars.2020.00416</v>
      </c>
      <c r="BG373" t="s">
        <v>74</v>
      </c>
      <c r="BH373" t="s">
        <v>74</v>
      </c>
      <c r="BI373">
        <v>18</v>
      </c>
      <c r="BJ373" t="s">
        <v>237</v>
      </c>
      <c r="BK373" t="s">
        <v>102</v>
      </c>
      <c r="BL373" t="s">
        <v>238</v>
      </c>
      <c r="BM373" t="s">
        <v>7640</v>
      </c>
      <c r="BN373" t="s">
        <v>74</v>
      </c>
      <c r="BO373" t="s">
        <v>1778</v>
      </c>
      <c r="BP373" t="s">
        <v>74</v>
      </c>
      <c r="BQ373" t="s">
        <v>74</v>
      </c>
      <c r="BR373" t="s">
        <v>106</v>
      </c>
      <c r="BS373" t="s">
        <v>7641</v>
      </c>
      <c r="BT373" t="str">
        <f>HYPERLINK("https%3A%2F%2Fwww.webofscience.com%2Fwos%2Fwoscc%2Ffull-record%2FWOS:000538995700001","View Full Record in Web of Science")</f>
        <v>View Full Record in Web of Science</v>
      </c>
    </row>
    <row r="374" spans="1:72" x14ac:dyDescent="0.15">
      <c r="A374" t="s">
        <v>72</v>
      </c>
      <c r="B374" t="s">
        <v>7642</v>
      </c>
      <c r="C374" t="s">
        <v>74</v>
      </c>
      <c r="D374" t="s">
        <v>74</v>
      </c>
      <c r="E374" t="s">
        <v>74</v>
      </c>
      <c r="F374" t="s">
        <v>7643</v>
      </c>
      <c r="G374" t="s">
        <v>74</v>
      </c>
      <c r="H374" t="s">
        <v>74</v>
      </c>
      <c r="I374" t="s">
        <v>7644</v>
      </c>
      <c r="J374" t="s">
        <v>7645</v>
      </c>
      <c r="K374" t="s">
        <v>74</v>
      </c>
      <c r="L374" t="s">
        <v>74</v>
      </c>
      <c r="M374" t="s">
        <v>78</v>
      </c>
      <c r="N374" t="s">
        <v>79</v>
      </c>
      <c r="O374" t="s">
        <v>74</v>
      </c>
      <c r="P374" t="s">
        <v>74</v>
      </c>
      <c r="Q374" t="s">
        <v>74</v>
      </c>
      <c r="R374" t="s">
        <v>74</v>
      </c>
      <c r="S374" t="s">
        <v>74</v>
      </c>
      <c r="T374" t="s">
        <v>7646</v>
      </c>
      <c r="U374" t="s">
        <v>7647</v>
      </c>
      <c r="V374" t="s">
        <v>7648</v>
      </c>
      <c r="W374" t="s">
        <v>7649</v>
      </c>
      <c r="X374" t="s">
        <v>7650</v>
      </c>
      <c r="Y374" t="s">
        <v>7651</v>
      </c>
      <c r="Z374" t="s">
        <v>7652</v>
      </c>
      <c r="AA374" t="s">
        <v>74</v>
      </c>
      <c r="AB374" t="s">
        <v>74</v>
      </c>
      <c r="AC374" t="s">
        <v>7653</v>
      </c>
      <c r="AD374" t="s">
        <v>7654</v>
      </c>
      <c r="AE374" t="s">
        <v>7655</v>
      </c>
      <c r="AF374" t="s">
        <v>74</v>
      </c>
      <c r="AG374">
        <v>93</v>
      </c>
      <c r="AH374">
        <v>2</v>
      </c>
      <c r="AI374">
        <v>2</v>
      </c>
      <c r="AJ374">
        <v>2</v>
      </c>
      <c r="AK374">
        <v>25</v>
      </c>
      <c r="AL374" t="s">
        <v>7656</v>
      </c>
      <c r="AM374" t="s">
        <v>7657</v>
      </c>
      <c r="AN374" t="s">
        <v>7658</v>
      </c>
      <c r="AO374" t="s">
        <v>7659</v>
      </c>
      <c r="AP374" t="s">
        <v>7660</v>
      </c>
      <c r="AQ374" t="s">
        <v>74</v>
      </c>
      <c r="AR374" t="s">
        <v>7661</v>
      </c>
      <c r="AS374" t="s">
        <v>7662</v>
      </c>
      <c r="AT374" t="s">
        <v>7663</v>
      </c>
      <c r="AU374">
        <v>2020</v>
      </c>
      <c r="AV374">
        <v>55</v>
      </c>
      <c r="AW374">
        <v>2</v>
      </c>
      <c r="AX374" t="s">
        <v>74</v>
      </c>
      <c r="AY374" t="s">
        <v>74</v>
      </c>
      <c r="AZ374" t="s">
        <v>74</v>
      </c>
      <c r="BA374" t="s">
        <v>74</v>
      </c>
      <c r="BB374">
        <v>303</v>
      </c>
      <c r="BC374">
        <v>319</v>
      </c>
      <c r="BD374" t="s">
        <v>74</v>
      </c>
      <c r="BE374" t="s">
        <v>7664</v>
      </c>
      <c r="BF374" t="str">
        <f>HYPERLINK("http://dx.doi.org/10.1007/s12601-020-0016-8","http://dx.doi.org/10.1007/s12601-020-0016-8")</f>
        <v>http://dx.doi.org/10.1007/s12601-020-0016-8</v>
      </c>
      <c r="BG374" t="s">
        <v>74</v>
      </c>
      <c r="BH374" t="s">
        <v>5750</v>
      </c>
      <c r="BI374">
        <v>17</v>
      </c>
      <c r="BJ374" t="s">
        <v>2312</v>
      </c>
      <c r="BK374" t="s">
        <v>102</v>
      </c>
      <c r="BL374" t="s">
        <v>2312</v>
      </c>
      <c r="BM374" t="s">
        <v>7665</v>
      </c>
      <c r="BN374" t="s">
        <v>74</v>
      </c>
      <c r="BO374" t="s">
        <v>74</v>
      </c>
      <c r="BP374" t="s">
        <v>74</v>
      </c>
      <c r="BQ374" t="s">
        <v>74</v>
      </c>
      <c r="BR374" t="s">
        <v>106</v>
      </c>
      <c r="BS374" t="s">
        <v>7666</v>
      </c>
      <c r="BT374" t="str">
        <f>HYPERLINK("https%3A%2F%2Fwww.webofscience.com%2Fwos%2Fwoscc%2Ffull-record%2FWOS:000539187800001","View Full Record in Web of Science")</f>
        <v>View Full Record in Web of Science</v>
      </c>
    </row>
    <row r="375" spans="1:72" x14ac:dyDescent="0.15">
      <c r="A375" t="s">
        <v>72</v>
      </c>
      <c r="B375" t="s">
        <v>7667</v>
      </c>
      <c r="C375" t="s">
        <v>74</v>
      </c>
      <c r="D375" t="s">
        <v>74</v>
      </c>
      <c r="E375" t="s">
        <v>74</v>
      </c>
      <c r="F375" t="s">
        <v>7668</v>
      </c>
      <c r="G375" t="s">
        <v>74</v>
      </c>
      <c r="H375" t="s">
        <v>74</v>
      </c>
      <c r="I375" t="s">
        <v>7669</v>
      </c>
      <c r="J375" t="s">
        <v>7670</v>
      </c>
      <c r="K375" t="s">
        <v>74</v>
      </c>
      <c r="L375" t="s">
        <v>74</v>
      </c>
      <c r="M375" t="s">
        <v>78</v>
      </c>
      <c r="N375" t="s">
        <v>7671</v>
      </c>
      <c r="O375" t="s">
        <v>74</v>
      </c>
      <c r="P375" t="s">
        <v>74</v>
      </c>
      <c r="Q375" t="s">
        <v>74</v>
      </c>
      <c r="R375" t="s">
        <v>74</v>
      </c>
      <c r="S375" t="s">
        <v>74</v>
      </c>
      <c r="T375" t="s">
        <v>74</v>
      </c>
      <c r="U375" t="s">
        <v>74</v>
      </c>
      <c r="V375" t="s">
        <v>7672</v>
      </c>
      <c r="W375" t="s">
        <v>7673</v>
      </c>
      <c r="X375" t="s">
        <v>7674</v>
      </c>
      <c r="Y375" t="s">
        <v>7675</v>
      </c>
      <c r="Z375" t="s">
        <v>7676</v>
      </c>
      <c r="AA375" t="s">
        <v>74</v>
      </c>
      <c r="AB375" t="s">
        <v>74</v>
      </c>
      <c r="AC375" t="s">
        <v>74</v>
      </c>
      <c r="AD375" t="s">
        <v>74</v>
      </c>
      <c r="AE375" t="s">
        <v>74</v>
      </c>
      <c r="AF375" t="s">
        <v>74</v>
      </c>
      <c r="AG375">
        <v>2</v>
      </c>
      <c r="AH375">
        <v>0</v>
      </c>
      <c r="AI375">
        <v>0</v>
      </c>
      <c r="AJ375">
        <v>0</v>
      </c>
      <c r="AK375">
        <v>5</v>
      </c>
      <c r="AL375" t="s">
        <v>1440</v>
      </c>
      <c r="AM375" t="s">
        <v>399</v>
      </c>
      <c r="AN375" t="s">
        <v>1441</v>
      </c>
      <c r="AO375" t="s">
        <v>7677</v>
      </c>
      <c r="AP375" t="s">
        <v>7678</v>
      </c>
      <c r="AQ375" t="s">
        <v>74</v>
      </c>
      <c r="AR375" t="s">
        <v>7679</v>
      </c>
      <c r="AS375" t="s">
        <v>7680</v>
      </c>
      <c r="AT375" t="s">
        <v>1001</v>
      </c>
      <c r="AU375">
        <v>2020</v>
      </c>
      <c r="AV375">
        <v>40</v>
      </c>
      <c r="AW375">
        <v>5</v>
      </c>
      <c r="AX375" t="s">
        <v>74</v>
      </c>
      <c r="AY375" t="s">
        <v>74</v>
      </c>
      <c r="AZ375" t="s">
        <v>74</v>
      </c>
      <c r="BA375" t="s">
        <v>74</v>
      </c>
      <c r="BB375">
        <v>817</v>
      </c>
      <c r="BC375">
        <v>817</v>
      </c>
      <c r="BD375" t="s">
        <v>74</v>
      </c>
      <c r="BE375" t="s">
        <v>7681</v>
      </c>
      <c r="BF375" t="str">
        <f>HYPERLINK("http://dx.doi.org/10.1007/s00367-020-00662-8","http://dx.doi.org/10.1007/s00367-020-00662-8")</f>
        <v>http://dx.doi.org/10.1007/s00367-020-00662-8</v>
      </c>
      <c r="BG375" t="s">
        <v>74</v>
      </c>
      <c r="BH375" t="s">
        <v>5750</v>
      </c>
      <c r="BI375">
        <v>1</v>
      </c>
      <c r="BJ375" t="s">
        <v>5506</v>
      </c>
      <c r="BK375" t="s">
        <v>102</v>
      </c>
      <c r="BL375" t="s">
        <v>5507</v>
      </c>
      <c r="BM375" t="s">
        <v>7682</v>
      </c>
      <c r="BN375" t="s">
        <v>74</v>
      </c>
      <c r="BO375" t="s">
        <v>1657</v>
      </c>
      <c r="BP375" t="s">
        <v>74</v>
      </c>
      <c r="BQ375" t="s">
        <v>74</v>
      </c>
      <c r="BR375" t="s">
        <v>106</v>
      </c>
      <c r="BS375" t="s">
        <v>7683</v>
      </c>
      <c r="BT375" t="str">
        <f>HYPERLINK("https%3A%2F%2Fwww.webofscience.com%2Fwos%2Fwoscc%2Ffull-record%2FWOS:000538970600001","View Full Record in Web of Science")</f>
        <v>View Full Record in Web of Science</v>
      </c>
    </row>
    <row r="376" spans="1:72" x14ac:dyDescent="0.15">
      <c r="A376" t="s">
        <v>72</v>
      </c>
      <c r="B376" t="s">
        <v>7684</v>
      </c>
      <c r="C376" t="s">
        <v>74</v>
      </c>
      <c r="D376" t="s">
        <v>74</v>
      </c>
      <c r="E376" t="s">
        <v>74</v>
      </c>
      <c r="F376" t="s">
        <v>7685</v>
      </c>
      <c r="G376" t="s">
        <v>74</v>
      </c>
      <c r="H376" t="s">
        <v>74</v>
      </c>
      <c r="I376" t="s">
        <v>7686</v>
      </c>
      <c r="J376" t="s">
        <v>7687</v>
      </c>
      <c r="K376" t="s">
        <v>74</v>
      </c>
      <c r="L376" t="s">
        <v>74</v>
      </c>
      <c r="M376" t="s">
        <v>78</v>
      </c>
      <c r="N376" t="s">
        <v>79</v>
      </c>
      <c r="O376" t="s">
        <v>74</v>
      </c>
      <c r="P376" t="s">
        <v>74</v>
      </c>
      <c r="Q376" t="s">
        <v>74</v>
      </c>
      <c r="R376" t="s">
        <v>74</v>
      </c>
      <c r="S376" t="s">
        <v>74</v>
      </c>
      <c r="T376" t="s">
        <v>74</v>
      </c>
      <c r="U376" t="s">
        <v>7688</v>
      </c>
      <c r="V376" t="s">
        <v>7689</v>
      </c>
      <c r="W376" t="s">
        <v>7690</v>
      </c>
      <c r="X376" t="s">
        <v>7691</v>
      </c>
      <c r="Y376" t="s">
        <v>7692</v>
      </c>
      <c r="Z376" t="s">
        <v>7693</v>
      </c>
      <c r="AA376" t="s">
        <v>7694</v>
      </c>
      <c r="AB376" t="s">
        <v>7695</v>
      </c>
      <c r="AC376" t="s">
        <v>7696</v>
      </c>
      <c r="AD376" t="s">
        <v>7697</v>
      </c>
      <c r="AE376" t="s">
        <v>7698</v>
      </c>
      <c r="AF376" t="s">
        <v>74</v>
      </c>
      <c r="AG376">
        <v>65</v>
      </c>
      <c r="AH376">
        <v>4</v>
      </c>
      <c r="AI376">
        <v>6</v>
      </c>
      <c r="AJ376">
        <v>0</v>
      </c>
      <c r="AK376">
        <v>7</v>
      </c>
      <c r="AL376" t="s">
        <v>7699</v>
      </c>
      <c r="AM376" t="s">
        <v>945</v>
      </c>
      <c r="AN376" t="s">
        <v>7700</v>
      </c>
      <c r="AO376" t="s">
        <v>7701</v>
      </c>
      <c r="AP376" t="s">
        <v>74</v>
      </c>
      <c r="AQ376" t="s">
        <v>74</v>
      </c>
      <c r="AR376" t="s">
        <v>7702</v>
      </c>
      <c r="AS376" t="s">
        <v>7703</v>
      </c>
      <c r="AT376" t="s">
        <v>7519</v>
      </c>
      <c r="AU376">
        <v>2020</v>
      </c>
      <c r="AV376">
        <v>10</v>
      </c>
      <c r="AW376">
        <v>1</v>
      </c>
      <c r="AX376" t="s">
        <v>74</v>
      </c>
      <c r="AY376" t="s">
        <v>74</v>
      </c>
      <c r="AZ376" t="s">
        <v>74</v>
      </c>
      <c r="BA376" t="s">
        <v>74</v>
      </c>
      <c r="BB376" t="s">
        <v>74</v>
      </c>
      <c r="BC376" t="s">
        <v>74</v>
      </c>
      <c r="BD376" t="s">
        <v>74</v>
      </c>
      <c r="BE376" t="s">
        <v>7704</v>
      </c>
      <c r="BF376" t="str">
        <f>HYPERLINK("http://dx.doi.org/10.1038/s41398-020-00869-4","http://dx.doi.org/10.1038/s41398-020-00869-4")</f>
        <v>http://dx.doi.org/10.1038/s41398-020-00869-4</v>
      </c>
      <c r="BG376" t="s">
        <v>74</v>
      </c>
      <c r="BH376" t="s">
        <v>74</v>
      </c>
      <c r="BI376">
        <v>11</v>
      </c>
      <c r="BJ376" t="s">
        <v>7705</v>
      </c>
      <c r="BK376" t="s">
        <v>102</v>
      </c>
      <c r="BL376" t="s">
        <v>7705</v>
      </c>
      <c r="BM376" t="s">
        <v>7706</v>
      </c>
      <c r="BN376">
        <v>32518224</v>
      </c>
      <c r="BO376" t="s">
        <v>1778</v>
      </c>
      <c r="BP376" t="s">
        <v>74</v>
      </c>
      <c r="BQ376" t="s">
        <v>74</v>
      </c>
      <c r="BR376" t="s">
        <v>106</v>
      </c>
      <c r="BS376" t="s">
        <v>7707</v>
      </c>
      <c r="BT376" t="str">
        <f>HYPERLINK("https%3A%2F%2Fwww.webofscience.com%2Fwos%2Fwoscc%2Ffull-record%2FWOS:000542690400004","View Full Record in Web of Science")</f>
        <v>View Full Record in Web of Science</v>
      </c>
    </row>
    <row r="377" spans="1:72" x14ac:dyDescent="0.15">
      <c r="A377" t="s">
        <v>72</v>
      </c>
      <c r="B377" t="s">
        <v>7708</v>
      </c>
      <c r="C377" t="s">
        <v>74</v>
      </c>
      <c r="D377" t="s">
        <v>74</v>
      </c>
      <c r="E377" t="s">
        <v>74</v>
      </c>
      <c r="F377" t="s">
        <v>7709</v>
      </c>
      <c r="G377" t="s">
        <v>74</v>
      </c>
      <c r="H377" t="s">
        <v>74</v>
      </c>
      <c r="I377" t="s">
        <v>7710</v>
      </c>
      <c r="J377" t="s">
        <v>3068</v>
      </c>
      <c r="K377" t="s">
        <v>74</v>
      </c>
      <c r="L377" t="s">
        <v>74</v>
      </c>
      <c r="M377" t="s">
        <v>78</v>
      </c>
      <c r="N377" t="s">
        <v>79</v>
      </c>
      <c r="O377" t="s">
        <v>74</v>
      </c>
      <c r="P377" t="s">
        <v>74</v>
      </c>
      <c r="Q377" t="s">
        <v>74</v>
      </c>
      <c r="R377" t="s">
        <v>74</v>
      </c>
      <c r="S377" t="s">
        <v>74</v>
      </c>
      <c r="T377" t="s">
        <v>7711</v>
      </c>
      <c r="U377" t="s">
        <v>74</v>
      </c>
      <c r="V377" t="s">
        <v>7712</v>
      </c>
      <c r="W377" t="s">
        <v>7713</v>
      </c>
      <c r="X377" t="s">
        <v>7714</v>
      </c>
      <c r="Y377" t="s">
        <v>7715</v>
      </c>
      <c r="Z377" t="s">
        <v>7716</v>
      </c>
      <c r="AA377" t="s">
        <v>7717</v>
      </c>
      <c r="AB377" t="s">
        <v>7718</v>
      </c>
      <c r="AC377" t="s">
        <v>7719</v>
      </c>
      <c r="AD377" t="s">
        <v>7720</v>
      </c>
      <c r="AE377" t="s">
        <v>7721</v>
      </c>
      <c r="AF377" t="s">
        <v>74</v>
      </c>
      <c r="AG377">
        <v>8</v>
      </c>
      <c r="AH377">
        <v>4</v>
      </c>
      <c r="AI377">
        <v>4</v>
      </c>
      <c r="AJ377">
        <v>0</v>
      </c>
      <c r="AK377">
        <v>3</v>
      </c>
      <c r="AL377" t="s">
        <v>7722</v>
      </c>
      <c r="AM377" t="s">
        <v>7723</v>
      </c>
      <c r="AN377" t="s">
        <v>7724</v>
      </c>
      <c r="AO377" t="s">
        <v>3082</v>
      </c>
      <c r="AP377" t="s">
        <v>3083</v>
      </c>
      <c r="AQ377" t="s">
        <v>74</v>
      </c>
      <c r="AR377" t="s">
        <v>7725</v>
      </c>
      <c r="AS377" t="s">
        <v>3085</v>
      </c>
      <c r="AT377" t="s">
        <v>7726</v>
      </c>
      <c r="AU377">
        <v>2020</v>
      </c>
      <c r="AV377">
        <v>39</v>
      </c>
      <c r="AW377" t="s">
        <v>74</v>
      </c>
      <c r="AX377" t="s">
        <v>74</v>
      </c>
      <c r="AY377" t="s">
        <v>74</v>
      </c>
      <c r="AZ377" t="s">
        <v>74</v>
      </c>
      <c r="BA377" t="s">
        <v>74</v>
      </c>
      <c r="BB377" t="s">
        <v>74</v>
      </c>
      <c r="BC377" t="s">
        <v>74</v>
      </c>
      <c r="BD377">
        <v>3663</v>
      </c>
      <c r="BE377" t="s">
        <v>7727</v>
      </c>
      <c r="BF377" t="str">
        <f>HYPERLINK("http://dx.doi.org/10.33265/polar.v39.3663","http://dx.doi.org/10.33265/polar.v39.3663")</f>
        <v>http://dx.doi.org/10.33265/polar.v39.3663</v>
      </c>
      <c r="BG377" t="s">
        <v>74</v>
      </c>
      <c r="BH377" t="s">
        <v>74</v>
      </c>
      <c r="BI377">
        <v>4</v>
      </c>
      <c r="BJ377" t="s">
        <v>3087</v>
      </c>
      <c r="BK377" t="s">
        <v>102</v>
      </c>
      <c r="BL377" t="s">
        <v>3088</v>
      </c>
      <c r="BM377" t="s">
        <v>7728</v>
      </c>
      <c r="BN377" t="s">
        <v>74</v>
      </c>
      <c r="BO377" t="s">
        <v>105</v>
      </c>
      <c r="BP377" t="s">
        <v>74</v>
      </c>
      <c r="BQ377" t="s">
        <v>74</v>
      </c>
      <c r="BR377" t="s">
        <v>106</v>
      </c>
      <c r="BS377" t="s">
        <v>7729</v>
      </c>
      <c r="BT377" t="str">
        <f>HYPERLINK("https%3A%2F%2Fwww.webofscience.com%2Fwos%2Fwoscc%2Ffull-record%2FWOS:000539033100001","View Full Record in Web of Science")</f>
        <v>View Full Record in Web of Science</v>
      </c>
    </row>
    <row r="378" spans="1:72" x14ac:dyDescent="0.15">
      <c r="A378" t="s">
        <v>72</v>
      </c>
      <c r="B378" t="s">
        <v>7730</v>
      </c>
      <c r="C378" t="s">
        <v>74</v>
      </c>
      <c r="D378" t="s">
        <v>74</v>
      </c>
      <c r="E378" t="s">
        <v>74</v>
      </c>
      <c r="F378" t="s">
        <v>7731</v>
      </c>
      <c r="G378" t="s">
        <v>74</v>
      </c>
      <c r="H378" t="s">
        <v>74</v>
      </c>
      <c r="I378" t="s">
        <v>7732</v>
      </c>
      <c r="J378" t="s">
        <v>7733</v>
      </c>
      <c r="K378" t="s">
        <v>74</v>
      </c>
      <c r="L378" t="s">
        <v>74</v>
      </c>
      <c r="M378" t="s">
        <v>78</v>
      </c>
      <c r="N378" t="s">
        <v>79</v>
      </c>
      <c r="O378" t="s">
        <v>74</v>
      </c>
      <c r="P378" t="s">
        <v>74</v>
      </c>
      <c r="Q378" t="s">
        <v>74</v>
      </c>
      <c r="R378" t="s">
        <v>74</v>
      </c>
      <c r="S378" t="s">
        <v>74</v>
      </c>
      <c r="T378" t="s">
        <v>74</v>
      </c>
      <c r="U378" t="s">
        <v>7734</v>
      </c>
      <c r="V378" t="s">
        <v>7735</v>
      </c>
      <c r="W378" t="s">
        <v>7736</v>
      </c>
      <c r="X378" t="s">
        <v>7737</v>
      </c>
      <c r="Y378" t="s">
        <v>7738</v>
      </c>
      <c r="Z378" t="s">
        <v>7739</v>
      </c>
      <c r="AA378" t="s">
        <v>7740</v>
      </c>
      <c r="AB378" t="s">
        <v>7741</v>
      </c>
      <c r="AC378" t="s">
        <v>7742</v>
      </c>
      <c r="AD378" t="s">
        <v>7743</v>
      </c>
      <c r="AE378" t="s">
        <v>7744</v>
      </c>
      <c r="AF378" t="s">
        <v>74</v>
      </c>
      <c r="AG378">
        <v>80</v>
      </c>
      <c r="AH378">
        <v>45</v>
      </c>
      <c r="AI378">
        <v>48</v>
      </c>
      <c r="AJ378">
        <v>4</v>
      </c>
      <c r="AK378">
        <v>42</v>
      </c>
      <c r="AL378" t="s">
        <v>1118</v>
      </c>
      <c r="AM378" t="s">
        <v>1119</v>
      </c>
      <c r="AN378" t="s">
        <v>1120</v>
      </c>
      <c r="AO378" t="s">
        <v>7745</v>
      </c>
      <c r="AP378" t="s">
        <v>74</v>
      </c>
      <c r="AQ378" t="s">
        <v>74</v>
      </c>
      <c r="AR378" t="s">
        <v>7746</v>
      </c>
      <c r="AS378" t="s">
        <v>7747</v>
      </c>
      <c r="AT378" t="s">
        <v>99</v>
      </c>
      <c r="AU378">
        <v>2020</v>
      </c>
      <c r="AV378">
        <v>4</v>
      </c>
      <c r="AW378">
        <v>8</v>
      </c>
      <c r="AX378" t="s">
        <v>74</v>
      </c>
      <c r="AY378" t="s">
        <v>74</v>
      </c>
      <c r="AZ378" t="s">
        <v>74</v>
      </c>
      <c r="BA378" t="s">
        <v>74</v>
      </c>
      <c r="BB378">
        <v>1095</v>
      </c>
      <c r="BC378" t="s">
        <v>1244</v>
      </c>
      <c r="BD378" t="s">
        <v>74</v>
      </c>
      <c r="BE378" t="s">
        <v>7748</v>
      </c>
      <c r="BF378" t="str">
        <f>HYPERLINK("http://dx.doi.org/10.1038/s41559-020-1215-5","http://dx.doi.org/10.1038/s41559-020-1215-5")</f>
        <v>http://dx.doi.org/10.1038/s41559-020-1215-5</v>
      </c>
      <c r="BG378" t="s">
        <v>74</v>
      </c>
      <c r="BH378" t="s">
        <v>5750</v>
      </c>
      <c r="BI378">
        <v>20</v>
      </c>
      <c r="BJ378" t="s">
        <v>2760</v>
      </c>
      <c r="BK378" t="s">
        <v>102</v>
      </c>
      <c r="BL378" t="s">
        <v>2761</v>
      </c>
      <c r="BM378" t="s">
        <v>7749</v>
      </c>
      <c r="BN378">
        <v>32514167</v>
      </c>
      <c r="BO378" t="s">
        <v>74</v>
      </c>
      <c r="BP378" t="s">
        <v>74</v>
      </c>
      <c r="BQ378" t="s">
        <v>74</v>
      </c>
      <c r="BR378" t="s">
        <v>106</v>
      </c>
      <c r="BS378" t="s">
        <v>7750</v>
      </c>
      <c r="BT378" t="str">
        <f>HYPERLINK("https%3A%2F%2Fwww.webofscience.com%2Fwos%2Fwoscc%2Ffull-record%2FWOS:000538967000001","View Full Record in Web of Science")</f>
        <v>View Full Record in Web of Science</v>
      </c>
    </row>
    <row r="379" spans="1:72" x14ac:dyDescent="0.15">
      <c r="A379" t="s">
        <v>72</v>
      </c>
      <c r="B379" t="s">
        <v>7751</v>
      </c>
      <c r="C379" t="s">
        <v>74</v>
      </c>
      <c r="D379" t="s">
        <v>74</v>
      </c>
      <c r="E379" t="s">
        <v>74</v>
      </c>
      <c r="F379" t="s">
        <v>7752</v>
      </c>
      <c r="G379" t="s">
        <v>74</v>
      </c>
      <c r="H379" t="s">
        <v>74</v>
      </c>
      <c r="I379" t="s">
        <v>7753</v>
      </c>
      <c r="J379" t="s">
        <v>1783</v>
      </c>
      <c r="K379" t="s">
        <v>74</v>
      </c>
      <c r="L379" t="s">
        <v>74</v>
      </c>
      <c r="M379" t="s">
        <v>78</v>
      </c>
      <c r="N379" t="s">
        <v>79</v>
      </c>
      <c r="O379" t="s">
        <v>74</v>
      </c>
      <c r="P379" t="s">
        <v>74</v>
      </c>
      <c r="Q379" t="s">
        <v>74</v>
      </c>
      <c r="R379" t="s">
        <v>74</v>
      </c>
      <c r="S379" t="s">
        <v>74</v>
      </c>
      <c r="T379" t="s">
        <v>7754</v>
      </c>
      <c r="U379" t="s">
        <v>7755</v>
      </c>
      <c r="V379" t="s">
        <v>7756</v>
      </c>
      <c r="W379" t="s">
        <v>7757</v>
      </c>
      <c r="X379" t="s">
        <v>7758</v>
      </c>
      <c r="Y379" t="s">
        <v>7759</v>
      </c>
      <c r="Z379" t="s">
        <v>7760</v>
      </c>
      <c r="AA379" t="s">
        <v>74</v>
      </c>
      <c r="AB379" t="s">
        <v>74</v>
      </c>
      <c r="AC379" t="s">
        <v>74</v>
      </c>
      <c r="AD379" t="s">
        <v>74</v>
      </c>
      <c r="AE379" t="s">
        <v>74</v>
      </c>
      <c r="AF379" t="s">
        <v>74</v>
      </c>
      <c r="AG379">
        <v>18</v>
      </c>
      <c r="AH379">
        <v>4</v>
      </c>
      <c r="AI379">
        <v>4</v>
      </c>
      <c r="AJ379">
        <v>1</v>
      </c>
      <c r="AK379">
        <v>10</v>
      </c>
      <c r="AL379" t="s">
        <v>1440</v>
      </c>
      <c r="AM379" t="s">
        <v>399</v>
      </c>
      <c r="AN379" t="s">
        <v>1441</v>
      </c>
      <c r="AO379" t="s">
        <v>1796</v>
      </c>
      <c r="AP379" t="s">
        <v>1797</v>
      </c>
      <c r="AQ379" t="s">
        <v>74</v>
      </c>
      <c r="AR379" t="s">
        <v>1798</v>
      </c>
      <c r="AS379" t="s">
        <v>1799</v>
      </c>
      <c r="AT379" t="s">
        <v>3950</v>
      </c>
      <c r="AU379">
        <v>2020</v>
      </c>
      <c r="AV379">
        <v>43</v>
      </c>
      <c r="AW379">
        <v>7</v>
      </c>
      <c r="AX379" t="s">
        <v>74</v>
      </c>
      <c r="AY379" t="s">
        <v>74</v>
      </c>
      <c r="AZ379" t="s">
        <v>74</v>
      </c>
      <c r="BA379" t="s">
        <v>74</v>
      </c>
      <c r="BB379">
        <v>925</v>
      </c>
      <c r="BC379">
        <v>927</v>
      </c>
      <c r="BD379" t="s">
        <v>74</v>
      </c>
      <c r="BE379" t="s">
        <v>7761</v>
      </c>
      <c r="BF379" t="str">
        <f>HYPERLINK("http://dx.doi.org/10.1007/s00300-020-02688-1","http://dx.doi.org/10.1007/s00300-020-02688-1")</f>
        <v>http://dx.doi.org/10.1007/s00300-020-02688-1</v>
      </c>
      <c r="BG379" t="s">
        <v>74</v>
      </c>
      <c r="BH379" t="s">
        <v>5750</v>
      </c>
      <c r="BI379">
        <v>3</v>
      </c>
      <c r="BJ379" t="s">
        <v>1004</v>
      </c>
      <c r="BK379" t="s">
        <v>102</v>
      </c>
      <c r="BL379" t="s">
        <v>1005</v>
      </c>
      <c r="BM379" t="s">
        <v>6677</v>
      </c>
      <c r="BN379" t="s">
        <v>74</v>
      </c>
      <c r="BO379" t="s">
        <v>976</v>
      </c>
      <c r="BP379" t="s">
        <v>74</v>
      </c>
      <c r="BQ379" t="s">
        <v>74</v>
      </c>
      <c r="BR379" t="s">
        <v>106</v>
      </c>
      <c r="BS379" t="s">
        <v>7762</v>
      </c>
      <c r="BT379" t="str">
        <f>HYPERLINK("https%3A%2F%2Fwww.webofscience.com%2Fwos%2Fwoscc%2Ffull-record%2FWOS:000538922500001","View Full Record in Web of Science")</f>
        <v>View Full Record in Web of Science</v>
      </c>
    </row>
    <row r="380" spans="1:72" x14ac:dyDescent="0.15">
      <c r="A380" t="s">
        <v>72</v>
      </c>
      <c r="B380" t="s">
        <v>7763</v>
      </c>
      <c r="C380" t="s">
        <v>74</v>
      </c>
      <c r="D380" t="s">
        <v>74</v>
      </c>
      <c r="E380" t="s">
        <v>74</v>
      </c>
      <c r="F380" t="s">
        <v>7764</v>
      </c>
      <c r="G380" t="s">
        <v>74</v>
      </c>
      <c r="H380" t="s">
        <v>74</v>
      </c>
      <c r="I380" t="s">
        <v>7765</v>
      </c>
      <c r="J380" t="s">
        <v>7766</v>
      </c>
      <c r="K380" t="s">
        <v>74</v>
      </c>
      <c r="L380" t="s">
        <v>74</v>
      </c>
      <c r="M380" t="s">
        <v>78</v>
      </c>
      <c r="N380" t="s">
        <v>79</v>
      </c>
      <c r="O380" t="s">
        <v>74</v>
      </c>
      <c r="P380" t="s">
        <v>74</v>
      </c>
      <c r="Q380" t="s">
        <v>74</v>
      </c>
      <c r="R380" t="s">
        <v>74</v>
      </c>
      <c r="S380" t="s">
        <v>74</v>
      </c>
      <c r="T380" t="s">
        <v>7767</v>
      </c>
      <c r="U380" t="s">
        <v>7768</v>
      </c>
      <c r="V380" t="s">
        <v>7769</v>
      </c>
      <c r="W380" t="s">
        <v>7770</v>
      </c>
      <c r="X380" t="s">
        <v>7771</v>
      </c>
      <c r="Y380" t="s">
        <v>7772</v>
      </c>
      <c r="Z380" t="s">
        <v>7773</v>
      </c>
      <c r="AA380" t="s">
        <v>74</v>
      </c>
      <c r="AB380" t="s">
        <v>7774</v>
      </c>
      <c r="AC380" t="s">
        <v>7775</v>
      </c>
      <c r="AD380" t="s">
        <v>7776</v>
      </c>
      <c r="AE380" t="s">
        <v>7777</v>
      </c>
      <c r="AF380" t="s">
        <v>74</v>
      </c>
      <c r="AG380">
        <v>135</v>
      </c>
      <c r="AH380">
        <v>8</v>
      </c>
      <c r="AI380">
        <v>9</v>
      </c>
      <c r="AJ380">
        <v>0</v>
      </c>
      <c r="AK380">
        <v>12</v>
      </c>
      <c r="AL380" t="s">
        <v>7778</v>
      </c>
      <c r="AM380" t="s">
        <v>7779</v>
      </c>
      <c r="AN380" t="s">
        <v>7780</v>
      </c>
      <c r="AO380" t="s">
        <v>7781</v>
      </c>
      <c r="AP380" t="s">
        <v>7782</v>
      </c>
      <c r="AQ380" t="s">
        <v>74</v>
      </c>
      <c r="AR380" t="s">
        <v>7783</v>
      </c>
      <c r="AS380" t="s">
        <v>7784</v>
      </c>
      <c r="AT380" t="s">
        <v>7785</v>
      </c>
      <c r="AU380">
        <v>2020</v>
      </c>
      <c r="AV380">
        <v>16</v>
      </c>
      <c r="AW380">
        <v>4</v>
      </c>
      <c r="AX380" t="s">
        <v>74</v>
      </c>
      <c r="AY380" t="s">
        <v>74</v>
      </c>
      <c r="AZ380" t="s">
        <v>74</v>
      </c>
      <c r="BA380" t="s">
        <v>74</v>
      </c>
      <c r="BB380">
        <v>219</v>
      </c>
      <c r="BC380">
        <v>255</v>
      </c>
      <c r="BD380" t="s">
        <v>74</v>
      </c>
      <c r="BE380" t="s">
        <v>7786</v>
      </c>
      <c r="BF380" t="str">
        <f>HYPERLINK("http://dx.doi.org/10.1080/17451000.2020.1761027","http://dx.doi.org/10.1080/17451000.2020.1761027")</f>
        <v>http://dx.doi.org/10.1080/17451000.2020.1761027</v>
      </c>
      <c r="BG380" t="s">
        <v>74</v>
      </c>
      <c r="BH380" t="s">
        <v>5750</v>
      </c>
      <c r="BI380">
        <v>37</v>
      </c>
      <c r="BJ380" t="s">
        <v>7787</v>
      </c>
      <c r="BK380" t="s">
        <v>102</v>
      </c>
      <c r="BL380" t="s">
        <v>238</v>
      </c>
      <c r="BM380" t="s">
        <v>7788</v>
      </c>
      <c r="BN380" t="s">
        <v>74</v>
      </c>
      <c r="BO380" t="s">
        <v>74</v>
      </c>
      <c r="BP380" t="s">
        <v>74</v>
      </c>
      <c r="BQ380" t="s">
        <v>74</v>
      </c>
      <c r="BR380" t="s">
        <v>106</v>
      </c>
      <c r="BS380" t="s">
        <v>7789</v>
      </c>
      <c r="BT380" t="str">
        <f>HYPERLINK("https%3A%2F%2Fwww.webofscience.com%2Fwos%2Fwoscc%2Ffull-record%2FWOS:000543327700001","View Full Record in Web of Science")</f>
        <v>View Full Record in Web of Science</v>
      </c>
    </row>
    <row r="381" spans="1:72" x14ac:dyDescent="0.15">
      <c r="A381" t="s">
        <v>72</v>
      </c>
      <c r="B381" t="s">
        <v>7790</v>
      </c>
      <c r="C381" t="s">
        <v>74</v>
      </c>
      <c r="D381" t="s">
        <v>74</v>
      </c>
      <c r="E381" t="s">
        <v>74</v>
      </c>
      <c r="F381" t="s">
        <v>7791</v>
      </c>
      <c r="G381" t="s">
        <v>74</v>
      </c>
      <c r="H381" t="s">
        <v>74</v>
      </c>
      <c r="I381" t="s">
        <v>7792</v>
      </c>
      <c r="J381" t="s">
        <v>1783</v>
      </c>
      <c r="K381" t="s">
        <v>74</v>
      </c>
      <c r="L381" t="s">
        <v>74</v>
      </c>
      <c r="M381" t="s">
        <v>78</v>
      </c>
      <c r="N381" t="s">
        <v>79</v>
      </c>
      <c r="O381" t="s">
        <v>74</v>
      </c>
      <c r="P381" t="s">
        <v>74</v>
      </c>
      <c r="Q381" t="s">
        <v>74</v>
      </c>
      <c r="R381" t="s">
        <v>74</v>
      </c>
      <c r="S381" t="s">
        <v>74</v>
      </c>
      <c r="T381" t="s">
        <v>7793</v>
      </c>
      <c r="U381" t="s">
        <v>7794</v>
      </c>
      <c r="V381" t="s">
        <v>7795</v>
      </c>
      <c r="W381" t="s">
        <v>7796</v>
      </c>
      <c r="X381" t="s">
        <v>7797</v>
      </c>
      <c r="Y381" t="s">
        <v>7798</v>
      </c>
      <c r="Z381" t="s">
        <v>7799</v>
      </c>
      <c r="AA381" t="s">
        <v>7800</v>
      </c>
      <c r="AB381" t="s">
        <v>7801</v>
      </c>
      <c r="AC381" t="s">
        <v>7802</v>
      </c>
      <c r="AD381" t="s">
        <v>7803</v>
      </c>
      <c r="AE381" t="s">
        <v>7804</v>
      </c>
      <c r="AF381" t="s">
        <v>74</v>
      </c>
      <c r="AG381">
        <v>67</v>
      </c>
      <c r="AH381">
        <v>3</v>
      </c>
      <c r="AI381">
        <v>3</v>
      </c>
      <c r="AJ381">
        <v>0</v>
      </c>
      <c r="AK381">
        <v>8</v>
      </c>
      <c r="AL381" t="s">
        <v>1440</v>
      </c>
      <c r="AM381" t="s">
        <v>399</v>
      </c>
      <c r="AN381" t="s">
        <v>1441</v>
      </c>
      <c r="AO381" t="s">
        <v>1796</v>
      </c>
      <c r="AP381" t="s">
        <v>1797</v>
      </c>
      <c r="AQ381" t="s">
        <v>74</v>
      </c>
      <c r="AR381" t="s">
        <v>1798</v>
      </c>
      <c r="AS381" t="s">
        <v>1799</v>
      </c>
      <c r="AT381" t="s">
        <v>3950</v>
      </c>
      <c r="AU381">
        <v>2020</v>
      </c>
      <c r="AV381">
        <v>43</v>
      </c>
      <c r="AW381">
        <v>7</v>
      </c>
      <c r="AX381" t="s">
        <v>74</v>
      </c>
      <c r="AY381" t="s">
        <v>74</v>
      </c>
      <c r="AZ381" t="s">
        <v>74</v>
      </c>
      <c r="BA381" t="s">
        <v>74</v>
      </c>
      <c r="BB381">
        <v>903</v>
      </c>
      <c r="BC381">
        <v>910</v>
      </c>
      <c r="BD381" t="s">
        <v>74</v>
      </c>
      <c r="BE381" t="s">
        <v>7805</v>
      </c>
      <c r="BF381" t="str">
        <f>HYPERLINK("http://dx.doi.org/10.1007/s00300-020-02682-7","http://dx.doi.org/10.1007/s00300-020-02682-7")</f>
        <v>http://dx.doi.org/10.1007/s00300-020-02682-7</v>
      </c>
      <c r="BG381" t="s">
        <v>74</v>
      </c>
      <c r="BH381" t="s">
        <v>5750</v>
      </c>
      <c r="BI381">
        <v>8</v>
      </c>
      <c r="BJ381" t="s">
        <v>1004</v>
      </c>
      <c r="BK381" t="s">
        <v>102</v>
      </c>
      <c r="BL381" t="s">
        <v>1005</v>
      </c>
      <c r="BM381" t="s">
        <v>6677</v>
      </c>
      <c r="BN381" t="s">
        <v>74</v>
      </c>
      <c r="BO381" t="s">
        <v>74</v>
      </c>
      <c r="BP381" t="s">
        <v>74</v>
      </c>
      <c r="BQ381" t="s">
        <v>74</v>
      </c>
      <c r="BR381" t="s">
        <v>106</v>
      </c>
      <c r="BS381" t="s">
        <v>7806</v>
      </c>
      <c r="BT381" t="str">
        <f>HYPERLINK("https%3A%2F%2Fwww.webofscience.com%2Fwos%2Fwoscc%2Ffull-record%2FWOS:000538374400001","View Full Record in Web of Science")</f>
        <v>View Full Record in Web of Science</v>
      </c>
    </row>
    <row r="382" spans="1:72" x14ac:dyDescent="0.15">
      <c r="A382" t="s">
        <v>72</v>
      </c>
      <c r="B382" t="s">
        <v>7807</v>
      </c>
      <c r="C382" t="s">
        <v>74</v>
      </c>
      <c r="D382" t="s">
        <v>74</v>
      </c>
      <c r="E382" t="s">
        <v>74</v>
      </c>
      <c r="F382" t="s">
        <v>7808</v>
      </c>
      <c r="G382" t="s">
        <v>74</v>
      </c>
      <c r="H382" t="s">
        <v>74</v>
      </c>
      <c r="I382" t="s">
        <v>7809</v>
      </c>
      <c r="J382" t="s">
        <v>7810</v>
      </c>
      <c r="K382" t="s">
        <v>74</v>
      </c>
      <c r="L382" t="s">
        <v>74</v>
      </c>
      <c r="M382" t="s">
        <v>78</v>
      </c>
      <c r="N382" t="s">
        <v>79</v>
      </c>
      <c r="O382" t="s">
        <v>74</v>
      </c>
      <c r="P382" t="s">
        <v>74</v>
      </c>
      <c r="Q382" t="s">
        <v>74</v>
      </c>
      <c r="R382" t="s">
        <v>74</v>
      </c>
      <c r="S382" t="s">
        <v>74</v>
      </c>
      <c r="T382" t="s">
        <v>7811</v>
      </c>
      <c r="U382" t="s">
        <v>7812</v>
      </c>
      <c r="V382" t="s">
        <v>7813</v>
      </c>
      <c r="W382" t="s">
        <v>7814</v>
      </c>
      <c r="X382" t="s">
        <v>7815</v>
      </c>
      <c r="Y382" t="s">
        <v>7816</v>
      </c>
      <c r="Z382" t="s">
        <v>7817</v>
      </c>
      <c r="AA382" t="s">
        <v>7818</v>
      </c>
      <c r="AB382" t="s">
        <v>7819</v>
      </c>
      <c r="AC382" t="s">
        <v>7820</v>
      </c>
      <c r="AD382" t="s">
        <v>7821</v>
      </c>
      <c r="AE382" t="s">
        <v>7822</v>
      </c>
      <c r="AF382" t="s">
        <v>74</v>
      </c>
      <c r="AG382">
        <v>102</v>
      </c>
      <c r="AH382">
        <v>9</v>
      </c>
      <c r="AI382">
        <v>9</v>
      </c>
      <c r="AJ382">
        <v>2</v>
      </c>
      <c r="AK382">
        <v>10</v>
      </c>
      <c r="AL382" t="s">
        <v>284</v>
      </c>
      <c r="AM382" t="s">
        <v>285</v>
      </c>
      <c r="AN382" t="s">
        <v>286</v>
      </c>
      <c r="AO382" t="s">
        <v>7823</v>
      </c>
      <c r="AP382" t="s">
        <v>7824</v>
      </c>
      <c r="AQ382" t="s">
        <v>74</v>
      </c>
      <c r="AR382" t="s">
        <v>7825</v>
      </c>
      <c r="AS382" t="s">
        <v>7826</v>
      </c>
      <c r="AT382" t="s">
        <v>7827</v>
      </c>
      <c r="AU382">
        <v>2020</v>
      </c>
      <c r="AV382">
        <v>542</v>
      </c>
      <c r="AW382" t="s">
        <v>74</v>
      </c>
      <c r="AX382" t="s">
        <v>74</v>
      </c>
      <c r="AY382" t="s">
        <v>74</v>
      </c>
      <c r="AZ382" t="s">
        <v>74</v>
      </c>
      <c r="BA382" t="s">
        <v>74</v>
      </c>
      <c r="BB382" t="s">
        <v>74</v>
      </c>
      <c r="BC382" t="s">
        <v>74</v>
      </c>
      <c r="BD382">
        <v>119595</v>
      </c>
      <c r="BE382" t="s">
        <v>7828</v>
      </c>
      <c r="BF382" t="str">
        <f>HYPERLINK("http://dx.doi.org/10.1016/j.chemgeo.2020.119595","http://dx.doi.org/10.1016/j.chemgeo.2020.119595")</f>
        <v>http://dx.doi.org/10.1016/j.chemgeo.2020.119595</v>
      </c>
      <c r="BG382" t="s">
        <v>74</v>
      </c>
      <c r="BH382" t="s">
        <v>74</v>
      </c>
      <c r="BI382">
        <v>15</v>
      </c>
      <c r="BJ382" t="s">
        <v>131</v>
      </c>
      <c r="BK382" t="s">
        <v>102</v>
      </c>
      <c r="BL382" t="s">
        <v>131</v>
      </c>
      <c r="BM382" t="s">
        <v>7829</v>
      </c>
      <c r="BN382" t="s">
        <v>74</v>
      </c>
      <c r="BO382" t="s">
        <v>7830</v>
      </c>
      <c r="BP382" t="s">
        <v>74</v>
      </c>
      <c r="BQ382" t="s">
        <v>74</v>
      </c>
      <c r="BR382" t="s">
        <v>106</v>
      </c>
      <c r="BS382" t="s">
        <v>7831</v>
      </c>
      <c r="BT382" t="str">
        <f>HYPERLINK("https%3A%2F%2Fwww.webofscience.com%2Fwos%2Fwoscc%2Ffull-record%2FWOS:000571426400001","View Full Record in Web of Science")</f>
        <v>View Full Record in Web of Science</v>
      </c>
    </row>
    <row r="383" spans="1:72" x14ac:dyDescent="0.15">
      <c r="A383" t="s">
        <v>72</v>
      </c>
      <c r="B383" t="s">
        <v>7832</v>
      </c>
      <c r="C383" t="s">
        <v>74</v>
      </c>
      <c r="D383" t="s">
        <v>74</v>
      </c>
      <c r="E383" t="s">
        <v>74</v>
      </c>
      <c r="F383" t="s">
        <v>7833</v>
      </c>
      <c r="G383" t="s">
        <v>74</v>
      </c>
      <c r="H383" t="s">
        <v>74</v>
      </c>
      <c r="I383" t="s">
        <v>7834</v>
      </c>
      <c r="J383" t="s">
        <v>7835</v>
      </c>
      <c r="K383" t="s">
        <v>74</v>
      </c>
      <c r="L383" t="s">
        <v>74</v>
      </c>
      <c r="M383" t="s">
        <v>78</v>
      </c>
      <c r="N383" t="s">
        <v>79</v>
      </c>
      <c r="O383" t="s">
        <v>74</v>
      </c>
      <c r="P383" t="s">
        <v>74</v>
      </c>
      <c r="Q383" t="s">
        <v>74</v>
      </c>
      <c r="R383" t="s">
        <v>74</v>
      </c>
      <c r="S383" t="s">
        <v>74</v>
      </c>
      <c r="T383" t="s">
        <v>7836</v>
      </c>
      <c r="U383" t="s">
        <v>7837</v>
      </c>
      <c r="V383" t="s">
        <v>7838</v>
      </c>
      <c r="W383" t="s">
        <v>7839</v>
      </c>
      <c r="X383" t="s">
        <v>7840</v>
      </c>
      <c r="Y383" t="s">
        <v>7841</v>
      </c>
      <c r="Z383" t="s">
        <v>7842</v>
      </c>
      <c r="AA383" t="s">
        <v>74</v>
      </c>
      <c r="AB383" t="s">
        <v>74</v>
      </c>
      <c r="AC383" t="s">
        <v>7843</v>
      </c>
      <c r="AD383" t="s">
        <v>7844</v>
      </c>
      <c r="AE383" t="s">
        <v>7845</v>
      </c>
      <c r="AF383" t="s">
        <v>74</v>
      </c>
      <c r="AG383">
        <v>52</v>
      </c>
      <c r="AH383">
        <v>6</v>
      </c>
      <c r="AI383">
        <v>8</v>
      </c>
      <c r="AJ383">
        <v>2</v>
      </c>
      <c r="AK383">
        <v>13</v>
      </c>
      <c r="AL383" t="s">
        <v>1024</v>
      </c>
      <c r="AM383" t="s">
        <v>1025</v>
      </c>
      <c r="AN383" t="s">
        <v>1026</v>
      </c>
      <c r="AO383" t="s">
        <v>7846</v>
      </c>
      <c r="AP383" t="s">
        <v>74</v>
      </c>
      <c r="AQ383" t="s">
        <v>74</v>
      </c>
      <c r="AR383" t="s">
        <v>7847</v>
      </c>
      <c r="AS383" t="s">
        <v>7848</v>
      </c>
      <c r="AT383" t="s">
        <v>7827</v>
      </c>
      <c r="AU383">
        <v>2020</v>
      </c>
      <c r="AV383">
        <v>8</v>
      </c>
      <c r="AW383" t="s">
        <v>74</v>
      </c>
      <c r="AX383" t="s">
        <v>74</v>
      </c>
      <c r="AY383" t="s">
        <v>74</v>
      </c>
      <c r="AZ383" t="s">
        <v>74</v>
      </c>
      <c r="BA383" t="s">
        <v>74</v>
      </c>
      <c r="BB383" t="s">
        <v>74</v>
      </c>
      <c r="BC383" t="s">
        <v>74</v>
      </c>
      <c r="BD383">
        <v>153</v>
      </c>
      <c r="BE383" t="s">
        <v>7849</v>
      </c>
      <c r="BF383" t="str">
        <f>HYPERLINK("http://dx.doi.org/10.3389/fevo.2020.00153","http://dx.doi.org/10.3389/fevo.2020.00153")</f>
        <v>http://dx.doi.org/10.3389/fevo.2020.00153</v>
      </c>
      <c r="BG383" t="s">
        <v>74</v>
      </c>
      <c r="BH383" t="s">
        <v>74</v>
      </c>
      <c r="BI383">
        <v>10</v>
      </c>
      <c r="BJ383" t="s">
        <v>1446</v>
      </c>
      <c r="BK383" t="s">
        <v>102</v>
      </c>
      <c r="BL383" t="s">
        <v>103</v>
      </c>
      <c r="BM383" t="s">
        <v>7850</v>
      </c>
      <c r="BN383" t="s">
        <v>74</v>
      </c>
      <c r="BO383" t="s">
        <v>105</v>
      </c>
      <c r="BP383" t="s">
        <v>74</v>
      </c>
      <c r="BQ383" t="s">
        <v>74</v>
      </c>
      <c r="BR383" t="s">
        <v>106</v>
      </c>
      <c r="BS383" t="s">
        <v>7851</v>
      </c>
      <c r="BT383" t="str">
        <f>HYPERLINK("https%3A%2F%2Fwww.webofscience.com%2Fwos%2Fwoscc%2Ffull-record%2FWOS:000543160100001","View Full Record in Web of Science")</f>
        <v>View Full Record in Web of Science</v>
      </c>
    </row>
    <row r="384" spans="1:72" x14ac:dyDescent="0.15">
      <c r="A384" t="s">
        <v>72</v>
      </c>
      <c r="B384" t="s">
        <v>7852</v>
      </c>
      <c r="C384" t="s">
        <v>74</v>
      </c>
      <c r="D384" t="s">
        <v>74</v>
      </c>
      <c r="E384" t="s">
        <v>74</v>
      </c>
      <c r="F384" t="s">
        <v>7853</v>
      </c>
      <c r="G384" t="s">
        <v>74</v>
      </c>
      <c r="H384" t="s">
        <v>74</v>
      </c>
      <c r="I384" t="s">
        <v>7854</v>
      </c>
      <c r="J384" t="s">
        <v>7855</v>
      </c>
      <c r="K384" t="s">
        <v>74</v>
      </c>
      <c r="L384" t="s">
        <v>74</v>
      </c>
      <c r="M384" t="s">
        <v>78</v>
      </c>
      <c r="N384" t="s">
        <v>79</v>
      </c>
      <c r="O384" t="s">
        <v>74</v>
      </c>
      <c r="P384" t="s">
        <v>74</v>
      </c>
      <c r="Q384" t="s">
        <v>74</v>
      </c>
      <c r="R384" t="s">
        <v>74</v>
      </c>
      <c r="S384" t="s">
        <v>74</v>
      </c>
      <c r="T384" t="s">
        <v>74</v>
      </c>
      <c r="U384" t="s">
        <v>7856</v>
      </c>
      <c r="V384" t="s">
        <v>7857</v>
      </c>
      <c r="W384" t="s">
        <v>7858</v>
      </c>
      <c r="X384" t="s">
        <v>7859</v>
      </c>
      <c r="Y384" t="s">
        <v>7860</v>
      </c>
      <c r="Z384" t="s">
        <v>7861</v>
      </c>
      <c r="AA384" t="s">
        <v>7862</v>
      </c>
      <c r="AB384" t="s">
        <v>7863</v>
      </c>
      <c r="AC384" t="s">
        <v>74</v>
      </c>
      <c r="AD384" t="s">
        <v>74</v>
      </c>
      <c r="AE384" t="s">
        <v>74</v>
      </c>
      <c r="AF384" t="s">
        <v>74</v>
      </c>
      <c r="AG384">
        <v>35</v>
      </c>
      <c r="AH384">
        <v>1</v>
      </c>
      <c r="AI384">
        <v>1</v>
      </c>
      <c r="AJ384">
        <v>1</v>
      </c>
      <c r="AK384">
        <v>4</v>
      </c>
      <c r="AL384" t="s">
        <v>5953</v>
      </c>
      <c r="AM384" t="s">
        <v>5954</v>
      </c>
      <c r="AN384" t="s">
        <v>5955</v>
      </c>
      <c r="AO384" t="s">
        <v>7864</v>
      </c>
      <c r="AP384" t="s">
        <v>7865</v>
      </c>
      <c r="AQ384" t="s">
        <v>74</v>
      </c>
      <c r="AR384" t="s">
        <v>7866</v>
      </c>
      <c r="AS384" t="s">
        <v>7867</v>
      </c>
      <c r="AT384" t="s">
        <v>99</v>
      </c>
      <c r="AU384">
        <v>2020</v>
      </c>
      <c r="AV384">
        <v>231</v>
      </c>
      <c r="AW384">
        <v>8</v>
      </c>
      <c r="AX384" t="s">
        <v>74</v>
      </c>
      <c r="AY384" t="s">
        <v>74</v>
      </c>
      <c r="AZ384" t="s">
        <v>74</v>
      </c>
      <c r="BA384" t="s">
        <v>74</v>
      </c>
      <c r="BB384">
        <v>3099</v>
      </c>
      <c r="BC384">
        <v>3121</v>
      </c>
      <c r="BD384" t="s">
        <v>74</v>
      </c>
      <c r="BE384" t="s">
        <v>7868</v>
      </c>
      <c r="BF384" t="str">
        <f>HYPERLINK("http://dx.doi.org/10.1007/s00707-020-02686-8","http://dx.doi.org/10.1007/s00707-020-02686-8")</f>
        <v>http://dx.doi.org/10.1007/s00707-020-02686-8</v>
      </c>
      <c r="BG384" t="s">
        <v>74</v>
      </c>
      <c r="BH384" t="s">
        <v>5750</v>
      </c>
      <c r="BI384">
        <v>23</v>
      </c>
      <c r="BJ384" t="s">
        <v>7869</v>
      </c>
      <c r="BK384" t="s">
        <v>102</v>
      </c>
      <c r="BL384" t="s">
        <v>7869</v>
      </c>
      <c r="BM384" t="s">
        <v>7870</v>
      </c>
      <c r="BN384" t="s">
        <v>74</v>
      </c>
      <c r="BO384" t="s">
        <v>74</v>
      </c>
      <c r="BP384" t="s">
        <v>74</v>
      </c>
      <c r="BQ384" t="s">
        <v>74</v>
      </c>
      <c r="BR384" t="s">
        <v>106</v>
      </c>
      <c r="BS384" t="s">
        <v>7871</v>
      </c>
      <c r="BT384" t="str">
        <f>HYPERLINK("https%3A%2F%2Fwww.webofscience.com%2Fwos%2Fwoscc%2Ffull-record%2FWOS:000538225500002","View Full Record in Web of Science")</f>
        <v>View Full Record in Web of Science</v>
      </c>
    </row>
    <row r="385" spans="1:72" x14ac:dyDescent="0.15">
      <c r="A385" t="s">
        <v>72</v>
      </c>
      <c r="B385" t="s">
        <v>7872</v>
      </c>
      <c r="C385" t="s">
        <v>74</v>
      </c>
      <c r="D385" t="s">
        <v>74</v>
      </c>
      <c r="E385" t="s">
        <v>74</v>
      </c>
      <c r="F385" t="s">
        <v>7873</v>
      </c>
      <c r="G385" t="s">
        <v>74</v>
      </c>
      <c r="H385" t="s">
        <v>74</v>
      </c>
      <c r="I385" t="s">
        <v>7874</v>
      </c>
      <c r="J385" t="s">
        <v>2051</v>
      </c>
      <c r="K385" t="s">
        <v>74</v>
      </c>
      <c r="L385" t="s">
        <v>74</v>
      </c>
      <c r="M385" t="s">
        <v>78</v>
      </c>
      <c r="N385" t="s">
        <v>79</v>
      </c>
      <c r="O385" t="s">
        <v>74</v>
      </c>
      <c r="P385" t="s">
        <v>74</v>
      </c>
      <c r="Q385" t="s">
        <v>74</v>
      </c>
      <c r="R385" t="s">
        <v>74</v>
      </c>
      <c r="S385" t="s">
        <v>74</v>
      </c>
      <c r="T385" t="s">
        <v>74</v>
      </c>
      <c r="U385" t="s">
        <v>7875</v>
      </c>
      <c r="V385" t="s">
        <v>7876</v>
      </c>
      <c r="W385" t="s">
        <v>7877</v>
      </c>
      <c r="X385" t="s">
        <v>7878</v>
      </c>
      <c r="Y385" t="s">
        <v>7879</v>
      </c>
      <c r="Z385" t="s">
        <v>7880</v>
      </c>
      <c r="AA385" t="s">
        <v>7881</v>
      </c>
      <c r="AB385" t="s">
        <v>7882</v>
      </c>
      <c r="AC385" t="s">
        <v>7883</v>
      </c>
      <c r="AD385" t="s">
        <v>7884</v>
      </c>
      <c r="AE385" t="s">
        <v>7885</v>
      </c>
      <c r="AF385" t="s">
        <v>74</v>
      </c>
      <c r="AG385">
        <v>114</v>
      </c>
      <c r="AH385">
        <v>25</v>
      </c>
      <c r="AI385">
        <v>25</v>
      </c>
      <c r="AJ385">
        <v>0</v>
      </c>
      <c r="AK385">
        <v>18</v>
      </c>
      <c r="AL385" t="s">
        <v>1049</v>
      </c>
      <c r="AM385" t="s">
        <v>1050</v>
      </c>
      <c r="AN385" t="s">
        <v>1051</v>
      </c>
      <c r="AO385" t="s">
        <v>2063</v>
      </c>
      <c r="AP385" t="s">
        <v>2064</v>
      </c>
      <c r="AQ385" t="s">
        <v>74</v>
      </c>
      <c r="AR385" t="s">
        <v>2065</v>
      </c>
      <c r="AS385" t="s">
        <v>2066</v>
      </c>
      <c r="AT385" t="s">
        <v>7827</v>
      </c>
      <c r="AU385">
        <v>2020</v>
      </c>
      <c r="AV385">
        <v>20</v>
      </c>
      <c r="AW385">
        <v>11</v>
      </c>
      <c r="AX385" t="s">
        <v>74</v>
      </c>
      <c r="AY385" t="s">
        <v>74</v>
      </c>
      <c r="AZ385" t="s">
        <v>74</v>
      </c>
      <c r="BA385" t="s">
        <v>74</v>
      </c>
      <c r="BB385">
        <v>6607</v>
      </c>
      <c r="BC385">
        <v>6630</v>
      </c>
      <c r="BD385" t="s">
        <v>74</v>
      </c>
      <c r="BE385" t="s">
        <v>7886</v>
      </c>
      <c r="BF385" t="str">
        <f>HYPERLINK("http://dx.doi.org/10.5194/acp-20-6607-2020","http://dx.doi.org/10.5194/acp-20-6607-2020")</f>
        <v>http://dx.doi.org/10.5194/acp-20-6607-2020</v>
      </c>
      <c r="BG385" t="s">
        <v>74</v>
      </c>
      <c r="BH385" t="s">
        <v>74</v>
      </c>
      <c r="BI385">
        <v>24</v>
      </c>
      <c r="BJ385" t="s">
        <v>2068</v>
      </c>
      <c r="BK385" t="s">
        <v>102</v>
      </c>
      <c r="BL385" t="s">
        <v>2069</v>
      </c>
      <c r="BM385" t="s">
        <v>7887</v>
      </c>
      <c r="BN385" t="s">
        <v>74</v>
      </c>
      <c r="BO385" t="s">
        <v>1352</v>
      </c>
      <c r="BP385" t="s">
        <v>74</v>
      </c>
      <c r="BQ385" t="s">
        <v>74</v>
      </c>
      <c r="BR385" t="s">
        <v>106</v>
      </c>
      <c r="BS385" t="s">
        <v>7888</v>
      </c>
      <c r="BT385" t="str">
        <f>HYPERLINK("https%3A%2F%2Fwww.webofscience.com%2Fwos%2Fwoscc%2Ffull-record%2FWOS:000538583100007","View Full Record in Web of Science")</f>
        <v>View Full Record in Web of Science</v>
      </c>
    </row>
    <row r="386" spans="1:72" x14ac:dyDescent="0.15">
      <c r="A386" t="s">
        <v>72</v>
      </c>
      <c r="B386" t="s">
        <v>7889</v>
      </c>
      <c r="C386" t="s">
        <v>74</v>
      </c>
      <c r="D386" t="s">
        <v>74</v>
      </c>
      <c r="E386" t="s">
        <v>74</v>
      </c>
      <c r="F386" t="s">
        <v>7890</v>
      </c>
      <c r="G386" t="s">
        <v>74</v>
      </c>
      <c r="H386" t="s">
        <v>74</v>
      </c>
      <c r="I386" t="s">
        <v>7891</v>
      </c>
      <c r="J386" t="s">
        <v>7892</v>
      </c>
      <c r="K386" t="s">
        <v>74</v>
      </c>
      <c r="L386" t="s">
        <v>74</v>
      </c>
      <c r="M386" t="s">
        <v>78</v>
      </c>
      <c r="N386" t="s">
        <v>245</v>
      </c>
      <c r="O386" t="s">
        <v>74</v>
      </c>
      <c r="P386" t="s">
        <v>74</v>
      </c>
      <c r="Q386" t="s">
        <v>74</v>
      </c>
      <c r="R386" t="s">
        <v>74</v>
      </c>
      <c r="S386" t="s">
        <v>74</v>
      </c>
      <c r="T386" t="s">
        <v>7893</v>
      </c>
      <c r="U386" t="s">
        <v>7894</v>
      </c>
      <c r="V386" t="s">
        <v>7895</v>
      </c>
      <c r="W386" t="s">
        <v>7896</v>
      </c>
      <c r="X386" t="s">
        <v>6552</v>
      </c>
      <c r="Y386" t="s">
        <v>7897</v>
      </c>
      <c r="Z386" t="s">
        <v>7898</v>
      </c>
      <c r="AA386" t="s">
        <v>74</v>
      </c>
      <c r="AB386" t="s">
        <v>7899</v>
      </c>
      <c r="AC386" t="s">
        <v>7900</v>
      </c>
      <c r="AD386" t="s">
        <v>7901</v>
      </c>
      <c r="AE386" t="s">
        <v>7902</v>
      </c>
      <c r="AF386" t="s">
        <v>74</v>
      </c>
      <c r="AG386">
        <v>107</v>
      </c>
      <c r="AH386">
        <v>12</v>
      </c>
      <c r="AI386">
        <v>14</v>
      </c>
      <c r="AJ386">
        <v>5</v>
      </c>
      <c r="AK386">
        <v>47</v>
      </c>
      <c r="AL386" t="s">
        <v>994</v>
      </c>
      <c r="AM386" t="s">
        <v>995</v>
      </c>
      <c r="AN386" t="s">
        <v>996</v>
      </c>
      <c r="AO386" t="s">
        <v>7903</v>
      </c>
      <c r="AP386" t="s">
        <v>7904</v>
      </c>
      <c r="AQ386" t="s">
        <v>74</v>
      </c>
      <c r="AR386" t="s">
        <v>7905</v>
      </c>
      <c r="AS386" t="s">
        <v>7906</v>
      </c>
      <c r="AT386" t="s">
        <v>1930</v>
      </c>
      <c r="AU386">
        <v>2020</v>
      </c>
      <c r="AV386">
        <v>227</v>
      </c>
      <c r="AW386">
        <v>5</v>
      </c>
      <c r="AX386" t="s">
        <v>74</v>
      </c>
      <c r="AY386" t="s">
        <v>74</v>
      </c>
      <c r="AZ386" t="s">
        <v>74</v>
      </c>
      <c r="BA386" t="s">
        <v>74</v>
      </c>
      <c r="BB386">
        <v>1307</v>
      </c>
      <c r="BC386">
        <v>1318</v>
      </c>
      <c r="BD386" t="s">
        <v>74</v>
      </c>
      <c r="BE386" t="s">
        <v>7907</v>
      </c>
      <c r="BF386" t="str">
        <f>HYPERLINK("http://dx.doi.org/10.1111/nph.16648","http://dx.doi.org/10.1111/nph.16648")</f>
        <v>http://dx.doi.org/10.1111/nph.16648</v>
      </c>
      <c r="BG386" t="s">
        <v>74</v>
      </c>
      <c r="BH386" t="s">
        <v>5750</v>
      </c>
      <c r="BI386">
        <v>12</v>
      </c>
      <c r="BJ386" t="s">
        <v>1635</v>
      </c>
      <c r="BK386" t="s">
        <v>102</v>
      </c>
      <c r="BL386" t="s">
        <v>1635</v>
      </c>
      <c r="BM386" t="s">
        <v>7908</v>
      </c>
      <c r="BN386">
        <v>32391569</v>
      </c>
      <c r="BO386" t="s">
        <v>1657</v>
      </c>
      <c r="BP386" t="s">
        <v>74</v>
      </c>
      <c r="BQ386" t="s">
        <v>74</v>
      </c>
      <c r="BR386" t="s">
        <v>106</v>
      </c>
      <c r="BS386" t="s">
        <v>7909</v>
      </c>
      <c r="BT386" t="str">
        <f>HYPERLINK("https%3A%2F%2Fwww.webofscience.com%2Fwos%2Fwoscc%2Ffull-record%2FWOS:000537779000001","View Full Record in Web of Science")</f>
        <v>View Full Record in Web of Science</v>
      </c>
    </row>
    <row r="387" spans="1:72" x14ac:dyDescent="0.15">
      <c r="A387" t="s">
        <v>72</v>
      </c>
      <c r="B387" t="s">
        <v>7910</v>
      </c>
      <c r="C387" t="s">
        <v>74</v>
      </c>
      <c r="D387" t="s">
        <v>74</v>
      </c>
      <c r="E387" t="s">
        <v>74</v>
      </c>
      <c r="F387" t="s">
        <v>7911</v>
      </c>
      <c r="G387" t="s">
        <v>74</v>
      </c>
      <c r="H387" t="s">
        <v>74</v>
      </c>
      <c r="I387" t="s">
        <v>7912</v>
      </c>
      <c r="J387" t="s">
        <v>7913</v>
      </c>
      <c r="K387" t="s">
        <v>74</v>
      </c>
      <c r="L387" t="s">
        <v>74</v>
      </c>
      <c r="M387" t="s">
        <v>78</v>
      </c>
      <c r="N387" t="s">
        <v>79</v>
      </c>
      <c r="O387" t="s">
        <v>74</v>
      </c>
      <c r="P387" t="s">
        <v>74</v>
      </c>
      <c r="Q387" t="s">
        <v>74</v>
      </c>
      <c r="R387" t="s">
        <v>74</v>
      </c>
      <c r="S387" t="s">
        <v>74</v>
      </c>
      <c r="T387" t="s">
        <v>7914</v>
      </c>
      <c r="U387" t="s">
        <v>7915</v>
      </c>
      <c r="V387" t="s">
        <v>7916</v>
      </c>
      <c r="W387" t="s">
        <v>7917</v>
      </c>
      <c r="X387" t="s">
        <v>7918</v>
      </c>
      <c r="Y387" t="s">
        <v>7919</v>
      </c>
      <c r="Z387" t="s">
        <v>7920</v>
      </c>
      <c r="AA387" t="s">
        <v>7921</v>
      </c>
      <c r="AB387" t="s">
        <v>7922</v>
      </c>
      <c r="AC387" t="s">
        <v>7923</v>
      </c>
      <c r="AD387" t="s">
        <v>7923</v>
      </c>
      <c r="AE387" t="s">
        <v>7924</v>
      </c>
      <c r="AF387" t="s">
        <v>74</v>
      </c>
      <c r="AG387">
        <v>168</v>
      </c>
      <c r="AH387">
        <v>6</v>
      </c>
      <c r="AI387">
        <v>6</v>
      </c>
      <c r="AJ387">
        <v>1</v>
      </c>
      <c r="AK387">
        <v>14</v>
      </c>
      <c r="AL387" t="s">
        <v>1440</v>
      </c>
      <c r="AM387" t="s">
        <v>1628</v>
      </c>
      <c r="AN387" t="s">
        <v>1629</v>
      </c>
      <c r="AO387" t="s">
        <v>7925</v>
      </c>
      <c r="AP387" t="s">
        <v>7926</v>
      </c>
      <c r="AQ387" t="s">
        <v>74</v>
      </c>
      <c r="AR387" t="s">
        <v>7913</v>
      </c>
      <c r="AS387" t="s">
        <v>7927</v>
      </c>
      <c r="AT387" t="s">
        <v>1823</v>
      </c>
      <c r="AU387">
        <v>2020</v>
      </c>
      <c r="AV387">
        <v>847</v>
      </c>
      <c r="AW387">
        <v>20</v>
      </c>
      <c r="AX387" t="s">
        <v>74</v>
      </c>
      <c r="AY387" t="s">
        <v>74</v>
      </c>
      <c r="AZ387" t="s">
        <v>2622</v>
      </c>
      <c r="BA387" t="s">
        <v>74</v>
      </c>
      <c r="BB387">
        <v>4191</v>
      </c>
      <c r="BC387">
        <v>4206</v>
      </c>
      <c r="BD387" t="s">
        <v>74</v>
      </c>
      <c r="BE387" t="s">
        <v>7928</v>
      </c>
      <c r="BF387" t="str">
        <f>HYPERLINK("http://dx.doi.org/10.1007/s10750-020-04291-1","http://dx.doi.org/10.1007/s10750-020-04291-1")</f>
        <v>http://dx.doi.org/10.1007/s10750-020-04291-1</v>
      </c>
      <c r="BG387" t="s">
        <v>74</v>
      </c>
      <c r="BH387" t="s">
        <v>5750</v>
      </c>
      <c r="BI387">
        <v>16</v>
      </c>
      <c r="BJ387" t="s">
        <v>1680</v>
      </c>
      <c r="BK387" t="s">
        <v>102</v>
      </c>
      <c r="BL387" t="s">
        <v>1680</v>
      </c>
      <c r="BM387" t="s">
        <v>7929</v>
      </c>
      <c r="BN387" t="s">
        <v>74</v>
      </c>
      <c r="BO387" t="s">
        <v>74</v>
      </c>
      <c r="BP387" t="s">
        <v>74</v>
      </c>
      <c r="BQ387" t="s">
        <v>74</v>
      </c>
      <c r="BR387" t="s">
        <v>106</v>
      </c>
      <c r="BS387" t="s">
        <v>7930</v>
      </c>
      <c r="BT387" t="str">
        <f>HYPERLINK("https%3A%2F%2Fwww.webofscience.com%2Fwos%2Fwoscc%2Ffull-record%2FWOS:000538232400001","View Full Record in Web of Science")</f>
        <v>View Full Record in Web of Science</v>
      </c>
    </row>
    <row r="388" spans="1:72" x14ac:dyDescent="0.15">
      <c r="A388" t="s">
        <v>72</v>
      </c>
      <c r="B388" t="s">
        <v>7931</v>
      </c>
      <c r="C388" t="s">
        <v>74</v>
      </c>
      <c r="D388" t="s">
        <v>74</v>
      </c>
      <c r="E388" t="s">
        <v>74</v>
      </c>
      <c r="F388" t="s">
        <v>7932</v>
      </c>
      <c r="G388" t="s">
        <v>74</v>
      </c>
      <c r="H388" t="s">
        <v>74</v>
      </c>
      <c r="I388" t="s">
        <v>7933</v>
      </c>
      <c r="J388" t="s">
        <v>7934</v>
      </c>
      <c r="K388" t="s">
        <v>74</v>
      </c>
      <c r="L388" t="s">
        <v>74</v>
      </c>
      <c r="M388" t="s">
        <v>78</v>
      </c>
      <c r="N388" t="s">
        <v>79</v>
      </c>
      <c r="O388" t="s">
        <v>74</v>
      </c>
      <c r="P388" t="s">
        <v>74</v>
      </c>
      <c r="Q388" t="s">
        <v>74</v>
      </c>
      <c r="R388" t="s">
        <v>74</v>
      </c>
      <c r="S388" t="s">
        <v>74</v>
      </c>
      <c r="T388" t="s">
        <v>7935</v>
      </c>
      <c r="U388" t="s">
        <v>7936</v>
      </c>
      <c r="V388" t="s">
        <v>7937</v>
      </c>
      <c r="W388" t="s">
        <v>7938</v>
      </c>
      <c r="X388" t="s">
        <v>7939</v>
      </c>
      <c r="Y388" t="s">
        <v>7940</v>
      </c>
      <c r="Z388" t="s">
        <v>7941</v>
      </c>
      <c r="AA388" t="s">
        <v>7942</v>
      </c>
      <c r="AB388" t="s">
        <v>7943</v>
      </c>
      <c r="AC388" t="s">
        <v>7944</v>
      </c>
      <c r="AD388" t="s">
        <v>7945</v>
      </c>
      <c r="AE388" t="s">
        <v>7946</v>
      </c>
      <c r="AF388" t="s">
        <v>74</v>
      </c>
      <c r="AG388">
        <v>154</v>
      </c>
      <c r="AH388">
        <v>5</v>
      </c>
      <c r="AI388">
        <v>5</v>
      </c>
      <c r="AJ388">
        <v>5</v>
      </c>
      <c r="AK388">
        <v>12</v>
      </c>
      <c r="AL388" t="s">
        <v>3829</v>
      </c>
      <c r="AM388" t="s">
        <v>3830</v>
      </c>
      <c r="AN388" t="s">
        <v>3831</v>
      </c>
      <c r="AO388" t="s">
        <v>7947</v>
      </c>
      <c r="AP388" t="s">
        <v>7948</v>
      </c>
      <c r="AQ388" t="s">
        <v>74</v>
      </c>
      <c r="AR388" t="s">
        <v>7949</v>
      </c>
      <c r="AS388" t="s">
        <v>7950</v>
      </c>
      <c r="AT388" t="s">
        <v>2621</v>
      </c>
      <c r="AU388">
        <v>2021</v>
      </c>
      <c r="AV388">
        <v>63</v>
      </c>
      <c r="AW388">
        <v>10</v>
      </c>
      <c r="AX388" t="s">
        <v>74</v>
      </c>
      <c r="AY388" t="s">
        <v>74</v>
      </c>
      <c r="AZ388" t="s">
        <v>74</v>
      </c>
      <c r="BA388" t="s">
        <v>74</v>
      </c>
      <c r="BB388">
        <v>1215</v>
      </c>
      <c r="BC388">
        <v>1235</v>
      </c>
      <c r="BD388" t="s">
        <v>74</v>
      </c>
      <c r="BE388" t="s">
        <v>7951</v>
      </c>
      <c r="BF388" t="str">
        <f>HYPERLINK("http://dx.doi.org/10.1080/00206814.2020.1756002","http://dx.doi.org/10.1080/00206814.2020.1756002")</f>
        <v>http://dx.doi.org/10.1080/00206814.2020.1756002</v>
      </c>
      <c r="BG388" t="s">
        <v>74</v>
      </c>
      <c r="BH388" t="s">
        <v>5750</v>
      </c>
      <c r="BI388">
        <v>21</v>
      </c>
      <c r="BJ388" t="s">
        <v>472</v>
      </c>
      <c r="BK388" t="s">
        <v>102</v>
      </c>
      <c r="BL388" t="s">
        <v>472</v>
      </c>
      <c r="BM388" t="s">
        <v>7952</v>
      </c>
      <c r="BN388" t="s">
        <v>74</v>
      </c>
      <c r="BO388" t="s">
        <v>976</v>
      </c>
      <c r="BP388" t="s">
        <v>74</v>
      </c>
      <c r="BQ388" t="s">
        <v>74</v>
      </c>
      <c r="BR388" t="s">
        <v>106</v>
      </c>
      <c r="BS388" t="s">
        <v>7953</v>
      </c>
      <c r="BT388" t="str">
        <f>HYPERLINK("https%3A%2F%2Fwww.webofscience.com%2Fwos%2Fwoscc%2Ffull-record%2FWOS:000543099900001","View Full Record in Web of Science")</f>
        <v>View Full Record in Web of Science</v>
      </c>
    </row>
    <row r="389" spans="1:72" x14ac:dyDescent="0.15">
      <c r="A389" t="s">
        <v>72</v>
      </c>
      <c r="B389" t="s">
        <v>7954</v>
      </c>
      <c r="C389" t="s">
        <v>74</v>
      </c>
      <c r="D389" t="s">
        <v>74</v>
      </c>
      <c r="E389" t="s">
        <v>74</v>
      </c>
      <c r="F389" t="s">
        <v>7955</v>
      </c>
      <c r="G389" t="s">
        <v>74</v>
      </c>
      <c r="H389" t="s">
        <v>74</v>
      </c>
      <c r="I389" t="s">
        <v>7956</v>
      </c>
      <c r="J389" t="s">
        <v>1106</v>
      </c>
      <c r="K389" t="s">
        <v>74</v>
      </c>
      <c r="L389" t="s">
        <v>74</v>
      </c>
      <c r="M389" t="s">
        <v>78</v>
      </c>
      <c r="N389" t="s">
        <v>79</v>
      </c>
      <c r="O389" t="s">
        <v>74</v>
      </c>
      <c r="P389" t="s">
        <v>74</v>
      </c>
      <c r="Q389" t="s">
        <v>74</v>
      </c>
      <c r="R389" t="s">
        <v>74</v>
      </c>
      <c r="S389" t="s">
        <v>74</v>
      </c>
      <c r="T389" t="s">
        <v>74</v>
      </c>
      <c r="U389" t="s">
        <v>7957</v>
      </c>
      <c r="V389" t="s">
        <v>7958</v>
      </c>
      <c r="W389" t="s">
        <v>7959</v>
      </c>
      <c r="X389" t="s">
        <v>7960</v>
      </c>
      <c r="Y389" t="s">
        <v>7961</v>
      </c>
      <c r="Z389" t="s">
        <v>7962</v>
      </c>
      <c r="AA389" t="s">
        <v>7963</v>
      </c>
      <c r="AB389" t="s">
        <v>7964</v>
      </c>
      <c r="AC389" t="s">
        <v>7965</v>
      </c>
      <c r="AD389" t="s">
        <v>7966</v>
      </c>
      <c r="AE389" t="s">
        <v>7967</v>
      </c>
      <c r="AF389" t="s">
        <v>74</v>
      </c>
      <c r="AG389">
        <v>101</v>
      </c>
      <c r="AH389">
        <v>17</v>
      </c>
      <c r="AI389">
        <v>17</v>
      </c>
      <c r="AJ389">
        <v>0</v>
      </c>
      <c r="AK389">
        <v>7</v>
      </c>
      <c r="AL389" t="s">
        <v>1240</v>
      </c>
      <c r="AM389" t="s">
        <v>1119</v>
      </c>
      <c r="AN389" t="s">
        <v>1120</v>
      </c>
      <c r="AO389" t="s">
        <v>1121</v>
      </c>
      <c r="AP389" t="s">
        <v>74</v>
      </c>
      <c r="AQ389" t="s">
        <v>74</v>
      </c>
      <c r="AR389" t="s">
        <v>1122</v>
      </c>
      <c r="AS389" t="s">
        <v>1123</v>
      </c>
      <c r="AT389" t="s">
        <v>7968</v>
      </c>
      <c r="AU389">
        <v>2020</v>
      </c>
      <c r="AV389">
        <v>10</v>
      </c>
      <c r="AW389">
        <v>1</v>
      </c>
      <c r="AX389" t="s">
        <v>74</v>
      </c>
      <c r="AY389" t="s">
        <v>74</v>
      </c>
      <c r="AZ389" t="s">
        <v>74</v>
      </c>
      <c r="BA389" t="s">
        <v>74</v>
      </c>
      <c r="BB389" t="s">
        <v>74</v>
      </c>
      <c r="BC389" t="s">
        <v>74</v>
      </c>
      <c r="BD389">
        <v>9122</v>
      </c>
      <c r="BE389" t="s">
        <v>7969</v>
      </c>
      <c r="BF389" t="str">
        <f>HYPERLINK("http://dx.doi.org/10.1038/s41598-020-65573-1","http://dx.doi.org/10.1038/s41598-020-65573-1")</f>
        <v>http://dx.doi.org/10.1038/s41598-020-65573-1</v>
      </c>
      <c r="BG389" t="s">
        <v>74</v>
      </c>
      <c r="BH389" t="s">
        <v>74</v>
      </c>
      <c r="BI389">
        <v>11</v>
      </c>
      <c r="BJ389" t="s">
        <v>1125</v>
      </c>
      <c r="BK389" t="s">
        <v>102</v>
      </c>
      <c r="BL389" t="s">
        <v>1126</v>
      </c>
      <c r="BM389" t="s">
        <v>7970</v>
      </c>
      <c r="BN389">
        <v>32499591</v>
      </c>
      <c r="BO389" t="s">
        <v>2974</v>
      </c>
      <c r="BP389" t="s">
        <v>74</v>
      </c>
      <c r="BQ389" t="s">
        <v>74</v>
      </c>
      <c r="BR389" t="s">
        <v>106</v>
      </c>
      <c r="BS389" t="s">
        <v>7971</v>
      </c>
      <c r="BT389" t="str">
        <f>HYPERLINK("https%3A%2F%2Fwww.webofscience.com%2Fwos%2Fwoscc%2Ffull-record%2FWOS:000540455400033","View Full Record in Web of Science")</f>
        <v>View Full Record in Web of Science</v>
      </c>
    </row>
    <row r="390" spans="1:72" x14ac:dyDescent="0.15">
      <c r="A390" t="s">
        <v>72</v>
      </c>
      <c r="B390" t="s">
        <v>7972</v>
      </c>
      <c r="C390" t="s">
        <v>74</v>
      </c>
      <c r="D390" t="s">
        <v>74</v>
      </c>
      <c r="E390" t="s">
        <v>74</v>
      </c>
      <c r="F390" t="s">
        <v>7973</v>
      </c>
      <c r="G390" t="s">
        <v>74</v>
      </c>
      <c r="H390" t="s">
        <v>74</v>
      </c>
      <c r="I390" t="s">
        <v>7974</v>
      </c>
      <c r="J390" t="s">
        <v>2051</v>
      </c>
      <c r="K390" t="s">
        <v>74</v>
      </c>
      <c r="L390" t="s">
        <v>74</v>
      </c>
      <c r="M390" t="s">
        <v>78</v>
      </c>
      <c r="N390" t="s">
        <v>79</v>
      </c>
      <c r="O390" t="s">
        <v>74</v>
      </c>
      <c r="P390" t="s">
        <v>74</v>
      </c>
      <c r="Q390" t="s">
        <v>74</v>
      </c>
      <c r="R390" t="s">
        <v>74</v>
      </c>
      <c r="S390" t="s">
        <v>74</v>
      </c>
      <c r="T390" t="s">
        <v>74</v>
      </c>
      <c r="U390" t="s">
        <v>7975</v>
      </c>
      <c r="V390" t="s">
        <v>7976</v>
      </c>
      <c r="W390" t="s">
        <v>7977</v>
      </c>
      <c r="X390" t="s">
        <v>7978</v>
      </c>
      <c r="Y390" t="s">
        <v>2056</v>
      </c>
      <c r="Z390" t="s">
        <v>2057</v>
      </c>
      <c r="AA390" t="s">
        <v>2058</v>
      </c>
      <c r="AB390" t="s">
        <v>2059</v>
      </c>
      <c r="AC390" t="s">
        <v>7979</v>
      </c>
      <c r="AD390" t="s">
        <v>7980</v>
      </c>
      <c r="AE390" t="s">
        <v>7981</v>
      </c>
      <c r="AF390" t="s">
        <v>74</v>
      </c>
      <c r="AG390">
        <v>81</v>
      </c>
      <c r="AH390">
        <v>12</v>
      </c>
      <c r="AI390">
        <v>12</v>
      </c>
      <c r="AJ390">
        <v>0</v>
      </c>
      <c r="AK390">
        <v>6</v>
      </c>
      <c r="AL390" t="s">
        <v>1049</v>
      </c>
      <c r="AM390" t="s">
        <v>1050</v>
      </c>
      <c r="AN390" t="s">
        <v>1051</v>
      </c>
      <c r="AO390" t="s">
        <v>2063</v>
      </c>
      <c r="AP390" t="s">
        <v>2064</v>
      </c>
      <c r="AQ390" t="s">
        <v>74</v>
      </c>
      <c r="AR390" t="s">
        <v>2065</v>
      </c>
      <c r="AS390" t="s">
        <v>2066</v>
      </c>
      <c r="AT390" t="s">
        <v>7968</v>
      </c>
      <c r="AU390">
        <v>2020</v>
      </c>
      <c r="AV390">
        <v>20</v>
      </c>
      <c r="AW390">
        <v>11</v>
      </c>
      <c r="AX390" t="s">
        <v>74</v>
      </c>
      <c r="AY390" t="s">
        <v>74</v>
      </c>
      <c r="AZ390" t="s">
        <v>74</v>
      </c>
      <c r="BA390" t="s">
        <v>74</v>
      </c>
      <c r="BB390">
        <v>6379</v>
      </c>
      <c r="BC390">
        <v>6394</v>
      </c>
      <c r="BD390" t="s">
        <v>74</v>
      </c>
      <c r="BE390" t="s">
        <v>7982</v>
      </c>
      <c r="BF390" t="str">
        <f>HYPERLINK("http://dx.doi.org/10.5194/acp-20-6379-2020","http://dx.doi.org/10.5194/acp-20-6379-2020")</f>
        <v>http://dx.doi.org/10.5194/acp-20-6379-2020</v>
      </c>
      <c r="BG390" t="s">
        <v>74</v>
      </c>
      <c r="BH390" t="s">
        <v>74</v>
      </c>
      <c r="BI390">
        <v>16</v>
      </c>
      <c r="BJ390" t="s">
        <v>2068</v>
      </c>
      <c r="BK390" t="s">
        <v>102</v>
      </c>
      <c r="BL390" t="s">
        <v>2069</v>
      </c>
      <c r="BM390" t="s">
        <v>7983</v>
      </c>
      <c r="BN390" t="s">
        <v>74</v>
      </c>
      <c r="BO390" t="s">
        <v>2071</v>
      </c>
      <c r="BP390" t="s">
        <v>74</v>
      </c>
      <c r="BQ390" t="s">
        <v>74</v>
      </c>
      <c r="BR390" t="s">
        <v>106</v>
      </c>
      <c r="BS390" t="s">
        <v>7984</v>
      </c>
      <c r="BT390" t="str">
        <f>HYPERLINK("https%3A%2F%2Fwww.webofscience.com%2Fwos%2Fwoscc%2Ffull-record%2FWOS:000538495300001","View Full Record in Web of Science")</f>
        <v>View Full Record in Web of Science</v>
      </c>
    </row>
    <row r="391" spans="1:72" x14ac:dyDescent="0.15">
      <c r="A391" t="s">
        <v>72</v>
      </c>
      <c r="B391" t="s">
        <v>7985</v>
      </c>
      <c r="C391" t="s">
        <v>74</v>
      </c>
      <c r="D391" t="s">
        <v>74</v>
      </c>
      <c r="E391" t="s">
        <v>74</v>
      </c>
      <c r="F391" t="s">
        <v>7986</v>
      </c>
      <c r="G391" t="s">
        <v>74</v>
      </c>
      <c r="H391" t="s">
        <v>74</v>
      </c>
      <c r="I391" t="s">
        <v>7987</v>
      </c>
      <c r="J391" t="s">
        <v>7988</v>
      </c>
      <c r="K391" t="s">
        <v>74</v>
      </c>
      <c r="L391" t="s">
        <v>74</v>
      </c>
      <c r="M391" t="s">
        <v>78</v>
      </c>
      <c r="N391" t="s">
        <v>79</v>
      </c>
      <c r="O391" t="s">
        <v>74</v>
      </c>
      <c r="P391" t="s">
        <v>74</v>
      </c>
      <c r="Q391" t="s">
        <v>74</v>
      </c>
      <c r="R391" t="s">
        <v>74</v>
      </c>
      <c r="S391" t="s">
        <v>74</v>
      </c>
      <c r="T391" t="s">
        <v>74</v>
      </c>
      <c r="U391" t="s">
        <v>7989</v>
      </c>
      <c r="V391" t="s">
        <v>7990</v>
      </c>
      <c r="W391" t="s">
        <v>7991</v>
      </c>
      <c r="X391" t="s">
        <v>7992</v>
      </c>
      <c r="Y391" t="s">
        <v>7993</v>
      </c>
      <c r="Z391" t="s">
        <v>7994</v>
      </c>
      <c r="AA391" t="s">
        <v>7995</v>
      </c>
      <c r="AB391" t="s">
        <v>7996</v>
      </c>
      <c r="AC391" t="s">
        <v>7997</v>
      </c>
      <c r="AD391" t="s">
        <v>7998</v>
      </c>
      <c r="AE391" t="s">
        <v>7999</v>
      </c>
      <c r="AF391" t="s">
        <v>74</v>
      </c>
      <c r="AG391">
        <v>43</v>
      </c>
      <c r="AH391">
        <v>1</v>
      </c>
      <c r="AI391">
        <v>1</v>
      </c>
      <c r="AJ391">
        <v>0</v>
      </c>
      <c r="AK391">
        <v>5</v>
      </c>
      <c r="AL391" t="s">
        <v>5953</v>
      </c>
      <c r="AM391" t="s">
        <v>5954</v>
      </c>
      <c r="AN391" t="s">
        <v>5955</v>
      </c>
      <c r="AO391" t="s">
        <v>8000</v>
      </c>
      <c r="AP391" t="s">
        <v>8001</v>
      </c>
      <c r="AQ391" t="s">
        <v>74</v>
      </c>
      <c r="AR391" t="s">
        <v>8002</v>
      </c>
      <c r="AS391" t="s">
        <v>8003</v>
      </c>
      <c r="AT391" t="s">
        <v>99</v>
      </c>
      <c r="AU391">
        <v>2020</v>
      </c>
      <c r="AV391">
        <v>141</v>
      </c>
      <c r="AW391" t="s">
        <v>8004</v>
      </c>
      <c r="AX391" t="s">
        <v>74</v>
      </c>
      <c r="AY391" t="s">
        <v>74</v>
      </c>
      <c r="AZ391" t="s">
        <v>74</v>
      </c>
      <c r="BA391" t="s">
        <v>74</v>
      </c>
      <c r="BB391">
        <v>1367</v>
      </c>
      <c r="BC391">
        <v>1382</v>
      </c>
      <c r="BD391" t="s">
        <v>74</v>
      </c>
      <c r="BE391" t="s">
        <v>8005</v>
      </c>
      <c r="BF391" t="str">
        <f>HYPERLINK("http://dx.doi.org/10.1007/s00704-020-03281-6","http://dx.doi.org/10.1007/s00704-020-03281-6")</f>
        <v>http://dx.doi.org/10.1007/s00704-020-03281-6</v>
      </c>
      <c r="BG391" t="s">
        <v>74</v>
      </c>
      <c r="BH391" t="s">
        <v>5750</v>
      </c>
      <c r="BI391">
        <v>16</v>
      </c>
      <c r="BJ391" t="s">
        <v>159</v>
      </c>
      <c r="BK391" t="s">
        <v>102</v>
      </c>
      <c r="BL391" t="s">
        <v>159</v>
      </c>
      <c r="BM391" t="s">
        <v>8006</v>
      </c>
      <c r="BN391" t="s">
        <v>74</v>
      </c>
      <c r="BO391" t="s">
        <v>189</v>
      </c>
      <c r="BP391" t="s">
        <v>74</v>
      </c>
      <c r="BQ391" t="s">
        <v>74</v>
      </c>
      <c r="BR391" t="s">
        <v>106</v>
      </c>
      <c r="BS391" t="s">
        <v>8007</v>
      </c>
      <c r="BT391" t="str">
        <f>HYPERLINK("https%3A%2F%2Fwww.webofscience.com%2Fwos%2Fwoscc%2Ffull-record%2FWOS:000538011000001","View Full Record in Web of Science")</f>
        <v>View Full Record in Web of Science</v>
      </c>
    </row>
    <row r="392" spans="1:72" x14ac:dyDescent="0.15">
      <c r="A392" t="s">
        <v>72</v>
      </c>
      <c r="B392" t="s">
        <v>8008</v>
      </c>
      <c r="C392" t="s">
        <v>74</v>
      </c>
      <c r="D392" t="s">
        <v>74</v>
      </c>
      <c r="E392" t="s">
        <v>74</v>
      </c>
      <c r="F392" t="s">
        <v>8009</v>
      </c>
      <c r="G392" t="s">
        <v>74</v>
      </c>
      <c r="H392" t="s">
        <v>74</v>
      </c>
      <c r="I392" t="s">
        <v>8010</v>
      </c>
      <c r="J392" t="s">
        <v>8011</v>
      </c>
      <c r="K392" t="s">
        <v>74</v>
      </c>
      <c r="L392" t="s">
        <v>74</v>
      </c>
      <c r="M392" t="s">
        <v>78</v>
      </c>
      <c r="N392" t="s">
        <v>8012</v>
      </c>
      <c r="O392" t="s">
        <v>74</v>
      </c>
      <c r="P392" t="s">
        <v>74</v>
      </c>
      <c r="Q392" t="s">
        <v>74</v>
      </c>
      <c r="R392" t="s">
        <v>74</v>
      </c>
      <c r="S392" t="s">
        <v>74</v>
      </c>
      <c r="T392" t="s">
        <v>74</v>
      </c>
      <c r="U392" t="s">
        <v>74</v>
      </c>
      <c r="V392" t="s">
        <v>74</v>
      </c>
      <c r="W392" t="s">
        <v>8013</v>
      </c>
      <c r="X392" t="s">
        <v>8014</v>
      </c>
      <c r="Y392" t="s">
        <v>8015</v>
      </c>
      <c r="Z392" t="s">
        <v>8016</v>
      </c>
      <c r="AA392" t="s">
        <v>74</v>
      </c>
      <c r="AB392" t="s">
        <v>74</v>
      </c>
      <c r="AC392" t="s">
        <v>74</v>
      </c>
      <c r="AD392" t="s">
        <v>74</v>
      </c>
      <c r="AE392" t="s">
        <v>74</v>
      </c>
      <c r="AF392" t="s">
        <v>74</v>
      </c>
      <c r="AG392">
        <v>14</v>
      </c>
      <c r="AH392">
        <v>0</v>
      </c>
      <c r="AI392">
        <v>0</v>
      </c>
      <c r="AJ392">
        <v>0</v>
      </c>
      <c r="AK392">
        <v>2</v>
      </c>
      <c r="AL392" t="s">
        <v>994</v>
      </c>
      <c r="AM392" t="s">
        <v>995</v>
      </c>
      <c r="AN392" t="s">
        <v>996</v>
      </c>
      <c r="AO392" t="s">
        <v>8017</v>
      </c>
      <c r="AP392" t="s">
        <v>8018</v>
      </c>
      <c r="AQ392" t="s">
        <v>74</v>
      </c>
      <c r="AR392" t="s">
        <v>8019</v>
      </c>
      <c r="AS392" t="s">
        <v>8020</v>
      </c>
      <c r="AT392" t="s">
        <v>3950</v>
      </c>
      <c r="AU392">
        <v>2020</v>
      </c>
      <c r="AV392">
        <v>36</v>
      </c>
      <c r="AW392">
        <v>3</v>
      </c>
      <c r="AX392" t="s">
        <v>74</v>
      </c>
      <c r="AY392" t="s">
        <v>74</v>
      </c>
      <c r="AZ392" t="s">
        <v>74</v>
      </c>
      <c r="BA392" t="s">
        <v>74</v>
      </c>
      <c r="BB392">
        <v>1074</v>
      </c>
      <c r="BC392">
        <v>1077</v>
      </c>
      <c r="BD392" t="s">
        <v>74</v>
      </c>
      <c r="BE392" t="s">
        <v>8021</v>
      </c>
      <c r="BF392" t="str">
        <f>HYPERLINK("http://dx.doi.org/10.1111/mms.12701","http://dx.doi.org/10.1111/mms.12701")</f>
        <v>http://dx.doi.org/10.1111/mms.12701</v>
      </c>
      <c r="BG392" t="s">
        <v>74</v>
      </c>
      <c r="BH392" t="s">
        <v>5750</v>
      </c>
      <c r="BI392">
        <v>4</v>
      </c>
      <c r="BJ392" t="s">
        <v>8022</v>
      </c>
      <c r="BK392" t="s">
        <v>102</v>
      </c>
      <c r="BL392" t="s">
        <v>8022</v>
      </c>
      <c r="BM392" t="s">
        <v>8023</v>
      </c>
      <c r="BN392" t="s">
        <v>74</v>
      </c>
      <c r="BO392" t="s">
        <v>74</v>
      </c>
      <c r="BP392" t="s">
        <v>74</v>
      </c>
      <c r="BQ392" t="s">
        <v>74</v>
      </c>
      <c r="BR392" t="s">
        <v>106</v>
      </c>
      <c r="BS392" t="s">
        <v>8024</v>
      </c>
      <c r="BT392" t="str">
        <f>HYPERLINK("https%3A%2F%2Fwww.webofscience.com%2Fwos%2Fwoscc%2Ffull-record%2FWOS:000537597200001","View Full Record in Web of Science")</f>
        <v>View Full Record in Web of Science</v>
      </c>
    </row>
    <row r="393" spans="1:72" x14ac:dyDescent="0.15">
      <c r="A393" t="s">
        <v>72</v>
      </c>
      <c r="B393" t="s">
        <v>8025</v>
      </c>
      <c r="C393" t="s">
        <v>74</v>
      </c>
      <c r="D393" t="s">
        <v>74</v>
      </c>
      <c r="E393" t="s">
        <v>74</v>
      </c>
      <c r="F393" t="s">
        <v>8026</v>
      </c>
      <c r="G393" t="s">
        <v>74</v>
      </c>
      <c r="H393" t="s">
        <v>74</v>
      </c>
      <c r="I393" t="s">
        <v>8027</v>
      </c>
      <c r="J393" t="s">
        <v>8028</v>
      </c>
      <c r="K393" t="s">
        <v>74</v>
      </c>
      <c r="L393" t="s">
        <v>74</v>
      </c>
      <c r="M393" t="s">
        <v>78</v>
      </c>
      <c r="N393" t="s">
        <v>79</v>
      </c>
      <c r="O393" t="s">
        <v>74</v>
      </c>
      <c r="P393" t="s">
        <v>74</v>
      </c>
      <c r="Q393" t="s">
        <v>74</v>
      </c>
      <c r="R393" t="s">
        <v>74</v>
      </c>
      <c r="S393" t="s">
        <v>74</v>
      </c>
      <c r="T393" t="s">
        <v>8029</v>
      </c>
      <c r="U393" t="s">
        <v>8030</v>
      </c>
      <c r="V393" t="s">
        <v>8031</v>
      </c>
      <c r="W393" t="s">
        <v>8032</v>
      </c>
      <c r="X393" t="s">
        <v>8033</v>
      </c>
      <c r="Y393" t="s">
        <v>8034</v>
      </c>
      <c r="Z393" t="s">
        <v>8035</v>
      </c>
      <c r="AA393" t="s">
        <v>8036</v>
      </c>
      <c r="AB393" t="s">
        <v>8037</v>
      </c>
      <c r="AC393" t="s">
        <v>8038</v>
      </c>
      <c r="AD393" t="s">
        <v>8038</v>
      </c>
      <c r="AE393" t="s">
        <v>8039</v>
      </c>
      <c r="AF393" t="s">
        <v>74</v>
      </c>
      <c r="AG393">
        <v>88</v>
      </c>
      <c r="AH393">
        <v>31</v>
      </c>
      <c r="AI393">
        <v>33</v>
      </c>
      <c r="AJ393">
        <v>0</v>
      </c>
      <c r="AK393">
        <v>23</v>
      </c>
      <c r="AL393" t="s">
        <v>994</v>
      </c>
      <c r="AM393" t="s">
        <v>995</v>
      </c>
      <c r="AN393" t="s">
        <v>996</v>
      </c>
      <c r="AO393" t="s">
        <v>8040</v>
      </c>
      <c r="AP393" t="s">
        <v>8041</v>
      </c>
      <c r="AQ393" t="s">
        <v>74</v>
      </c>
      <c r="AR393" t="s">
        <v>8042</v>
      </c>
      <c r="AS393" t="s">
        <v>8043</v>
      </c>
      <c r="AT393" t="s">
        <v>1653</v>
      </c>
      <c r="AU393">
        <v>2021</v>
      </c>
      <c r="AV393">
        <v>288</v>
      </c>
      <c r="AW393">
        <v>2</v>
      </c>
      <c r="AX393" t="s">
        <v>74</v>
      </c>
      <c r="AY393" t="s">
        <v>74</v>
      </c>
      <c r="AZ393" t="s">
        <v>74</v>
      </c>
      <c r="BA393" t="s">
        <v>74</v>
      </c>
      <c r="BB393">
        <v>546</v>
      </c>
      <c r="BC393">
        <v>565</v>
      </c>
      <c r="BD393" t="s">
        <v>74</v>
      </c>
      <c r="BE393" t="s">
        <v>8044</v>
      </c>
      <c r="BF393" t="str">
        <f>HYPERLINK("http://dx.doi.org/10.1111/febs.15354","http://dx.doi.org/10.1111/febs.15354")</f>
        <v>http://dx.doi.org/10.1111/febs.15354</v>
      </c>
      <c r="BG393" t="s">
        <v>74</v>
      </c>
      <c r="BH393" t="s">
        <v>5750</v>
      </c>
      <c r="BI393">
        <v>20</v>
      </c>
      <c r="BJ393" t="s">
        <v>7422</v>
      </c>
      <c r="BK393" t="s">
        <v>102</v>
      </c>
      <c r="BL393" t="s">
        <v>7422</v>
      </c>
      <c r="BM393" t="s">
        <v>8045</v>
      </c>
      <c r="BN393">
        <v>32363751</v>
      </c>
      <c r="BO393" t="s">
        <v>1657</v>
      </c>
      <c r="BP393" t="s">
        <v>74</v>
      </c>
      <c r="BQ393" t="s">
        <v>74</v>
      </c>
      <c r="BR393" t="s">
        <v>106</v>
      </c>
      <c r="BS393" t="s">
        <v>8046</v>
      </c>
      <c r="BT393" t="str">
        <f>HYPERLINK("https%3A%2F%2Fwww.webofscience.com%2Fwos%2Fwoscc%2Ffull-record%2FWOS:000537698000001","View Full Record in Web of Science")</f>
        <v>View Full Record in Web of Science</v>
      </c>
    </row>
    <row r="394" spans="1:72" x14ac:dyDescent="0.15">
      <c r="A394" t="s">
        <v>72</v>
      </c>
      <c r="B394" t="s">
        <v>8047</v>
      </c>
      <c r="C394" t="s">
        <v>74</v>
      </c>
      <c r="D394" t="s">
        <v>74</v>
      </c>
      <c r="E394" t="s">
        <v>74</v>
      </c>
      <c r="F394" t="s">
        <v>8048</v>
      </c>
      <c r="G394" t="s">
        <v>74</v>
      </c>
      <c r="H394" t="s">
        <v>74</v>
      </c>
      <c r="I394" t="s">
        <v>8049</v>
      </c>
      <c r="J394" t="s">
        <v>1106</v>
      </c>
      <c r="K394" t="s">
        <v>74</v>
      </c>
      <c r="L394" t="s">
        <v>74</v>
      </c>
      <c r="M394" t="s">
        <v>78</v>
      </c>
      <c r="N394" t="s">
        <v>79</v>
      </c>
      <c r="O394" t="s">
        <v>74</v>
      </c>
      <c r="P394" t="s">
        <v>74</v>
      </c>
      <c r="Q394" t="s">
        <v>74</v>
      </c>
      <c r="R394" t="s">
        <v>74</v>
      </c>
      <c r="S394" t="s">
        <v>74</v>
      </c>
      <c r="T394" t="s">
        <v>74</v>
      </c>
      <c r="U394" t="s">
        <v>8050</v>
      </c>
      <c r="V394" t="s">
        <v>8051</v>
      </c>
      <c r="W394" t="s">
        <v>8052</v>
      </c>
      <c r="X394" t="s">
        <v>8053</v>
      </c>
      <c r="Y394" t="s">
        <v>8054</v>
      </c>
      <c r="Z394" t="s">
        <v>8055</v>
      </c>
      <c r="AA394" t="s">
        <v>8056</v>
      </c>
      <c r="AB394" t="s">
        <v>8057</v>
      </c>
      <c r="AC394" t="s">
        <v>8058</v>
      </c>
      <c r="AD394" t="s">
        <v>8059</v>
      </c>
      <c r="AE394" t="s">
        <v>8060</v>
      </c>
      <c r="AF394" t="s">
        <v>74</v>
      </c>
      <c r="AG394">
        <v>77</v>
      </c>
      <c r="AH394">
        <v>20</v>
      </c>
      <c r="AI394">
        <v>20</v>
      </c>
      <c r="AJ394">
        <v>4</v>
      </c>
      <c r="AK394">
        <v>45</v>
      </c>
      <c r="AL394" t="s">
        <v>1389</v>
      </c>
      <c r="AM394" t="s">
        <v>945</v>
      </c>
      <c r="AN394" t="s">
        <v>1390</v>
      </c>
      <c r="AO394" t="s">
        <v>1121</v>
      </c>
      <c r="AP394" t="s">
        <v>74</v>
      </c>
      <c r="AQ394" t="s">
        <v>74</v>
      </c>
      <c r="AR394" t="s">
        <v>1122</v>
      </c>
      <c r="AS394" t="s">
        <v>1123</v>
      </c>
      <c r="AT394" t="s">
        <v>8061</v>
      </c>
      <c r="AU394">
        <v>2020</v>
      </c>
      <c r="AV394">
        <v>10</v>
      </c>
      <c r="AW394">
        <v>1</v>
      </c>
      <c r="AX394" t="s">
        <v>74</v>
      </c>
      <c r="AY394" t="s">
        <v>74</v>
      </c>
      <c r="AZ394" t="s">
        <v>74</v>
      </c>
      <c r="BA394" t="s">
        <v>74</v>
      </c>
      <c r="BB394" t="s">
        <v>74</v>
      </c>
      <c r="BC394" t="s">
        <v>74</v>
      </c>
      <c r="BD394">
        <v>9087</v>
      </c>
      <c r="BE394" t="s">
        <v>8062</v>
      </c>
      <c r="BF394" t="str">
        <f>HYPERLINK("http://dx.doi.org/10.1038/s41598-020-65571-3","http://dx.doi.org/10.1038/s41598-020-65571-3")</f>
        <v>http://dx.doi.org/10.1038/s41598-020-65571-3</v>
      </c>
      <c r="BG394" t="s">
        <v>74</v>
      </c>
      <c r="BH394" t="s">
        <v>74</v>
      </c>
      <c r="BI394">
        <v>12</v>
      </c>
      <c r="BJ394" t="s">
        <v>1125</v>
      </c>
      <c r="BK394" t="s">
        <v>102</v>
      </c>
      <c r="BL394" t="s">
        <v>1126</v>
      </c>
      <c r="BM394" t="s">
        <v>8063</v>
      </c>
      <c r="BN394">
        <v>32493944</v>
      </c>
      <c r="BO394" t="s">
        <v>2956</v>
      </c>
      <c r="BP394" t="s">
        <v>74</v>
      </c>
      <c r="BQ394" t="s">
        <v>74</v>
      </c>
      <c r="BR394" t="s">
        <v>106</v>
      </c>
      <c r="BS394" t="s">
        <v>8064</v>
      </c>
      <c r="BT394" t="str">
        <f>HYPERLINK("https%3A%2F%2Fwww.webofscience.com%2Fwos%2Fwoscc%2Ffull-record%2FWOS:000543961900025","View Full Record in Web of Science")</f>
        <v>View Full Record in Web of Science</v>
      </c>
    </row>
    <row r="395" spans="1:72" x14ac:dyDescent="0.15">
      <c r="A395" t="s">
        <v>72</v>
      </c>
      <c r="B395" t="s">
        <v>8065</v>
      </c>
      <c r="C395" t="s">
        <v>74</v>
      </c>
      <c r="D395" t="s">
        <v>74</v>
      </c>
      <c r="E395" t="s">
        <v>74</v>
      </c>
      <c r="F395" t="s">
        <v>8066</v>
      </c>
      <c r="G395" t="s">
        <v>74</v>
      </c>
      <c r="H395" t="s">
        <v>74</v>
      </c>
      <c r="I395" t="s">
        <v>8067</v>
      </c>
      <c r="J395" t="s">
        <v>2028</v>
      </c>
      <c r="K395" t="s">
        <v>74</v>
      </c>
      <c r="L395" t="s">
        <v>74</v>
      </c>
      <c r="M395" t="s">
        <v>78</v>
      </c>
      <c r="N395" t="s">
        <v>79</v>
      </c>
      <c r="O395" t="s">
        <v>74</v>
      </c>
      <c r="P395" t="s">
        <v>74</v>
      </c>
      <c r="Q395" t="s">
        <v>74</v>
      </c>
      <c r="R395" t="s">
        <v>74</v>
      </c>
      <c r="S395" t="s">
        <v>74</v>
      </c>
      <c r="T395" t="s">
        <v>8068</v>
      </c>
      <c r="U395" t="s">
        <v>8069</v>
      </c>
      <c r="V395" t="s">
        <v>8070</v>
      </c>
      <c r="W395" t="s">
        <v>8071</v>
      </c>
      <c r="X395" t="s">
        <v>8072</v>
      </c>
      <c r="Y395" t="s">
        <v>8073</v>
      </c>
      <c r="Z395" t="s">
        <v>8074</v>
      </c>
      <c r="AA395" t="s">
        <v>8075</v>
      </c>
      <c r="AB395" t="s">
        <v>74</v>
      </c>
      <c r="AC395" t="s">
        <v>8076</v>
      </c>
      <c r="AD395" t="s">
        <v>8076</v>
      </c>
      <c r="AE395" t="s">
        <v>8077</v>
      </c>
      <c r="AF395" t="s">
        <v>74</v>
      </c>
      <c r="AG395">
        <v>98</v>
      </c>
      <c r="AH395">
        <v>15</v>
      </c>
      <c r="AI395">
        <v>17</v>
      </c>
      <c r="AJ395">
        <v>2</v>
      </c>
      <c r="AK395">
        <v>19</v>
      </c>
      <c r="AL395" t="s">
        <v>1024</v>
      </c>
      <c r="AM395" t="s">
        <v>1025</v>
      </c>
      <c r="AN395" t="s">
        <v>1026</v>
      </c>
      <c r="AO395" t="s">
        <v>74</v>
      </c>
      <c r="AP395" t="s">
        <v>2040</v>
      </c>
      <c r="AQ395" t="s">
        <v>74</v>
      </c>
      <c r="AR395" t="s">
        <v>2041</v>
      </c>
      <c r="AS395" t="s">
        <v>2042</v>
      </c>
      <c r="AT395" t="s">
        <v>8061</v>
      </c>
      <c r="AU395">
        <v>2020</v>
      </c>
      <c r="AV395">
        <v>11</v>
      </c>
      <c r="AW395" t="s">
        <v>74</v>
      </c>
      <c r="AX395" t="s">
        <v>74</v>
      </c>
      <c r="AY395" t="s">
        <v>74</v>
      </c>
      <c r="AZ395" t="s">
        <v>74</v>
      </c>
      <c r="BA395" t="s">
        <v>74</v>
      </c>
      <c r="BB395" t="s">
        <v>74</v>
      </c>
      <c r="BC395" t="s">
        <v>74</v>
      </c>
      <c r="BD395">
        <v>1165</v>
      </c>
      <c r="BE395" t="s">
        <v>8078</v>
      </c>
      <c r="BF395" t="str">
        <f>HYPERLINK("http://dx.doi.org/10.3389/fmicb.2020.01165","http://dx.doi.org/10.3389/fmicb.2020.01165")</f>
        <v>http://dx.doi.org/10.3389/fmicb.2020.01165</v>
      </c>
      <c r="BG395" t="s">
        <v>74</v>
      </c>
      <c r="BH395" t="s">
        <v>74</v>
      </c>
      <c r="BI395">
        <v>21</v>
      </c>
      <c r="BJ395" t="s">
        <v>2045</v>
      </c>
      <c r="BK395" t="s">
        <v>102</v>
      </c>
      <c r="BL395" t="s">
        <v>2045</v>
      </c>
      <c r="BM395" t="s">
        <v>8079</v>
      </c>
      <c r="BN395">
        <v>32582104</v>
      </c>
      <c r="BO395" t="s">
        <v>1778</v>
      </c>
      <c r="BP395" t="s">
        <v>74</v>
      </c>
      <c r="BQ395" t="s">
        <v>74</v>
      </c>
      <c r="BR395" t="s">
        <v>106</v>
      </c>
      <c r="BS395" t="s">
        <v>8080</v>
      </c>
      <c r="BT395" t="str">
        <f>HYPERLINK("https%3A%2F%2Fwww.webofscience.com%2Fwos%2Fwoscc%2Ffull-record%2FWOS:000543830100001","View Full Record in Web of Science")</f>
        <v>View Full Record in Web of Science</v>
      </c>
    </row>
    <row r="396" spans="1:72" x14ac:dyDescent="0.15">
      <c r="A396" t="s">
        <v>72</v>
      </c>
      <c r="B396" t="s">
        <v>8081</v>
      </c>
      <c r="C396" t="s">
        <v>74</v>
      </c>
      <c r="D396" t="s">
        <v>74</v>
      </c>
      <c r="E396" t="s">
        <v>74</v>
      </c>
      <c r="F396" t="s">
        <v>8082</v>
      </c>
      <c r="G396" t="s">
        <v>74</v>
      </c>
      <c r="H396" t="s">
        <v>74</v>
      </c>
      <c r="I396" t="s">
        <v>8083</v>
      </c>
      <c r="J396" t="s">
        <v>2028</v>
      </c>
      <c r="K396" t="s">
        <v>74</v>
      </c>
      <c r="L396" t="s">
        <v>74</v>
      </c>
      <c r="M396" t="s">
        <v>78</v>
      </c>
      <c r="N396" t="s">
        <v>79</v>
      </c>
      <c r="O396" t="s">
        <v>74</v>
      </c>
      <c r="P396" t="s">
        <v>74</v>
      </c>
      <c r="Q396" t="s">
        <v>74</v>
      </c>
      <c r="R396" t="s">
        <v>74</v>
      </c>
      <c r="S396" t="s">
        <v>74</v>
      </c>
      <c r="T396" t="s">
        <v>8084</v>
      </c>
      <c r="U396" t="s">
        <v>8085</v>
      </c>
      <c r="V396" t="s">
        <v>8086</v>
      </c>
      <c r="W396" t="s">
        <v>8087</v>
      </c>
      <c r="X396" t="s">
        <v>8088</v>
      </c>
      <c r="Y396" t="s">
        <v>8089</v>
      </c>
      <c r="Z396" t="s">
        <v>8090</v>
      </c>
      <c r="AA396" t="s">
        <v>8091</v>
      </c>
      <c r="AB396" t="s">
        <v>8092</v>
      </c>
      <c r="AC396" t="s">
        <v>8093</v>
      </c>
      <c r="AD396" t="s">
        <v>8094</v>
      </c>
      <c r="AE396" t="s">
        <v>8095</v>
      </c>
      <c r="AF396" t="s">
        <v>74</v>
      </c>
      <c r="AG396">
        <v>67</v>
      </c>
      <c r="AH396">
        <v>29</v>
      </c>
      <c r="AI396">
        <v>29</v>
      </c>
      <c r="AJ396">
        <v>7</v>
      </c>
      <c r="AK396">
        <v>49</v>
      </c>
      <c r="AL396" t="s">
        <v>1024</v>
      </c>
      <c r="AM396" t="s">
        <v>1025</v>
      </c>
      <c r="AN396" t="s">
        <v>1026</v>
      </c>
      <c r="AO396" t="s">
        <v>74</v>
      </c>
      <c r="AP396" t="s">
        <v>2040</v>
      </c>
      <c r="AQ396" t="s">
        <v>74</v>
      </c>
      <c r="AR396" t="s">
        <v>2041</v>
      </c>
      <c r="AS396" t="s">
        <v>2042</v>
      </c>
      <c r="AT396" t="s">
        <v>8061</v>
      </c>
      <c r="AU396">
        <v>2020</v>
      </c>
      <c r="AV396">
        <v>11</v>
      </c>
      <c r="AW396" t="s">
        <v>74</v>
      </c>
      <c r="AX396" t="s">
        <v>74</v>
      </c>
      <c r="AY396" t="s">
        <v>74</v>
      </c>
      <c r="AZ396" t="s">
        <v>74</v>
      </c>
      <c r="BA396" t="s">
        <v>74</v>
      </c>
      <c r="BB396" t="s">
        <v>74</v>
      </c>
      <c r="BC396" t="s">
        <v>74</v>
      </c>
      <c r="BD396">
        <v>1036</v>
      </c>
      <c r="BE396" t="s">
        <v>8096</v>
      </c>
      <c r="BF396" t="str">
        <f>HYPERLINK("http://dx.doi.org/10.3389/fmicb.2020.01036","http://dx.doi.org/10.3389/fmicb.2020.01036")</f>
        <v>http://dx.doi.org/10.3389/fmicb.2020.01036</v>
      </c>
      <c r="BG396" t="s">
        <v>74</v>
      </c>
      <c r="BH396" t="s">
        <v>74</v>
      </c>
      <c r="BI396">
        <v>13</v>
      </c>
      <c r="BJ396" t="s">
        <v>2045</v>
      </c>
      <c r="BK396" t="s">
        <v>102</v>
      </c>
      <c r="BL396" t="s">
        <v>2045</v>
      </c>
      <c r="BM396" t="s">
        <v>8097</v>
      </c>
      <c r="BN396">
        <v>32582056</v>
      </c>
      <c r="BO396" t="s">
        <v>161</v>
      </c>
      <c r="BP396" t="s">
        <v>74</v>
      </c>
      <c r="BQ396" t="s">
        <v>74</v>
      </c>
      <c r="BR396" t="s">
        <v>106</v>
      </c>
      <c r="BS396" t="s">
        <v>8098</v>
      </c>
      <c r="BT396" t="str">
        <f>HYPERLINK("https%3A%2F%2Fwww.webofscience.com%2Fwos%2Fwoscc%2Ffull-record%2FWOS:000543331300001","View Full Record in Web of Science")</f>
        <v>View Full Record in Web of Science</v>
      </c>
    </row>
    <row r="397" spans="1:72" x14ac:dyDescent="0.15">
      <c r="A397" t="s">
        <v>72</v>
      </c>
      <c r="B397" t="s">
        <v>8099</v>
      </c>
      <c r="C397" t="s">
        <v>74</v>
      </c>
      <c r="D397" t="s">
        <v>74</v>
      </c>
      <c r="E397" t="s">
        <v>74</v>
      </c>
      <c r="F397" t="s">
        <v>8100</v>
      </c>
      <c r="G397" t="s">
        <v>74</v>
      </c>
      <c r="H397" t="s">
        <v>74</v>
      </c>
      <c r="I397" t="s">
        <v>8101</v>
      </c>
      <c r="J397" t="s">
        <v>8102</v>
      </c>
      <c r="K397" t="s">
        <v>74</v>
      </c>
      <c r="L397" t="s">
        <v>74</v>
      </c>
      <c r="M397" t="s">
        <v>78</v>
      </c>
      <c r="N397" t="s">
        <v>79</v>
      </c>
      <c r="O397" t="s">
        <v>74</v>
      </c>
      <c r="P397" t="s">
        <v>74</v>
      </c>
      <c r="Q397" t="s">
        <v>74</v>
      </c>
      <c r="R397" t="s">
        <v>74</v>
      </c>
      <c r="S397" t="s">
        <v>74</v>
      </c>
      <c r="T397" t="s">
        <v>8103</v>
      </c>
      <c r="U397" t="s">
        <v>8104</v>
      </c>
      <c r="V397" t="s">
        <v>8105</v>
      </c>
      <c r="W397" t="s">
        <v>8106</v>
      </c>
      <c r="X397" t="s">
        <v>8107</v>
      </c>
      <c r="Y397" t="s">
        <v>8108</v>
      </c>
      <c r="Z397" t="s">
        <v>8109</v>
      </c>
      <c r="AA397" t="s">
        <v>74</v>
      </c>
      <c r="AB397" t="s">
        <v>8110</v>
      </c>
      <c r="AC397" t="s">
        <v>8111</v>
      </c>
      <c r="AD397" t="s">
        <v>8111</v>
      </c>
      <c r="AE397" t="s">
        <v>8112</v>
      </c>
      <c r="AF397" t="s">
        <v>74</v>
      </c>
      <c r="AG397">
        <v>99</v>
      </c>
      <c r="AH397">
        <v>15</v>
      </c>
      <c r="AI397">
        <v>20</v>
      </c>
      <c r="AJ397">
        <v>0</v>
      </c>
      <c r="AK397">
        <v>90</v>
      </c>
      <c r="AL397" t="s">
        <v>2377</v>
      </c>
      <c r="AM397" t="s">
        <v>945</v>
      </c>
      <c r="AN397" t="s">
        <v>2378</v>
      </c>
      <c r="AO397" t="s">
        <v>74</v>
      </c>
      <c r="AP397" t="s">
        <v>8113</v>
      </c>
      <c r="AQ397" t="s">
        <v>74</v>
      </c>
      <c r="AR397" t="s">
        <v>8114</v>
      </c>
      <c r="AS397" t="s">
        <v>8115</v>
      </c>
      <c r="AT397" t="s">
        <v>8061</v>
      </c>
      <c r="AU397">
        <v>2020</v>
      </c>
      <c r="AV397">
        <v>20</v>
      </c>
      <c r="AW397">
        <v>1</v>
      </c>
      <c r="AX397" t="s">
        <v>74</v>
      </c>
      <c r="AY397" t="s">
        <v>74</v>
      </c>
      <c r="AZ397" t="s">
        <v>74</v>
      </c>
      <c r="BA397" t="s">
        <v>74</v>
      </c>
      <c r="BB397" t="s">
        <v>74</v>
      </c>
      <c r="BC397" t="s">
        <v>74</v>
      </c>
      <c r="BD397">
        <v>32</v>
      </c>
      <c r="BE397" t="s">
        <v>8116</v>
      </c>
      <c r="BF397" t="str">
        <f>HYPERLINK("http://dx.doi.org/10.1186/s12898-020-00300-y","http://dx.doi.org/10.1186/s12898-020-00300-y")</f>
        <v>http://dx.doi.org/10.1186/s12898-020-00300-y</v>
      </c>
      <c r="BG397" t="s">
        <v>74</v>
      </c>
      <c r="BH397" t="s">
        <v>74</v>
      </c>
      <c r="BI397">
        <v>15</v>
      </c>
      <c r="BJ397" t="s">
        <v>1446</v>
      </c>
      <c r="BK397" t="s">
        <v>102</v>
      </c>
      <c r="BL397" t="s">
        <v>103</v>
      </c>
      <c r="BM397" t="s">
        <v>8117</v>
      </c>
      <c r="BN397">
        <v>32493329</v>
      </c>
      <c r="BO397" t="s">
        <v>161</v>
      </c>
      <c r="BP397" t="s">
        <v>74</v>
      </c>
      <c r="BQ397" t="s">
        <v>74</v>
      </c>
      <c r="BR397" t="s">
        <v>106</v>
      </c>
      <c r="BS397" t="s">
        <v>8118</v>
      </c>
      <c r="BT397" t="str">
        <f>HYPERLINK("https%3A%2F%2Fwww.webofscience.com%2Fwos%2Fwoscc%2Ffull-record%2FWOS:000539757900001","View Full Record in Web of Science")</f>
        <v>View Full Record in Web of Science</v>
      </c>
    </row>
    <row r="398" spans="1:72" x14ac:dyDescent="0.15">
      <c r="A398" t="s">
        <v>72</v>
      </c>
      <c r="B398" t="s">
        <v>8119</v>
      </c>
      <c r="C398" t="s">
        <v>74</v>
      </c>
      <c r="D398" t="s">
        <v>74</v>
      </c>
      <c r="E398" t="s">
        <v>74</v>
      </c>
      <c r="F398" t="s">
        <v>8120</v>
      </c>
      <c r="G398" t="s">
        <v>74</v>
      </c>
      <c r="H398" t="s">
        <v>74</v>
      </c>
      <c r="I398" t="s">
        <v>8121</v>
      </c>
      <c r="J398" t="s">
        <v>8122</v>
      </c>
      <c r="K398" t="s">
        <v>74</v>
      </c>
      <c r="L398" t="s">
        <v>74</v>
      </c>
      <c r="M398" t="s">
        <v>78</v>
      </c>
      <c r="N398" t="s">
        <v>79</v>
      </c>
      <c r="O398" t="s">
        <v>74</v>
      </c>
      <c r="P398" t="s">
        <v>74</v>
      </c>
      <c r="Q398" t="s">
        <v>74</v>
      </c>
      <c r="R398" t="s">
        <v>74</v>
      </c>
      <c r="S398" t="s">
        <v>74</v>
      </c>
      <c r="T398" t="s">
        <v>8123</v>
      </c>
      <c r="U398" t="s">
        <v>8124</v>
      </c>
      <c r="V398" t="s">
        <v>8125</v>
      </c>
      <c r="W398" t="s">
        <v>8126</v>
      </c>
      <c r="X398" t="s">
        <v>8127</v>
      </c>
      <c r="Y398" t="s">
        <v>8128</v>
      </c>
      <c r="Z398" t="s">
        <v>8129</v>
      </c>
      <c r="AA398" t="s">
        <v>8130</v>
      </c>
      <c r="AB398" t="s">
        <v>8131</v>
      </c>
      <c r="AC398" t="s">
        <v>8132</v>
      </c>
      <c r="AD398" t="s">
        <v>8133</v>
      </c>
      <c r="AE398" t="s">
        <v>8134</v>
      </c>
      <c r="AF398" t="s">
        <v>74</v>
      </c>
      <c r="AG398">
        <v>63</v>
      </c>
      <c r="AH398">
        <v>8</v>
      </c>
      <c r="AI398">
        <v>9</v>
      </c>
      <c r="AJ398">
        <v>1</v>
      </c>
      <c r="AK398">
        <v>6</v>
      </c>
      <c r="AL398" t="s">
        <v>994</v>
      </c>
      <c r="AM398" t="s">
        <v>995</v>
      </c>
      <c r="AN398" t="s">
        <v>996</v>
      </c>
      <c r="AO398" t="s">
        <v>8135</v>
      </c>
      <c r="AP398" t="s">
        <v>8136</v>
      </c>
      <c r="AQ398" t="s">
        <v>74</v>
      </c>
      <c r="AR398" t="s">
        <v>8137</v>
      </c>
      <c r="AS398" t="s">
        <v>8138</v>
      </c>
      <c r="AT398" t="s">
        <v>8139</v>
      </c>
      <c r="AU398">
        <v>2021</v>
      </c>
      <c r="AV398">
        <v>33</v>
      </c>
      <c r="AW398">
        <v>1</v>
      </c>
      <c r="AX398" t="s">
        <v>74</v>
      </c>
      <c r="AY398" t="s">
        <v>74</v>
      </c>
      <c r="AZ398" t="s">
        <v>74</v>
      </c>
      <c r="BA398" t="s">
        <v>74</v>
      </c>
      <c r="BB398">
        <v>403</v>
      </c>
      <c r="BC398">
        <v>426</v>
      </c>
      <c r="BD398" t="s">
        <v>74</v>
      </c>
      <c r="BE398" t="s">
        <v>8140</v>
      </c>
      <c r="BF398" t="str">
        <f>HYPERLINK("http://dx.doi.org/10.1111/bre.12473","http://dx.doi.org/10.1111/bre.12473")</f>
        <v>http://dx.doi.org/10.1111/bre.12473</v>
      </c>
      <c r="BG398" t="s">
        <v>74</v>
      </c>
      <c r="BH398" t="s">
        <v>5750</v>
      </c>
      <c r="BI398">
        <v>24</v>
      </c>
      <c r="BJ398" t="s">
        <v>471</v>
      </c>
      <c r="BK398" t="s">
        <v>102</v>
      </c>
      <c r="BL398" t="s">
        <v>472</v>
      </c>
      <c r="BM398" t="s">
        <v>8141</v>
      </c>
      <c r="BN398" t="s">
        <v>74</v>
      </c>
      <c r="BO398" t="s">
        <v>1657</v>
      </c>
      <c r="BP398" t="s">
        <v>74</v>
      </c>
      <c r="BQ398" t="s">
        <v>74</v>
      </c>
      <c r="BR398" t="s">
        <v>106</v>
      </c>
      <c r="BS398" t="s">
        <v>8142</v>
      </c>
      <c r="BT398" t="str">
        <f>HYPERLINK("https%3A%2F%2Fwww.webofscience.com%2Fwos%2Fwoscc%2Ffull-record%2FWOS:000537302900001","View Full Record in Web of Science")</f>
        <v>View Full Record in Web of Science</v>
      </c>
    </row>
    <row r="399" spans="1:72" x14ac:dyDescent="0.15">
      <c r="A399" t="s">
        <v>72</v>
      </c>
      <c r="B399" t="s">
        <v>8143</v>
      </c>
      <c r="C399" t="s">
        <v>74</v>
      </c>
      <c r="D399" t="s">
        <v>74</v>
      </c>
      <c r="E399" t="s">
        <v>74</v>
      </c>
      <c r="F399" t="s">
        <v>8144</v>
      </c>
      <c r="G399" t="s">
        <v>74</v>
      </c>
      <c r="H399" t="s">
        <v>74</v>
      </c>
      <c r="I399" t="s">
        <v>8145</v>
      </c>
      <c r="J399" t="s">
        <v>3466</v>
      </c>
      <c r="K399" t="s">
        <v>74</v>
      </c>
      <c r="L399" t="s">
        <v>74</v>
      </c>
      <c r="M399" t="s">
        <v>78</v>
      </c>
      <c r="N399" t="s">
        <v>2846</v>
      </c>
      <c r="O399" t="s">
        <v>74</v>
      </c>
      <c r="P399" t="s">
        <v>74</v>
      </c>
      <c r="Q399" t="s">
        <v>74</v>
      </c>
      <c r="R399" t="s">
        <v>74</v>
      </c>
      <c r="S399" t="s">
        <v>74</v>
      </c>
      <c r="T399" t="s">
        <v>74</v>
      </c>
      <c r="U399" t="s">
        <v>74</v>
      </c>
      <c r="V399" t="s">
        <v>74</v>
      </c>
      <c r="W399" t="s">
        <v>74</v>
      </c>
      <c r="X399" t="s">
        <v>74</v>
      </c>
      <c r="Y399" t="s">
        <v>74</v>
      </c>
      <c r="Z399" t="s">
        <v>74</v>
      </c>
      <c r="AA399" t="s">
        <v>8146</v>
      </c>
      <c r="AB399" t="s">
        <v>8147</v>
      </c>
      <c r="AC399" t="s">
        <v>74</v>
      </c>
      <c r="AD399" t="s">
        <v>74</v>
      </c>
      <c r="AE399" t="s">
        <v>74</v>
      </c>
      <c r="AF399" t="s">
        <v>74</v>
      </c>
      <c r="AG399">
        <v>1</v>
      </c>
      <c r="AH399">
        <v>0</v>
      </c>
      <c r="AI399">
        <v>0</v>
      </c>
      <c r="AJ399">
        <v>4</v>
      </c>
      <c r="AK399">
        <v>41</v>
      </c>
      <c r="AL399" t="s">
        <v>2425</v>
      </c>
      <c r="AM399" t="s">
        <v>152</v>
      </c>
      <c r="AN399" t="s">
        <v>2426</v>
      </c>
      <c r="AO399" t="s">
        <v>3478</v>
      </c>
      <c r="AP399" t="s">
        <v>3479</v>
      </c>
      <c r="AQ399" t="s">
        <v>74</v>
      </c>
      <c r="AR399" t="s">
        <v>3480</v>
      </c>
      <c r="AS399" t="s">
        <v>3481</v>
      </c>
      <c r="AT399" t="s">
        <v>8148</v>
      </c>
      <c r="AU399">
        <v>2020</v>
      </c>
      <c r="AV399">
        <v>54</v>
      </c>
      <c r="AW399">
        <v>11</v>
      </c>
      <c r="AX399" t="s">
        <v>74</v>
      </c>
      <c r="AY399" t="s">
        <v>74</v>
      </c>
      <c r="AZ399" t="s">
        <v>74</v>
      </c>
      <c r="BA399" t="s">
        <v>74</v>
      </c>
      <c r="BB399">
        <v>7023</v>
      </c>
      <c r="BC399">
        <v>7023</v>
      </c>
      <c r="BD399" t="s">
        <v>74</v>
      </c>
      <c r="BE399" t="s">
        <v>8149</v>
      </c>
      <c r="BF399" t="str">
        <f>HYPERLINK("http://dx.doi.org/10.1021/acs.est.0c01724","http://dx.doi.org/10.1021/acs.est.0c01724")</f>
        <v>http://dx.doi.org/10.1021/acs.est.0c01724</v>
      </c>
      <c r="BG399" t="s">
        <v>74</v>
      </c>
      <c r="BH399" t="s">
        <v>74</v>
      </c>
      <c r="BI399">
        <v>1</v>
      </c>
      <c r="BJ399" t="s">
        <v>3483</v>
      </c>
      <c r="BK399" t="s">
        <v>102</v>
      </c>
      <c r="BL399" t="s">
        <v>3484</v>
      </c>
      <c r="BM399" t="s">
        <v>8150</v>
      </c>
      <c r="BN399">
        <v>32432854</v>
      </c>
      <c r="BO399" t="s">
        <v>448</v>
      </c>
      <c r="BP399" t="s">
        <v>74</v>
      </c>
      <c r="BQ399" t="s">
        <v>74</v>
      </c>
      <c r="BR399" t="s">
        <v>106</v>
      </c>
      <c r="BS399" t="s">
        <v>8151</v>
      </c>
      <c r="BT399" t="str">
        <f>HYPERLINK("https%3A%2F%2Fwww.webofscience.com%2Fwos%2Fwoscc%2Ffull-record%2FWOS:000538420500061","View Full Record in Web of Science")</f>
        <v>View Full Record in Web of Science</v>
      </c>
    </row>
    <row r="400" spans="1:72" x14ac:dyDescent="0.15">
      <c r="A400" t="s">
        <v>72</v>
      </c>
      <c r="B400" t="s">
        <v>8152</v>
      </c>
      <c r="C400" t="s">
        <v>74</v>
      </c>
      <c r="D400" t="s">
        <v>74</v>
      </c>
      <c r="E400" t="s">
        <v>74</v>
      </c>
      <c r="F400" t="s">
        <v>8153</v>
      </c>
      <c r="G400" t="s">
        <v>74</v>
      </c>
      <c r="H400" t="s">
        <v>74</v>
      </c>
      <c r="I400" t="s">
        <v>8154</v>
      </c>
      <c r="J400" t="s">
        <v>2051</v>
      </c>
      <c r="K400" t="s">
        <v>74</v>
      </c>
      <c r="L400" t="s">
        <v>74</v>
      </c>
      <c r="M400" t="s">
        <v>78</v>
      </c>
      <c r="N400" t="s">
        <v>79</v>
      </c>
      <c r="O400" t="s">
        <v>74</v>
      </c>
      <c r="P400" t="s">
        <v>74</v>
      </c>
      <c r="Q400" t="s">
        <v>74</v>
      </c>
      <c r="R400" t="s">
        <v>74</v>
      </c>
      <c r="S400" t="s">
        <v>74</v>
      </c>
      <c r="T400" t="s">
        <v>74</v>
      </c>
      <c r="U400" t="s">
        <v>8155</v>
      </c>
      <c r="V400" t="s">
        <v>8156</v>
      </c>
      <c r="W400" t="s">
        <v>8157</v>
      </c>
      <c r="X400" t="s">
        <v>8158</v>
      </c>
      <c r="Y400" t="s">
        <v>8159</v>
      </c>
      <c r="Z400" t="s">
        <v>8160</v>
      </c>
      <c r="AA400" t="s">
        <v>8161</v>
      </c>
      <c r="AB400" t="s">
        <v>8162</v>
      </c>
      <c r="AC400" t="s">
        <v>74</v>
      </c>
      <c r="AD400" t="s">
        <v>74</v>
      </c>
      <c r="AE400" t="s">
        <v>74</v>
      </c>
      <c r="AF400" t="s">
        <v>74</v>
      </c>
      <c r="AG400">
        <v>38</v>
      </c>
      <c r="AH400">
        <v>9</v>
      </c>
      <c r="AI400">
        <v>9</v>
      </c>
      <c r="AJ400">
        <v>0</v>
      </c>
      <c r="AK400">
        <v>6</v>
      </c>
      <c r="AL400" t="s">
        <v>1049</v>
      </c>
      <c r="AM400" t="s">
        <v>1050</v>
      </c>
      <c r="AN400" t="s">
        <v>1051</v>
      </c>
      <c r="AO400" t="s">
        <v>2063</v>
      </c>
      <c r="AP400" t="s">
        <v>2064</v>
      </c>
      <c r="AQ400" t="s">
        <v>74</v>
      </c>
      <c r="AR400" t="s">
        <v>2065</v>
      </c>
      <c r="AS400" t="s">
        <v>2066</v>
      </c>
      <c r="AT400" t="s">
        <v>8148</v>
      </c>
      <c r="AU400">
        <v>2020</v>
      </c>
      <c r="AV400">
        <v>20</v>
      </c>
      <c r="AW400">
        <v>11</v>
      </c>
      <c r="AX400" t="s">
        <v>74</v>
      </c>
      <c r="AY400" t="s">
        <v>74</v>
      </c>
      <c r="AZ400" t="s">
        <v>74</v>
      </c>
      <c r="BA400" t="s">
        <v>74</v>
      </c>
      <c r="BB400">
        <v>6259</v>
      </c>
      <c r="BC400">
        <v>6271</v>
      </c>
      <c r="BD400" t="s">
        <v>74</v>
      </c>
      <c r="BE400" t="s">
        <v>8163</v>
      </c>
      <c r="BF400" t="str">
        <f>HYPERLINK("http://dx.doi.org/10.5194/acp-20-6259-2020","http://dx.doi.org/10.5194/acp-20-6259-2020")</f>
        <v>http://dx.doi.org/10.5194/acp-20-6259-2020</v>
      </c>
      <c r="BG400" t="s">
        <v>74</v>
      </c>
      <c r="BH400" t="s">
        <v>74</v>
      </c>
      <c r="BI400">
        <v>13</v>
      </c>
      <c r="BJ400" t="s">
        <v>2068</v>
      </c>
      <c r="BK400" t="s">
        <v>102</v>
      </c>
      <c r="BL400" t="s">
        <v>2069</v>
      </c>
      <c r="BM400" t="s">
        <v>8164</v>
      </c>
      <c r="BN400" t="s">
        <v>74</v>
      </c>
      <c r="BO400" t="s">
        <v>1352</v>
      </c>
      <c r="BP400" t="s">
        <v>74</v>
      </c>
      <c r="BQ400" t="s">
        <v>74</v>
      </c>
      <c r="BR400" t="s">
        <v>106</v>
      </c>
      <c r="BS400" t="s">
        <v>8165</v>
      </c>
      <c r="BT400" t="str">
        <f>HYPERLINK("https%3A%2F%2Fwww.webofscience.com%2Fwos%2Fwoscc%2Ffull-record%2FWOS:000537901200001","View Full Record in Web of Science")</f>
        <v>View Full Record in Web of Science</v>
      </c>
    </row>
    <row r="401" spans="1:72" x14ac:dyDescent="0.15">
      <c r="A401" t="s">
        <v>72</v>
      </c>
      <c r="B401" t="s">
        <v>8166</v>
      </c>
      <c r="C401" t="s">
        <v>74</v>
      </c>
      <c r="D401" t="s">
        <v>74</v>
      </c>
      <c r="E401" t="s">
        <v>74</v>
      </c>
      <c r="F401" t="s">
        <v>8167</v>
      </c>
      <c r="G401" t="s">
        <v>74</v>
      </c>
      <c r="H401" t="s">
        <v>74</v>
      </c>
      <c r="I401" t="s">
        <v>8168</v>
      </c>
      <c r="J401" t="s">
        <v>8169</v>
      </c>
      <c r="K401" t="s">
        <v>74</v>
      </c>
      <c r="L401" t="s">
        <v>74</v>
      </c>
      <c r="M401" t="s">
        <v>78</v>
      </c>
      <c r="N401" t="s">
        <v>1850</v>
      </c>
      <c r="O401" t="s">
        <v>74</v>
      </c>
      <c r="P401" t="s">
        <v>74</v>
      </c>
      <c r="Q401" t="s">
        <v>74</v>
      </c>
      <c r="R401" t="s">
        <v>74</v>
      </c>
      <c r="S401" t="s">
        <v>74</v>
      </c>
      <c r="T401" t="s">
        <v>74</v>
      </c>
      <c r="U401" t="s">
        <v>74</v>
      </c>
      <c r="V401" t="s">
        <v>74</v>
      </c>
      <c r="W401" t="s">
        <v>8170</v>
      </c>
      <c r="X401" t="s">
        <v>390</v>
      </c>
      <c r="Y401" t="s">
        <v>8171</v>
      </c>
      <c r="Z401" t="s">
        <v>8172</v>
      </c>
      <c r="AA401" t="s">
        <v>8173</v>
      </c>
      <c r="AB401" t="s">
        <v>8174</v>
      </c>
      <c r="AC401" t="s">
        <v>74</v>
      </c>
      <c r="AD401" t="s">
        <v>74</v>
      </c>
      <c r="AE401" t="s">
        <v>74</v>
      </c>
      <c r="AF401" t="s">
        <v>74</v>
      </c>
      <c r="AG401">
        <v>0</v>
      </c>
      <c r="AH401">
        <v>1</v>
      </c>
      <c r="AI401">
        <v>1</v>
      </c>
      <c r="AJ401">
        <v>0</v>
      </c>
      <c r="AK401">
        <v>0</v>
      </c>
      <c r="AL401" t="s">
        <v>7699</v>
      </c>
      <c r="AM401" t="s">
        <v>945</v>
      </c>
      <c r="AN401" t="s">
        <v>7700</v>
      </c>
      <c r="AO401" t="s">
        <v>74</v>
      </c>
      <c r="AP401" t="s">
        <v>8175</v>
      </c>
      <c r="AQ401" t="s">
        <v>74</v>
      </c>
      <c r="AR401" t="s">
        <v>8176</v>
      </c>
      <c r="AS401" t="s">
        <v>8177</v>
      </c>
      <c r="AT401" t="s">
        <v>7663</v>
      </c>
      <c r="AU401">
        <v>2020</v>
      </c>
      <c r="AV401">
        <v>1</v>
      </c>
      <c r="AW401">
        <v>6</v>
      </c>
      <c r="AX401" t="s">
        <v>74</v>
      </c>
      <c r="AY401" t="s">
        <v>74</v>
      </c>
      <c r="AZ401" t="s">
        <v>74</v>
      </c>
      <c r="BA401" t="s">
        <v>74</v>
      </c>
      <c r="BB401">
        <v>282</v>
      </c>
      <c r="BC401">
        <v>282</v>
      </c>
      <c r="BD401" t="s">
        <v>74</v>
      </c>
      <c r="BE401" t="s">
        <v>8178</v>
      </c>
      <c r="BF401" t="str">
        <f>HYPERLINK("http://dx.doi.org/10.1038/s43017-020-0056-8","http://dx.doi.org/10.1038/s43017-020-0056-8")</f>
        <v>http://dx.doi.org/10.1038/s43017-020-0056-8</v>
      </c>
      <c r="BG401" t="s">
        <v>74</v>
      </c>
      <c r="BH401" t="s">
        <v>74</v>
      </c>
      <c r="BI401">
        <v>1</v>
      </c>
      <c r="BJ401" t="s">
        <v>8179</v>
      </c>
      <c r="BK401" t="s">
        <v>102</v>
      </c>
      <c r="BL401" t="s">
        <v>1904</v>
      </c>
      <c r="BM401" t="s">
        <v>8180</v>
      </c>
      <c r="BN401" t="s">
        <v>74</v>
      </c>
      <c r="BO401" t="s">
        <v>1657</v>
      </c>
      <c r="BP401" t="s">
        <v>74</v>
      </c>
      <c r="BQ401" t="s">
        <v>74</v>
      </c>
      <c r="BR401" t="s">
        <v>106</v>
      </c>
      <c r="BS401" t="s">
        <v>8181</v>
      </c>
      <c r="BT401" t="str">
        <f>HYPERLINK("https%3A%2F%2Fwww.webofscience.com%2Fwos%2Fwoscc%2Ffull-record%2FWOS:000649447700004","View Full Record in Web of Science")</f>
        <v>View Full Record in Web of Science</v>
      </c>
    </row>
    <row r="402" spans="1:72" x14ac:dyDescent="0.15">
      <c r="A402" t="s">
        <v>72</v>
      </c>
      <c r="B402" t="s">
        <v>8182</v>
      </c>
      <c r="C402" t="s">
        <v>74</v>
      </c>
      <c r="D402" t="s">
        <v>74</v>
      </c>
      <c r="E402" t="s">
        <v>74</v>
      </c>
      <c r="F402" t="s">
        <v>8183</v>
      </c>
      <c r="G402" t="s">
        <v>74</v>
      </c>
      <c r="H402" t="s">
        <v>74</v>
      </c>
      <c r="I402" t="s">
        <v>8184</v>
      </c>
      <c r="J402" t="s">
        <v>8185</v>
      </c>
      <c r="K402" t="s">
        <v>74</v>
      </c>
      <c r="L402" t="s">
        <v>74</v>
      </c>
      <c r="M402" t="s">
        <v>78</v>
      </c>
      <c r="N402" t="s">
        <v>1850</v>
      </c>
      <c r="O402" t="s">
        <v>74</v>
      </c>
      <c r="P402" t="s">
        <v>74</v>
      </c>
      <c r="Q402" t="s">
        <v>74</v>
      </c>
      <c r="R402" t="s">
        <v>74</v>
      </c>
      <c r="S402" t="s">
        <v>74</v>
      </c>
      <c r="T402" t="s">
        <v>74</v>
      </c>
      <c r="U402" t="s">
        <v>74</v>
      </c>
      <c r="V402" t="s">
        <v>8186</v>
      </c>
      <c r="W402" t="s">
        <v>74</v>
      </c>
      <c r="X402" t="s">
        <v>74</v>
      </c>
      <c r="Y402" t="s">
        <v>74</v>
      </c>
      <c r="Z402" t="s">
        <v>74</v>
      </c>
      <c r="AA402" t="s">
        <v>74</v>
      </c>
      <c r="AB402" t="s">
        <v>74</v>
      </c>
      <c r="AC402" t="s">
        <v>74</v>
      </c>
      <c r="AD402" t="s">
        <v>74</v>
      </c>
      <c r="AE402" t="s">
        <v>74</v>
      </c>
      <c r="AF402" t="s">
        <v>74</v>
      </c>
      <c r="AG402">
        <v>0</v>
      </c>
      <c r="AH402">
        <v>0</v>
      </c>
      <c r="AI402">
        <v>0</v>
      </c>
      <c r="AJ402">
        <v>1</v>
      </c>
      <c r="AK402">
        <v>3</v>
      </c>
      <c r="AL402" t="s">
        <v>1440</v>
      </c>
      <c r="AM402" t="s">
        <v>399</v>
      </c>
      <c r="AN402" t="s">
        <v>1441</v>
      </c>
      <c r="AO402" t="s">
        <v>8187</v>
      </c>
      <c r="AP402" t="s">
        <v>8188</v>
      </c>
      <c r="AQ402" t="s">
        <v>74</v>
      </c>
      <c r="AR402" t="s">
        <v>8189</v>
      </c>
      <c r="AS402" t="s">
        <v>8190</v>
      </c>
      <c r="AT402" t="s">
        <v>7663</v>
      </c>
      <c r="AU402">
        <v>2020</v>
      </c>
      <c r="AV402">
        <v>322</v>
      </c>
      <c r="AW402">
        <v>6</v>
      </c>
      <c r="AX402" t="s">
        <v>74</v>
      </c>
      <c r="AY402" t="s">
        <v>74</v>
      </c>
      <c r="AZ402" t="s">
        <v>74</v>
      </c>
      <c r="BA402" t="s">
        <v>74</v>
      </c>
      <c r="BB402">
        <v>15</v>
      </c>
      <c r="BC402">
        <v>15</v>
      </c>
      <c r="BD402" t="s">
        <v>74</v>
      </c>
      <c r="BE402" t="s">
        <v>74</v>
      </c>
      <c r="BF402" t="s">
        <v>74</v>
      </c>
      <c r="BG402" t="s">
        <v>74</v>
      </c>
      <c r="BH402" t="s">
        <v>74</v>
      </c>
      <c r="BI402">
        <v>1</v>
      </c>
      <c r="BJ402" t="s">
        <v>1125</v>
      </c>
      <c r="BK402" t="s">
        <v>102</v>
      </c>
      <c r="BL402" t="s">
        <v>1126</v>
      </c>
      <c r="BM402" t="s">
        <v>8191</v>
      </c>
      <c r="BN402" t="s">
        <v>74</v>
      </c>
      <c r="BO402" t="s">
        <v>74</v>
      </c>
      <c r="BP402" t="s">
        <v>74</v>
      </c>
      <c r="BQ402" t="s">
        <v>74</v>
      </c>
      <c r="BR402" t="s">
        <v>106</v>
      </c>
      <c r="BS402" t="s">
        <v>8192</v>
      </c>
      <c r="BT402" t="str">
        <f>HYPERLINK("https%3A%2F%2Fwww.webofscience.com%2Fwos%2Fwoscc%2Ffull-record%2FWOS:000629027900016","View Full Record in Web of Science")</f>
        <v>View Full Record in Web of Science</v>
      </c>
    </row>
    <row r="403" spans="1:72" x14ac:dyDescent="0.15">
      <c r="A403" t="s">
        <v>72</v>
      </c>
      <c r="B403" t="s">
        <v>8193</v>
      </c>
      <c r="C403" t="s">
        <v>74</v>
      </c>
      <c r="D403" t="s">
        <v>74</v>
      </c>
      <c r="E403" t="s">
        <v>74</v>
      </c>
      <c r="F403" t="s">
        <v>8194</v>
      </c>
      <c r="G403" t="s">
        <v>74</v>
      </c>
      <c r="H403" t="s">
        <v>74</v>
      </c>
      <c r="I403" t="s">
        <v>8195</v>
      </c>
      <c r="J403" t="s">
        <v>8196</v>
      </c>
      <c r="K403" t="s">
        <v>74</v>
      </c>
      <c r="L403" t="s">
        <v>74</v>
      </c>
      <c r="M403" t="s">
        <v>78</v>
      </c>
      <c r="N403" t="s">
        <v>79</v>
      </c>
      <c r="O403" t="s">
        <v>74</v>
      </c>
      <c r="P403" t="s">
        <v>74</v>
      </c>
      <c r="Q403" t="s">
        <v>74</v>
      </c>
      <c r="R403" t="s">
        <v>74</v>
      </c>
      <c r="S403" t="s">
        <v>74</v>
      </c>
      <c r="T403" t="s">
        <v>74</v>
      </c>
      <c r="U403" t="s">
        <v>8197</v>
      </c>
      <c r="V403" t="s">
        <v>8198</v>
      </c>
      <c r="W403" t="s">
        <v>8199</v>
      </c>
      <c r="X403" t="s">
        <v>8200</v>
      </c>
      <c r="Y403" t="s">
        <v>8201</v>
      </c>
      <c r="Z403" t="s">
        <v>8202</v>
      </c>
      <c r="AA403" t="s">
        <v>74</v>
      </c>
      <c r="AB403" t="s">
        <v>8203</v>
      </c>
      <c r="AC403" t="s">
        <v>8204</v>
      </c>
      <c r="AD403" t="s">
        <v>8204</v>
      </c>
      <c r="AE403" t="s">
        <v>8205</v>
      </c>
      <c r="AF403" t="s">
        <v>74</v>
      </c>
      <c r="AG403">
        <v>101</v>
      </c>
      <c r="AH403">
        <v>6</v>
      </c>
      <c r="AI403">
        <v>6</v>
      </c>
      <c r="AJ403">
        <v>2</v>
      </c>
      <c r="AK403">
        <v>7</v>
      </c>
      <c r="AL403" t="s">
        <v>8206</v>
      </c>
      <c r="AM403" t="s">
        <v>8207</v>
      </c>
      <c r="AN403" t="s">
        <v>8208</v>
      </c>
      <c r="AO403" t="s">
        <v>8209</v>
      </c>
      <c r="AP403" t="s">
        <v>8210</v>
      </c>
      <c r="AQ403" t="s">
        <v>74</v>
      </c>
      <c r="AR403" t="s">
        <v>8211</v>
      </c>
      <c r="AS403" t="s">
        <v>8212</v>
      </c>
      <c r="AT403" t="s">
        <v>7663</v>
      </c>
      <c r="AU403">
        <v>2020</v>
      </c>
      <c r="AV403">
        <v>2020</v>
      </c>
      <c r="AW403">
        <v>1</v>
      </c>
      <c r="AX403" t="s">
        <v>74</v>
      </c>
      <c r="AY403" t="s">
        <v>74</v>
      </c>
      <c r="AZ403" t="s">
        <v>74</v>
      </c>
      <c r="BA403" t="s">
        <v>74</v>
      </c>
      <c r="BB403" t="s">
        <v>74</v>
      </c>
      <c r="BC403" t="s">
        <v>74</v>
      </c>
      <c r="BD403">
        <v>8844754</v>
      </c>
      <c r="BE403" t="s">
        <v>8213</v>
      </c>
      <c r="BF403" t="str">
        <f>HYPERLINK("http://dx.doi.org/10.2113/2020/8844754","http://dx.doi.org/10.2113/2020/8844754")</f>
        <v>http://dx.doi.org/10.2113/2020/8844754</v>
      </c>
      <c r="BG403" t="s">
        <v>74</v>
      </c>
      <c r="BH403" t="s">
        <v>74</v>
      </c>
      <c r="BI403">
        <v>33</v>
      </c>
      <c r="BJ403" t="s">
        <v>8214</v>
      </c>
      <c r="BK403" t="s">
        <v>102</v>
      </c>
      <c r="BL403" t="s">
        <v>8214</v>
      </c>
      <c r="BM403" t="s">
        <v>8215</v>
      </c>
      <c r="BN403" t="s">
        <v>74</v>
      </c>
      <c r="BO403" t="s">
        <v>1778</v>
      </c>
      <c r="BP403" t="s">
        <v>74</v>
      </c>
      <c r="BQ403" t="s">
        <v>74</v>
      </c>
      <c r="BR403" t="s">
        <v>106</v>
      </c>
      <c r="BS403" t="s">
        <v>8216</v>
      </c>
      <c r="BT403" t="str">
        <f>HYPERLINK("https%3A%2F%2Fwww.webofscience.com%2Fwos%2Fwoscc%2Ffull-record%2FWOS:000617908500022","View Full Record in Web of Science")</f>
        <v>View Full Record in Web of Science</v>
      </c>
    </row>
    <row r="404" spans="1:72" x14ac:dyDescent="0.15">
      <c r="A404" t="s">
        <v>72</v>
      </c>
      <c r="B404" t="s">
        <v>8217</v>
      </c>
      <c r="C404" t="s">
        <v>74</v>
      </c>
      <c r="D404" t="s">
        <v>74</v>
      </c>
      <c r="E404" t="s">
        <v>74</v>
      </c>
      <c r="F404" t="s">
        <v>8218</v>
      </c>
      <c r="G404" t="s">
        <v>74</v>
      </c>
      <c r="H404" t="s">
        <v>74</v>
      </c>
      <c r="I404" t="s">
        <v>8219</v>
      </c>
      <c r="J404" t="s">
        <v>8220</v>
      </c>
      <c r="K404" t="s">
        <v>74</v>
      </c>
      <c r="L404" t="s">
        <v>74</v>
      </c>
      <c r="M404" t="s">
        <v>78</v>
      </c>
      <c r="N404" t="s">
        <v>79</v>
      </c>
      <c r="O404" t="s">
        <v>74</v>
      </c>
      <c r="P404" t="s">
        <v>74</v>
      </c>
      <c r="Q404" t="s">
        <v>74</v>
      </c>
      <c r="R404" t="s">
        <v>74</v>
      </c>
      <c r="S404" t="s">
        <v>74</v>
      </c>
      <c r="T404" t="s">
        <v>74</v>
      </c>
      <c r="U404" t="s">
        <v>8221</v>
      </c>
      <c r="V404" t="s">
        <v>8222</v>
      </c>
      <c r="W404" t="s">
        <v>8223</v>
      </c>
      <c r="X404" t="s">
        <v>8224</v>
      </c>
      <c r="Y404" t="s">
        <v>8225</v>
      </c>
      <c r="Z404" t="s">
        <v>8226</v>
      </c>
      <c r="AA404" t="s">
        <v>8227</v>
      </c>
      <c r="AB404" t="s">
        <v>8228</v>
      </c>
      <c r="AC404" t="s">
        <v>8229</v>
      </c>
      <c r="AD404" t="s">
        <v>8230</v>
      </c>
      <c r="AE404" t="s">
        <v>8231</v>
      </c>
      <c r="AF404" t="s">
        <v>74</v>
      </c>
      <c r="AG404">
        <v>44</v>
      </c>
      <c r="AH404">
        <v>9</v>
      </c>
      <c r="AI404">
        <v>10</v>
      </c>
      <c r="AJ404">
        <v>1</v>
      </c>
      <c r="AK404">
        <v>7</v>
      </c>
      <c r="AL404" t="s">
        <v>178</v>
      </c>
      <c r="AM404" t="s">
        <v>179</v>
      </c>
      <c r="AN404" t="s">
        <v>180</v>
      </c>
      <c r="AO404" t="s">
        <v>8232</v>
      </c>
      <c r="AP404" t="s">
        <v>8233</v>
      </c>
      <c r="AQ404" t="s">
        <v>74</v>
      </c>
      <c r="AR404" t="s">
        <v>8234</v>
      </c>
      <c r="AS404" t="s">
        <v>8235</v>
      </c>
      <c r="AT404" t="s">
        <v>7663</v>
      </c>
      <c r="AU404">
        <v>2020</v>
      </c>
      <c r="AV404">
        <v>59</v>
      </c>
      <c r="AW404">
        <v>6</v>
      </c>
      <c r="AX404" t="s">
        <v>74</v>
      </c>
      <c r="AY404" t="s">
        <v>74</v>
      </c>
      <c r="AZ404" t="s">
        <v>74</v>
      </c>
      <c r="BA404" t="s">
        <v>74</v>
      </c>
      <c r="BB404">
        <v>1069</v>
      </c>
      <c r="BC404">
        <v>1076</v>
      </c>
      <c r="BD404" t="s">
        <v>74</v>
      </c>
      <c r="BE404" t="s">
        <v>8236</v>
      </c>
      <c r="BF404" t="str">
        <f>HYPERLINK("http://dx.doi.org/10.1175/JAMC-D-19-0267.1","http://dx.doi.org/10.1175/JAMC-D-19-0267.1")</f>
        <v>http://dx.doi.org/10.1175/JAMC-D-19-0267.1</v>
      </c>
      <c r="BG404" t="s">
        <v>74</v>
      </c>
      <c r="BH404" t="s">
        <v>74</v>
      </c>
      <c r="BI404">
        <v>8</v>
      </c>
      <c r="BJ404" t="s">
        <v>159</v>
      </c>
      <c r="BK404" t="s">
        <v>102</v>
      </c>
      <c r="BL404" t="s">
        <v>159</v>
      </c>
      <c r="BM404" t="s">
        <v>8237</v>
      </c>
      <c r="BN404" t="s">
        <v>74</v>
      </c>
      <c r="BO404" t="s">
        <v>560</v>
      </c>
      <c r="BP404" t="s">
        <v>74</v>
      </c>
      <c r="BQ404" t="s">
        <v>74</v>
      </c>
      <c r="BR404" t="s">
        <v>106</v>
      </c>
      <c r="BS404" t="s">
        <v>8238</v>
      </c>
      <c r="BT404" t="str">
        <f>HYPERLINK("https%3A%2F%2Fwww.webofscience.com%2Fwos%2Fwoscc%2Ffull-record%2FWOS:000606832700003","View Full Record in Web of Science")</f>
        <v>View Full Record in Web of Science</v>
      </c>
    </row>
    <row r="405" spans="1:72" x14ac:dyDescent="0.15">
      <c r="A405" t="s">
        <v>72</v>
      </c>
      <c r="B405" t="s">
        <v>8239</v>
      </c>
      <c r="C405" t="s">
        <v>74</v>
      </c>
      <c r="D405" t="s">
        <v>74</v>
      </c>
      <c r="E405" t="s">
        <v>74</v>
      </c>
      <c r="F405" t="s">
        <v>8240</v>
      </c>
      <c r="G405" t="s">
        <v>74</v>
      </c>
      <c r="H405" t="s">
        <v>74</v>
      </c>
      <c r="I405" t="s">
        <v>8241</v>
      </c>
      <c r="J405" t="s">
        <v>8242</v>
      </c>
      <c r="K405" t="s">
        <v>74</v>
      </c>
      <c r="L405" t="s">
        <v>74</v>
      </c>
      <c r="M405" t="s">
        <v>78</v>
      </c>
      <c r="N405" t="s">
        <v>1850</v>
      </c>
      <c r="O405" t="s">
        <v>74</v>
      </c>
      <c r="P405" t="s">
        <v>74</v>
      </c>
      <c r="Q405" t="s">
        <v>74</v>
      </c>
      <c r="R405" t="s">
        <v>74</v>
      </c>
      <c r="S405" t="s">
        <v>74</v>
      </c>
      <c r="T405" t="s">
        <v>74</v>
      </c>
      <c r="U405" t="s">
        <v>74</v>
      </c>
      <c r="V405" t="s">
        <v>74</v>
      </c>
      <c r="W405" t="s">
        <v>74</v>
      </c>
      <c r="X405" t="s">
        <v>74</v>
      </c>
      <c r="Y405" t="s">
        <v>74</v>
      </c>
      <c r="Z405" t="s">
        <v>74</v>
      </c>
      <c r="AA405" t="s">
        <v>74</v>
      </c>
      <c r="AB405" t="s">
        <v>74</v>
      </c>
      <c r="AC405" t="s">
        <v>74</v>
      </c>
      <c r="AD405" t="s">
        <v>74</v>
      </c>
      <c r="AE405" t="s">
        <v>74</v>
      </c>
      <c r="AF405" t="s">
        <v>74</v>
      </c>
      <c r="AG405">
        <v>0</v>
      </c>
      <c r="AH405">
        <v>0</v>
      </c>
      <c r="AI405">
        <v>0</v>
      </c>
      <c r="AJ405">
        <v>0</v>
      </c>
      <c r="AK405">
        <v>0</v>
      </c>
      <c r="AL405" t="s">
        <v>4718</v>
      </c>
      <c r="AM405" t="s">
        <v>4719</v>
      </c>
      <c r="AN405" t="s">
        <v>4720</v>
      </c>
      <c r="AO405" t="s">
        <v>8243</v>
      </c>
      <c r="AP405" t="s">
        <v>74</v>
      </c>
      <c r="AQ405" t="s">
        <v>74</v>
      </c>
      <c r="AR405" t="s">
        <v>8244</v>
      </c>
      <c r="AS405" t="s">
        <v>8245</v>
      </c>
      <c r="AT405" t="s">
        <v>7663</v>
      </c>
      <c r="AU405">
        <v>2020</v>
      </c>
      <c r="AV405">
        <v>33</v>
      </c>
      <c r="AW405">
        <v>6</v>
      </c>
      <c r="AX405" t="s">
        <v>74</v>
      </c>
      <c r="AY405" t="s">
        <v>74</v>
      </c>
      <c r="AZ405" t="s">
        <v>74</v>
      </c>
      <c r="BA405" t="s">
        <v>74</v>
      </c>
      <c r="BB405">
        <v>6</v>
      </c>
      <c r="BC405">
        <v>6</v>
      </c>
      <c r="BD405" t="s">
        <v>74</v>
      </c>
      <c r="BE405" t="s">
        <v>74</v>
      </c>
      <c r="BF405" t="s">
        <v>74</v>
      </c>
      <c r="BG405" t="s">
        <v>74</v>
      </c>
      <c r="BH405" t="s">
        <v>74</v>
      </c>
      <c r="BI405">
        <v>1</v>
      </c>
      <c r="BJ405" t="s">
        <v>8246</v>
      </c>
      <c r="BK405" t="s">
        <v>102</v>
      </c>
      <c r="BL405" t="s">
        <v>8247</v>
      </c>
      <c r="BM405" t="s">
        <v>8248</v>
      </c>
      <c r="BN405" t="s">
        <v>74</v>
      </c>
      <c r="BO405" t="s">
        <v>74</v>
      </c>
      <c r="BP405" t="s">
        <v>74</v>
      </c>
      <c r="BQ405" t="s">
        <v>74</v>
      </c>
      <c r="BR405" t="s">
        <v>106</v>
      </c>
      <c r="BS405" t="s">
        <v>8249</v>
      </c>
      <c r="BT405" t="str">
        <f>HYPERLINK("https%3A%2F%2Fwww.webofscience.com%2Fwos%2Fwoscc%2Ffull-record%2FWOS:000604263900003","View Full Record in Web of Science")</f>
        <v>View Full Record in Web of Science</v>
      </c>
    </row>
    <row r="406" spans="1:72" x14ac:dyDescent="0.15">
      <c r="A406" t="s">
        <v>72</v>
      </c>
      <c r="B406" t="s">
        <v>8250</v>
      </c>
      <c r="C406" t="s">
        <v>74</v>
      </c>
      <c r="D406" t="s">
        <v>74</v>
      </c>
      <c r="E406" t="s">
        <v>74</v>
      </c>
      <c r="F406" t="s">
        <v>8251</v>
      </c>
      <c r="G406" t="s">
        <v>74</v>
      </c>
      <c r="H406" t="s">
        <v>74</v>
      </c>
      <c r="I406" t="s">
        <v>8252</v>
      </c>
      <c r="J406" t="s">
        <v>3961</v>
      </c>
      <c r="K406" t="s">
        <v>74</v>
      </c>
      <c r="L406" t="s">
        <v>74</v>
      </c>
      <c r="M406" t="s">
        <v>78</v>
      </c>
      <c r="N406" t="s">
        <v>79</v>
      </c>
      <c r="O406" t="s">
        <v>74</v>
      </c>
      <c r="P406" t="s">
        <v>74</v>
      </c>
      <c r="Q406" t="s">
        <v>74</v>
      </c>
      <c r="R406" t="s">
        <v>74</v>
      </c>
      <c r="S406" t="s">
        <v>74</v>
      </c>
      <c r="T406" t="s">
        <v>74</v>
      </c>
      <c r="U406" t="s">
        <v>8253</v>
      </c>
      <c r="V406" t="s">
        <v>8254</v>
      </c>
      <c r="W406" t="s">
        <v>8255</v>
      </c>
      <c r="X406" t="s">
        <v>8256</v>
      </c>
      <c r="Y406" t="s">
        <v>8257</v>
      </c>
      <c r="Z406" t="s">
        <v>8258</v>
      </c>
      <c r="AA406" t="s">
        <v>8259</v>
      </c>
      <c r="AB406" t="s">
        <v>8260</v>
      </c>
      <c r="AC406" t="s">
        <v>8261</v>
      </c>
      <c r="AD406" t="s">
        <v>8262</v>
      </c>
      <c r="AE406" t="s">
        <v>8263</v>
      </c>
      <c r="AF406" t="s">
        <v>74</v>
      </c>
      <c r="AG406">
        <v>102</v>
      </c>
      <c r="AH406">
        <v>24</v>
      </c>
      <c r="AI406">
        <v>26</v>
      </c>
      <c r="AJ406">
        <v>4</v>
      </c>
      <c r="AK406">
        <v>12</v>
      </c>
      <c r="AL406" t="s">
        <v>178</v>
      </c>
      <c r="AM406" t="s">
        <v>179</v>
      </c>
      <c r="AN406" t="s">
        <v>180</v>
      </c>
      <c r="AO406" t="s">
        <v>3969</v>
      </c>
      <c r="AP406" t="s">
        <v>3970</v>
      </c>
      <c r="AQ406" t="s">
        <v>74</v>
      </c>
      <c r="AR406" t="s">
        <v>3971</v>
      </c>
      <c r="AS406" t="s">
        <v>3972</v>
      </c>
      <c r="AT406" t="s">
        <v>7663</v>
      </c>
      <c r="AU406">
        <v>2020</v>
      </c>
      <c r="AV406">
        <v>50</v>
      </c>
      <c r="AW406">
        <v>6</v>
      </c>
      <c r="AX406" t="s">
        <v>74</v>
      </c>
      <c r="AY406" t="s">
        <v>74</v>
      </c>
      <c r="AZ406" t="s">
        <v>74</v>
      </c>
      <c r="BA406" t="s">
        <v>74</v>
      </c>
      <c r="BB406">
        <v>1583</v>
      </c>
      <c r="BC406">
        <v>1604</v>
      </c>
      <c r="BD406" t="s">
        <v>74</v>
      </c>
      <c r="BE406" t="s">
        <v>8264</v>
      </c>
      <c r="BF406" t="str">
        <f>HYPERLINK("http://dx.doi.org/10.1175/JPO-D-19-0187.1","http://dx.doi.org/10.1175/JPO-D-19-0187.1")</f>
        <v>http://dx.doi.org/10.1175/JPO-D-19-0187.1</v>
      </c>
      <c r="BG406" t="s">
        <v>74</v>
      </c>
      <c r="BH406" t="s">
        <v>74</v>
      </c>
      <c r="BI406">
        <v>22</v>
      </c>
      <c r="BJ406" t="s">
        <v>213</v>
      </c>
      <c r="BK406" t="s">
        <v>102</v>
      </c>
      <c r="BL406" t="s">
        <v>213</v>
      </c>
      <c r="BM406" t="s">
        <v>8265</v>
      </c>
      <c r="BN406" t="s">
        <v>74</v>
      </c>
      <c r="BO406" t="s">
        <v>74</v>
      </c>
      <c r="BP406" t="s">
        <v>74</v>
      </c>
      <c r="BQ406" t="s">
        <v>74</v>
      </c>
      <c r="BR406" t="s">
        <v>106</v>
      </c>
      <c r="BS406" t="s">
        <v>8266</v>
      </c>
      <c r="BT406" t="str">
        <f>HYPERLINK("https%3A%2F%2Fwww.webofscience.com%2Fwos%2Fwoscc%2Ffull-record%2FWOS:000589823100003","View Full Record in Web of Science")</f>
        <v>View Full Record in Web of Science</v>
      </c>
    </row>
    <row r="407" spans="1:72" x14ac:dyDescent="0.15">
      <c r="A407" t="s">
        <v>72</v>
      </c>
      <c r="B407" t="s">
        <v>8267</v>
      </c>
      <c r="C407" t="s">
        <v>74</v>
      </c>
      <c r="D407" t="s">
        <v>74</v>
      </c>
      <c r="E407" t="s">
        <v>74</v>
      </c>
      <c r="F407" t="s">
        <v>8268</v>
      </c>
      <c r="G407" t="s">
        <v>74</v>
      </c>
      <c r="H407" t="s">
        <v>74</v>
      </c>
      <c r="I407" t="s">
        <v>8269</v>
      </c>
      <c r="J407" t="s">
        <v>8270</v>
      </c>
      <c r="K407" t="s">
        <v>74</v>
      </c>
      <c r="L407" t="s">
        <v>74</v>
      </c>
      <c r="M407" t="s">
        <v>78</v>
      </c>
      <c r="N407" t="s">
        <v>1850</v>
      </c>
      <c r="O407" t="s">
        <v>74</v>
      </c>
      <c r="P407" t="s">
        <v>74</v>
      </c>
      <c r="Q407" t="s">
        <v>74</v>
      </c>
      <c r="R407" t="s">
        <v>74</v>
      </c>
      <c r="S407" t="s">
        <v>74</v>
      </c>
      <c r="T407" t="s">
        <v>74</v>
      </c>
      <c r="U407" t="s">
        <v>74</v>
      </c>
      <c r="V407" t="s">
        <v>74</v>
      </c>
      <c r="W407" t="s">
        <v>74</v>
      </c>
      <c r="X407" t="s">
        <v>74</v>
      </c>
      <c r="Y407" t="s">
        <v>74</v>
      </c>
      <c r="Z407" t="s">
        <v>74</v>
      </c>
      <c r="AA407" t="s">
        <v>8271</v>
      </c>
      <c r="AB407" t="s">
        <v>8272</v>
      </c>
      <c r="AC407" t="s">
        <v>8273</v>
      </c>
      <c r="AD407" t="s">
        <v>688</v>
      </c>
      <c r="AE407" t="s">
        <v>74</v>
      </c>
      <c r="AF407" t="s">
        <v>74</v>
      </c>
      <c r="AG407">
        <v>0</v>
      </c>
      <c r="AH407">
        <v>0</v>
      </c>
      <c r="AI407">
        <v>0</v>
      </c>
      <c r="AJ407">
        <v>0</v>
      </c>
      <c r="AK407">
        <v>4</v>
      </c>
      <c r="AL407" t="s">
        <v>4638</v>
      </c>
      <c r="AM407" t="s">
        <v>399</v>
      </c>
      <c r="AN407" t="s">
        <v>4867</v>
      </c>
      <c r="AO407" t="s">
        <v>8274</v>
      </c>
      <c r="AP407" t="s">
        <v>8275</v>
      </c>
      <c r="AQ407" t="s">
        <v>74</v>
      </c>
      <c r="AR407" t="s">
        <v>8276</v>
      </c>
      <c r="AS407" t="s">
        <v>8277</v>
      </c>
      <c r="AT407" t="s">
        <v>7663</v>
      </c>
      <c r="AU407">
        <v>2020</v>
      </c>
      <c r="AV407">
        <v>32</v>
      </c>
      <c r="AW407">
        <v>3</v>
      </c>
      <c r="AX407" t="s">
        <v>74</v>
      </c>
      <c r="AY407" t="s">
        <v>74</v>
      </c>
      <c r="AZ407" t="s">
        <v>74</v>
      </c>
      <c r="BA407" t="s">
        <v>74</v>
      </c>
      <c r="BB407">
        <v>167</v>
      </c>
      <c r="BC407">
        <v>167</v>
      </c>
      <c r="BD407" t="s">
        <v>74</v>
      </c>
      <c r="BE407" t="s">
        <v>8278</v>
      </c>
      <c r="BF407" t="str">
        <f>HYPERLINK("http://dx.doi.org/10.1017/S0954102020000267","http://dx.doi.org/10.1017/S0954102020000267")</f>
        <v>http://dx.doi.org/10.1017/S0954102020000267</v>
      </c>
      <c r="BG407" t="s">
        <v>74</v>
      </c>
      <c r="BH407" t="s">
        <v>74</v>
      </c>
      <c r="BI407">
        <v>1</v>
      </c>
      <c r="BJ407" t="s">
        <v>8279</v>
      </c>
      <c r="BK407" t="s">
        <v>102</v>
      </c>
      <c r="BL407" t="s">
        <v>8280</v>
      </c>
      <c r="BM407" t="s">
        <v>8281</v>
      </c>
      <c r="BN407" t="s">
        <v>74</v>
      </c>
      <c r="BO407" t="s">
        <v>1657</v>
      </c>
      <c r="BP407" t="s">
        <v>74</v>
      </c>
      <c r="BQ407" t="s">
        <v>74</v>
      </c>
      <c r="BR407" t="s">
        <v>106</v>
      </c>
      <c r="BS407" t="s">
        <v>8282</v>
      </c>
      <c r="BT407" t="str">
        <f>HYPERLINK("https%3A%2F%2Fwww.webofscience.com%2Fwos%2Fwoscc%2Ffull-record%2FWOS:000532284500001","View Full Record in Web of Science")</f>
        <v>View Full Record in Web of Science</v>
      </c>
    </row>
    <row r="408" spans="1:72" x14ac:dyDescent="0.15">
      <c r="A408" t="s">
        <v>72</v>
      </c>
      <c r="B408" t="s">
        <v>8283</v>
      </c>
      <c r="C408" t="s">
        <v>74</v>
      </c>
      <c r="D408" t="s">
        <v>74</v>
      </c>
      <c r="E408" t="s">
        <v>74</v>
      </c>
      <c r="F408" t="s">
        <v>8284</v>
      </c>
      <c r="G408" t="s">
        <v>74</v>
      </c>
      <c r="H408" t="s">
        <v>74</v>
      </c>
      <c r="I408" t="s">
        <v>8285</v>
      </c>
      <c r="J408" t="s">
        <v>4855</v>
      </c>
      <c r="K408" t="s">
        <v>74</v>
      </c>
      <c r="L408" t="s">
        <v>74</v>
      </c>
      <c r="M408" t="s">
        <v>78</v>
      </c>
      <c r="N408" t="s">
        <v>1850</v>
      </c>
      <c r="O408" t="s">
        <v>74</v>
      </c>
      <c r="P408" t="s">
        <v>74</v>
      </c>
      <c r="Q408" t="s">
        <v>74</v>
      </c>
      <c r="R408" t="s">
        <v>74</v>
      </c>
      <c r="S408" t="s">
        <v>74</v>
      </c>
      <c r="T408" t="s">
        <v>8286</v>
      </c>
      <c r="U408" t="s">
        <v>8287</v>
      </c>
      <c r="V408" t="s">
        <v>8288</v>
      </c>
      <c r="W408" t="s">
        <v>8289</v>
      </c>
      <c r="X408" t="s">
        <v>8290</v>
      </c>
      <c r="Y408" t="s">
        <v>8291</v>
      </c>
      <c r="Z408" t="s">
        <v>8292</v>
      </c>
      <c r="AA408" t="s">
        <v>8293</v>
      </c>
      <c r="AB408" t="s">
        <v>8294</v>
      </c>
      <c r="AC408" t="s">
        <v>8295</v>
      </c>
      <c r="AD408" t="s">
        <v>8296</v>
      </c>
      <c r="AE408" t="s">
        <v>8297</v>
      </c>
      <c r="AF408" t="s">
        <v>74</v>
      </c>
      <c r="AG408">
        <v>70</v>
      </c>
      <c r="AH408">
        <v>6</v>
      </c>
      <c r="AI408">
        <v>6</v>
      </c>
      <c r="AJ408">
        <v>0</v>
      </c>
      <c r="AK408">
        <v>16</v>
      </c>
      <c r="AL408" t="s">
        <v>4638</v>
      </c>
      <c r="AM408" t="s">
        <v>399</v>
      </c>
      <c r="AN408" t="s">
        <v>4867</v>
      </c>
      <c r="AO408" t="s">
        <v>4868</v>
      </c>
      <c r="AP408" t="s">
        <v>4869</v>
      </c>
      <c r="AQ408" t="s">
        <v>74</v>
      </c>
      <c r="AR408" t="s">
        <v>4870</v>
      </c>
      <c r="AS408" t="s">
        <v>4871</v>
      </c>
      <c r="AT408" t="s">
        <v>7663</v>
      </c>
      <c r="AU408">
        <v>2020</v>
      </c>
      <c r="AV408">
        <v>157</v>
      </c>
      <c r="AW408">
        <v>6</v>
      </c>
      <c r="AX408" t="s">
        <v>74</v>
      </c>
      <c r="AY408" t="s">
        <v>74</v>
      </c>
      <c r="AZ408" t="s">
        <v>2622</v>
      </c>
      <c r="BA408" t="s">
        <v>74</v>
      </c>
      <c r="BB408">
        <v>920</v>
      </c>
      <c r="BC408">
        <v>928</v>
      </c>
      <c r="BD408" t="s">
        <v>74</v>
      </c>
      <c r="BE408" t="s">
        <v>8298</v>
      </c>
      <c r="BF408" t="str">
        <f>HYPERLINK("http://dx.doi.org/10.1017/S0016756819000396","http://dx.doi.org/10.1017/S0016756819000396")</f>
        <v>http://dx.doi.org/10.1017/S0016756819000396</v>
      </c>
      <c r="BG408" t="s">
        <v>74</v>
      </c>
      <c r="BH408" t="s">
        <v>74</v>
      </c>
      <c r="BI408">
        <v>9</v>
      </c>
      <c r="BJ408" t="s">
        <v>471</v>
      </c>
      <c r="BK408" t="s">
        <v>102</v>
      </c>
      <c r="BL408" t="s">
        <v>472</v>
      </c>
      <c r="BM408" t="s">
        <v>8299</v>
      </c>
      <c r="BN408" t="s">
        <v>74</v>
      </c>
      <c r="BO408" t="s">
        <v>74</v>
      </c>
      <c r="BP408" t="s">
        <v>74</v>
      </c>
      <c r="BQ408" t="s">
        <v>74</v>
      </c>
      <c r="BR408" t="s">
        <v>106</v>
      </c>
      <c r="BS408" t="s">
        <v>8300</v>
      </c>
      <c r="BT408" t="str">
        <f>HYPERLINK("https%3A%2F%2Fwww.webofscience.com%2Fwos%2Fwoscc%2Ffull-record%2FWOS:000539094000008","View Full Record in Web of Science")</f>
        <v>View Full Record in Web of Science</v>
      </c>
    </row>
    <row r="409" spans="1:72" x14ac:dyDescent="0.15">
      <c r="A409" t="s">
        <v>72</v>
      </c>
      <c r="B409" t="s">
        <v>8301</v>
      </c>
      <c r="C409" t="s">
        <v>74</v>
      </c>
      <c r="D409" t="s">
        <v>74</v>
      </c>
      <c r="E409" t="s">
        <v>74</v>
      </c>
      <c r="F409" t="s">
        <v>8302</v>
      </c>
      <c r="G409" t="s">
        <v>74</v>
      </c>
      <c r="H409" t="s">
        <v>74</v>
      </c>
      <c r="I409" t="s">
        <v>8303</v>
      </c>
      <c r="J409" t="s">
        <v>4731</v>
      </c>
      <c r="K409" t="s">
        <v>74</v>
      </c>
      <c r="L409" t="s">
        <v>74</v>
      </c>
      <c r="M409" t="s">
        <v>78</v>
      </c>
      <c r="N409" t="s">
        <v>1850</v>
      </c>
      <c r="O409" t="s">
        <v>74</v>
      </c>
      <c r="P409" t="s">
        <v>74</v>
      </c>
      <c r="Q409" t="s">
        <v>74</v>
      </c>
      <c r="R409" t="s">
        <v>74</v>
      </c>
      <c r="S409" t="s">
        <v>74</v>
      </c>
      <c r="T409" t="s">
        <v>74</v>
      </c>
      <c r="U409" t="s">
        <v>8304</v>
      </c>
      <c r="V409" t="s">
        <v>74</v>
      </c>
      <c r="W409" t="s">
        <v>8305</v>
      </c>
      <c r="X409" t="s">
        <v>8306</v>
      </c>
      <c r="Y409" t="s">
        <v>8307</v>
      </c>
      <c r="Z409" t="s">
        <v>8308</v>
      </c>
      <c r="AA409" t="s">
        <v>8309</v>
      </c>
      <c r="AB409" t="s">
        <v>8310</v>
      </c>
      <c r="AC409" t="s">
        <v>74</v>
      </c>
      <c r="AD409" t="s">
        <v>74</v>
      </c>
      <c r="AE409" t="s">
        <v>74</v>
      </c>
      <c r="AF409" t="s">
        <v>74</v>
      </c>
      <c r="AG409">
        <v>9</v>
      </c>
      <c r="AH409">
        <v>2</v>
      </c>
      <c r="AI409">
        <v>2</v>
      </c>
      <c r="AJ409">
        <v>1</v>
      </c>
      <c r="AK409">
        <v>6</v>
      </c>
      <c r="AL409" t="s">
        <v>8311</v>
      </c>
      <c r="AM409" t="s">
        <v>8312</v>
      </c>
      <c r="AN409" t="s">
        <v>8313</v>
      </c>
      <c r="AO409" t="s">
        <v>4744</v>
      </c>
      <c r="AP409" t="s">
        <v>4745</v>
      </c>
      <c r="AQ409" t="s">
        <v>74</v>
      </c>
      <c r="AR409" t="s">
        <v>4746</v>
      </c>
      <c r="AS409" t="s">
        <v>4747</v>
      </c>
      <c r="AT409" t="s">
        <v>7663</v>
      </c>
      <c r="AU409">
        <v>2020</v>
      </c>
      <c r="AV409">
        <v>183</v>
      </c>
      <c r="AW409">
        <v>2</v>
      </c>
      <c r="AX409" t="s">
        <v>74</v>
      </c>
      <c r="AY409" t="s">
        <v>74</v>
      </c>
      <c r="AZ409" t="s">
        <v>74</v>
      </c>
      <c r="BA409" t="s">
        <v>74</v>
      </c>
      <c r="BB409">
        <v>427</v>
      </c>
      <c r="BC409">
        <v>428</v>
      </c>
      <c r="BD409" t="s">
        <v>74</v>
      </c>
      <c r="BE409" t="s">
        <v>8314</v>
      </c>
      <c r="BF409" t="str">
        <f>HYPERLINK("http://dx.doi.org/10.1104/pp.20.00467","http://dx.doi.org/10.1104/pp.20.00467")</f>
        <v>http://dx.doi.org/10.1104/pp.20.00467</v>
      </c>
      <c r="BG409" t="s">
        <v>74</v>
      </c>
      <c r="BH409" t="s">
        <v>74</v>
      </c>
      <c r="BI409">
        <v>2</v>
      </c>
      <c r="BJ409" t="s">
        <v>1635</v>
      </c>
      <c r="BK409" t="s">
        <v>102</v>
      </c>
      <c r="BL409" t="s">
        <v>1635</v>
      </c>
      <c r="BM409" t="s">
        <v>8315</v>
      </c>
      <c r="BN409" t="s">
        <v>74</v>
      </c>
      <c r="BO409" t="s">
        <v>1474</v>
      </c>
      <c r="BP409" t="s">
        <v>74</v>
      </c>
      <c r="BQ409" t="s">
        <v>74</v>
      </c>
      <c r="BR409" t="s">
        <v>106</v>
      </c>
      <c r="BS409" t="s">
        <v>8316</v>
      </c>
      <c r="BT409" t="str">
        <f>HYPERLINK("https%3A%2F%2Fwww.webofscience.com%2Fwos%2Fwoscc%2Ffull-record%2FWOS:000541865100006","View Full Record in Web of Science")</f>
        <v>View Full Record in Web of Science</v>
      </c>
    </row>
    <row r="410" spans="1:72" x14ac:dyDescent="0.15">
      <c r="A410" t="s">
        <v>72</v>
      </c>
      <c r="B410" t="s">
        <v>8317</v>
      </c>
      <c r="C410" t="s">
        <v>74</v>
      </c>
      <c r="D410" t="s">
        <v>74</v>
      </c>
      <c r="E410" t="s">
        <v>74</v>
      </c>
      <c r="F410" t="s">
        <v>8318</v>
      </c>
      <c r="G410" t="s">
        <v>74</v>
      </c>
      <c r="H410" t="s">
        <v>74</v>
      </c>
      <c r="I410" t="s">
        <v>8319</v>
      </c>
      <c r="J410" t="s">
        <v>8320</v>
      </c>
      <c r="K410" t="s">
        <v>74</v>
      </c>
      <c r="L410" t="s">
        <v>74</v>
      </c>
      <c r="M410" t="s">
        <v>78</v>
      </c>
      <c r="N410" t="s">
        <v>79</v>
      </c>
      <c r="O410" t="s">
        <v>74</v>
      </c>
      <c r="P410" t="s">
        <v>74</v>
      </c>
      <c r="Q410" t="s">
        <v>74</v>
      </c>
      <c r="R410" t="s">
        <v>74</v>
      </c>
      <c r="S410" t="s">
        <v>74</v>
      </c>
      <c r="T410" t="s">
        <v>74</v>
      </c>
      <c r="U410" t="s">
        <v>8321</v>
      </c>
      <c r="V410" t="s">
        <v>8322</v>
      </c>
      <c r="W410" t="s">
        <v>8323</v>
      </c>
      <c r="X410" t="s">
        <v>2298</v>
      </c>
      <c r="Y410" t="s">
        <v>8324</v>
      </c>
      <c r="Z410" t="s">
        <v>8325</v>
      </c>
      <c r="AA410" t="s">
        <v>8326</v>
      </c>
      <c r="AB410" t="s">
        <v>8327</v>
      </c>
      <c r="AC410" t="s">
        <v>8328</v>
      </c>
      <c r="AD410" t="s">
        <v>8329</v>
      </c>
      <c r="AE410" t="s">
        <v>8330</v>
      </c>
      <c r="AF410" t="s">
        <v>74</v>
      </c>
      <c r="AG410">
        <v>69</v>
      </c>
      <c r="AH410">
        <v>19</v>
      </c>
      <c r="AI410">
        <v>23</v>
      </c>
      <c r="AJ410">
        <v>0</v>
      </c>
      <c r="AK410">
        <v>17</v>
      </c>
      <c r="AL410" t="s">
        <v>8331</v>
      </c>
      <c r="AM410" t="s">
        <v>8312</v>
      </c>
      <c r="AN410" t="s">
        <v>8332</v>
      </c>
      <c r="AO410" t="s">
        <v>8333</v>
      </c>
      <c r="AP410" t="s">
        <v>74</v>
      </c>
      <c r="AQ410" t="s">
        <v>74</v>
      </c>
      <c r="AR410" t="s">
        <v>8320</v>
      </c>
      <c r="AS410" t="s">
        <v>213</v>
      </c>
      <c r="AT410" t="s">
        <v>7663</v>
      </c>
      <c r="AU410">
        <v>2020</v>
      </c>
      <c r="AV410">
        <v>33</v>
      </c>
      <c r="AW410">
        <v>2</v>
      </c>
      <c r="AX410" t="s">
        <v>74</v>
      </c>
      <c r="AY410" t="s">
        <v>74</v>
      </c>
      <c r="AZ410" t="s">
        <v>2622</v>
      </c>
      <c r="BA410" t="s">
        <v>74</v>
      </c>
      <c r="BB410">
        <v>32</v>
      </c>
      <c r="BC410">
        <v>41</v>
      </c>
      <c r="BD410" t="s">
        <v>74</v>
      </c>
      <c r="BE410" t="s">
        <v>8334</v>
      </c>
      <c r="BF410" t="str">
        <f>HYPERLINK("http://dx.doi.org/10.5670/oceanog.2020.224","http://dx.doi.org/10.5670/oceanog.2020.224")</f>
        <v>http://dx.doi.org/10.5670/oceanog.2020.224</v>
      </c>
      <c r="BG410" t="s">
        <v>74</v>
      </c>
      <c r="BH410" t="s">
        <v>74</v>
      </c>
      <c r="BI410">
        <v>10</v>
      </c>
      <c r="BJ410" t="s">
        <v>213</v>
      </c>
      <c r="BK410" t="s">
        <v>102</v>
      </c>
      <c r="BL410" t="s">
        <v>213</v>
      </c>
      <c r="BM410" t="s">
        <v>8335</v>
      </c>
      <c r="BN410" t="s">
        <v>74</v>
      </c>
      <c r="BO410" t="s">
        <v>105</v>
      </c>
      <c r="BP410" t="s">
        <v>74</v>
      </c>
      <c r="BQ410" t="s">
        <v>74</v>
      </c>
      <c r="BR410" t="s">
        <v>106</v>
      </c>
      <c r="BS410" t="s">
        <v>8336</v>
      </c>
      <c r="BT410" t="str">
        <f>HYPERLINK("https%3A%2F%2Fwww.webofscience.com%2Fwos%2Fwoscc%2Ffull-record%2FWOS:000576988100008","View Full Record in Web of Science")</f>
        <v>View Full Record in Web of Science</v>
      </c>
    </row>
    <row r="411" spans="1:72" x14ac:dyDescent="0.15">
      <c r="A411" t="s">
        <v>72</v>
      </c>
      <c r="B411" t="s">
        <v>8337</v>
      </c>
      <c r="C411" t="s">
        <v>74</v>
      </c>
      <c r="D411" t="s">
        <v>74</v>
      </c>
      <c r="E411" t="s">
        <v>74</v>
      </c>
      <c r="F411" t="s">
        <v>8338</v>
      </c>
      <c r="G411" t="s">
        <v>74</v>
      </c>
      <c r="H411" t="s">
        <v>74</v>
      </c>
      <c r="I411" t="s">
        <v>8339</v>
      </c>
      <c r="J411" t="s">
        <v>8320</v>
      </c>
      <c r="K411" t="s">
        <v>74</v>
      </c>
      <c r="L411" t="s">
        <v>74</v>
      </c>
      <c r="M411" t="s">
        <v>78</v>
      </c>
      <c r="N411" t="s">
        <v>79</v>
      </c>
      <c r="O411" t="s">
        <v>74</v>
      </c>
      <c r="P411" t="s">
        <v>74</v>
      </c>
      <c r="Q411" t="s">
        <v>74</v>
      </c>
      <c r="R411" t="s">
        <v>74</v>
      </c>
      <c r="S411" t="s">
        <v>74</v>
      </c>
      <c r="T411" t="s">
        <v>74</v>
      </c>
      <c r="U411" t="s">
        <v>8340</v>
      </c>
      <c r="V411" t="s">
        <v>8341</v>
      </c>
      <c r="W411" t="s">
        <v>8342</v>
      </c>
      <c r="X411" t="s">
        <v>8343</v>
      </c>
      <c r="Y411" t="s">
        <v>8344</v>
      </c>
      <c r="Z411" t="s">
        <v>8345</v>
      </c>
      <c r="AA411" t="s">
        <v>8346</v>
      </c>
      <c r="AB411" t="s">
        <v>8347</v>
      </c>
      <c r="AC411" t="s">
        <v>8348</v>
      </c>
      <c r="AD411" t="s">
        <v>8349</v>
      </c>
      <c r="AE411" t="s">
        <v>8350</v>
      </c>
      <c r="AF411" t="s">
        <v>74</v>
      </c>
      <c r="AG411">
        <v>125</v>
      </c>
      <c r="AH411">
        <v>10</v>
      </c>
      <c r="AI411">
        <v>10</v>
      </c>
      <c r="AJ411">
        <v>0</v>
      </c>
      <c r="AK411">
        <v>6</v>
      </c>
      <c r="AL411" t="s">
        <v>8331</v>
      </c>
      <c r="AM411" t="s">
        <v>8312</v>
      </c>
      <c r="AN411" t="s">
        <v>8332</v>
      </c>
      <c r="AO411" t="s">
        <v>8333</v>
      </c>
      <c r="AP411" t="s">
        <v>74</v>
      </c>
      <c r="AQ411" t="s">
        <v>74</v>
      </c>
      <c r="AR411" t="s">
        <v>8320</v>
      </c>
      <c r="AS411" t="s">
        <v>213</v>
      </c>
      <c r="AT411" t="s">
        <v>7663</v>
      </c>
      <c r="AU411">
        <v>2020</v>
      </c>
      <c r="AV411">
        <v>33</v>
      </c>
      <c r="AW411">
        <v>2</v>
      </c>
      <c r="AX411" t="s">
        <v>74</v>
      </c>
      <c r="AY411" t="s">
        <v>74</v>
      </c>
      <c r="AZ411" t="s">
        <v>2622</v>
      </c>
      <c r="BA411" t="s">
        <v>74</v>
      </c>
      <c r="BB411">
        <v>90</v>
      </c>
      <c r="BC411">
        <v>100</v>
      </c>
      <c r="BD411" t="s">
        <v>74</v>
      </c>
      <c r="BE411" t="s">
        <v>8351</v>
      </c>
      <c r="BF411" t="str">
        <f>HYPERLINK("http://dx.doi.org/10.5670/oceanog.2020.208","http://dx.doi.org/10.5670/oceanog.2020.208")</f>
        <v>http://dx.doi.org/10.5670/oceanog.2020.208</v>
      </c>
      <c r="BG411" t="s">
        <v>74</v>
      </c>
      <c r="BH411" t="s">
        <v>74</v>
      </c>
      <c r="BI411">
        <v>11</v>
      </c>
      <c r="BJ411" t="s">
        <v>213</v>
      </c>
      <c r="BK411" t="s">
        <v>102</v>
      </c>
      <c r="BL411" t="s">
        <v>213</v>
      </c>
      <c r="BM411" t="s">
        <v>8335</v>
      </c>
      <c r="BN411" t="s">
        <v>74</v>
      </c>
      <c r="BO411" t="s">
        <v>1778</v>
      </c>
      <c r="BP411" t="s">
        <v>74</v>
      </c>
      <c r="BQ411" t="s">
        <v>74</v>
      </c>
      <c r="BR411" t="s">
        <v>106</v>
      </c>
      <c r="BS411" t="s">
        <v>8352</v>
      </c>
      <c r="BT411" t="str">
        <f>HYPERLINK("https%3A%2F%2Fwww.webofscience.com%2Fwos%2Fwoscc%2Ffull-record%2FWOS:000576988100017","View Full Record in Web of Science")</f>
        <v>View Full Record in Web of Science</v>
      </c>
    </row>
    <row r="412" spans="1:72" x14ac:dyDescent="0.15">
      <c r="A412" t="s">
        <v>72</v>
      </c>
      <c r="B412" t="s">
        <v>8353</v>
      </c>
      <c r="C412" t="s">
        <v>74</v>
      </c>
      <c r="D412" t="s">
        <v>74</v>
      </c>
      <c r="E412" t="s">
        <v>74</v>
      </c>
      <c r="F412" t="s">
        <v>8354</v>
      </c>
      <c r="G412" t="s">
        <v>74</v>
      </c>
      <c r="H412" t="s">
        <v>74</v>
      </c>
      <c r="I412" t="s">
        <v>8355</v>
      </c>
      <c r="J412" t="s">
        <v>8320</v>
      </c>
      <c r="K412" t="s">
        <v>74</v>
      </c>
      <c r="L412" t="s">
        <v>74</v>
      </c>
      <c r="M412" t="s">
        <v>78</v>
      </c>
      <c r="N412" t="s">
        <v>8356</v>
      </c>
      <c r="O412" t="s">
        <v>74</v>
      </c>
      <c r="P412" t="s">
        <v>74</v>
      </c>
      <c r="Q412" t="s">
        <v>74</v>
      </c>
      <c r="R412" t="s">
        <v>74</v>
      </c>
      <c r="S412" t="s">
        <v>74</v>
      </c>
      <c r="T412" t="s">
        <v>74</v>
      </c>
      <c r="U412" t="s">
        <v>74</v>
      </c>
      <c r="V412" t="s">
        <v>74</v>
      </c>
      <c r="W412" t="s">
        <v>8357</v>
      </c>
      <c r="X412" t="s">
        <v>8358</v>
      </c>
      <c r="Y412" t="s">
        <v>8359</v>
      </c>
      <c r="Z412" t="s">
        <v>8360</v>
      </c>
      <c r="AA412" t="s">
        <v>74</v>
      </c>
      <c r="AB412" t="s">
        <v>74</v>
      </c>
      <c r="AC412" t="s">
        <v>74</v>
      </c>
      <c r="AD412" t="s">
        <v>74</v>
      </c>
      <c r="AE412" t="s">
        <v>74</v>
      </c>
      <c r="AF412" t="s">
        <v>74</v>
      </c>
      <c r="AG412">
        <v>5</v>
      </c>
      <c r="AH412">
        <v>0</v>
      </c>
      <c r="AI412">
        <v>0</v>
      </c>
      <c r="AJ412">
        <v>0</v>
      </c>
      <c r="AK412">
        <v>1</v>
      </c>
      <c r="AL412" t="s">
        <v>8331</v>
      </c>
      <c r="AM412" t="s">
        <v>8312</v>
      </c>
      <c r="AN412" t="s">
        <v>8332</v>
      </c>
      <c r="AO412" t="s">
        <v>8333</v>
      </c>
      <c r="AP412" t="s">
        <v>74</v>
      </c>
      <c r="AQ412" t="s">
        <v>74</v>
      </c>
      <c r="AR412" t="s">
        <v>8320</v>
      </c>
      <c r="AS412" t="s">
        <v>213</v>
      </c>
      <c r="AT412" t="s">
        <v>7663</v>
      </c>
      <c r="AU412">
        <v>2020</v>
      </c>
      <c r="AV412">
        <v>33</v>
      </c>
      <c r="AW412">
        <v>2</v>
      </c>
      <c r="AX412" t="s">
        <v>74</v>
      </c>
      <c r="AY412" t="s">
        <v>74</v>
      </c>
      <c r="AZ412" t="s">
        <v>2622</v>
      </c>
      <c r="BA412" t="s">
        <v>74</v>
      </c>
      <c r="BB412">
        <v>124</v>
      </c>
      <c r="BC412">
        <v>125</v>
      </c>
      <c r="BD412" t="s">
        <v>74</v>
      </c>
      <c r="BE412" t="s">
        <v>8361</v>
      </c>
      <c r="BF412" t="str">
        <f>HYPERLINK("http://dx.doi.org/10.5670/oceanog.2020.218","http://dx.doi.org/10.5670/oceanog.2020.218")</f>
        <v>http://dx.doi.org/10.5670/oceanog.2020.218</v>
      </c>
      <c r="BG412" t="s">
        <v>74</v>
      </c>
      <c r="BH412" t="s">
        <v>74</v>
      </c>
      <c r="BI412">
        <v>2</v>
      </c>
      <c r="BJ412" t="s">
        <v>213</v>
      </c>
      <c r="BK412" t="s">
        <v>102</v>
      </c>
      <c r="BL412" t="s">
        <v>213</v>
      </c>
      <c r="BM412" t="s">
        <v>8335</v>
      </c>
      <c r="BN412" t="s">
        <v>74</v>
      </c>
      <c r="BO412" t="s">
        <v>105</v>
      </c>
      <c r="BP412" t="s">
        <v>74</v>
      </c>
      <c r="BQ412" t="s">
        <v>74</v>
      </c>
      <c r="BR412" t="s">
        <v>106</v>
      </c>
      <c r="BS412" t="s">
        <v>8362</v>
      </c>
      <c r="BT412" t="str">
        <f>HYPERLINK("https%3A%2F%2Fwww.webofscience.com%2Fwos%2Fwoscc%2Ffull-record%2FWOS:000576988100022","View Full Record in Web of Science")</f>
        <v>View Full Record in Web of Science</v>
      </c>
    </row>
    <row r="413" spans="1:72" x14ac:dyDescent="0.15">
      <c r="A413" t="s">
        <v>72</v>
      </c>
      <c r="B413" t="s">
        <v>8363</v>
      </c>
      <c r="C413" t="s">
        <v>74</v>
      </c>
      <c r="D413" t="s">
        <v>74</v>
      </c>
      <c r="E413" t="s">
        <v>74</v>
      </c>
      <c r="F413" t="s">
        <v>8364</v>
      </c>
      <c r="G413" t="s">
        <v>74</v>
      </c>
      <c r="H413" t="s">
        <v>74</v>
      </c>
      <c r="I413" t="s">
        <v>8365</v>
      </c>
      <c r="J413" t="s">
        <v>8366</v>
      </c>
      <c r="K413" t="s">
        <v>74</v>
      </c>
      <c r="L413" t="s">
        <v>74</v>
      </c>
      <c r="M413" t="s">
        <v>78</v>
      </c>
      <c r="N413" t="s">
        <v>79</v>
      </c>
      <c r="O413" t="s">
        <v>74</v>
      </c>
      <c r="P413" t="s">
        <v>74</v>
      </c>
      <c r="Q413" t="s">
        <v>74</v>
      </c>
      <c r="R413" t="s">
        <v>74</v>
      </c>
      <c r="S413" t="s">
        <v>74</v>
      </c>
      <c r="T413" t="s">
        <v>8367</v>
      </c>
      <c r="U413" t="s">
        <v>8368</v>
      </c>
      <c r="V413" t="s">
        <v>8369</v>
      </c>
      <c r="W413" t="s">
        <v>8370</v>
      </c>
      <c r="X413" t="s">
        <v>8371</v>
      </c>
      <c r="Y413" t="s">
        <v>8372</v>
      </c>
      <c r="Z413" t="s">
        <v>8373</v>
      </c>
      <c r="AA413" t="s">
        <v>74</v>
      </c>
      <c r="AB413" t="s">
        <v>74</v>
      </c>
      <c r="AC413" t="s">
        <v>8374</v>
      </c>
      <c r="AD413" t="s">
        <v>788</v>
      </c>
      <c r="AE413" t="s">
        <v>8375</v>
      </c>
      <c r="AF413" t="s">
        <v>74</v>
      </c>
      <c r="AG413">
        <v>12</v>
      </c>
      <c r="AH413">
        <v>2</v>
      </c>
      <c r="AI413">
        <v>2</v>
      </c>
      <c r="AJ413">
        <v>6</v>
      </c>
      <c r="AK413">
        <v>34</v>
      </c>
      <c r="AL413" t="s">
        <v>8376</v>
      </c>
      <c r="AM413" t="s">
        <v>8377</v>
      </c>
      <c r="AN413" t="s">
        <v>8378</v>
      </c>
      <c r="AO413" t="s">
        <v>8379</v>
      </c>
      <c r="AP413" t="s">
        <v>8380</v>
      </c>
      <c r="AQ413" t="s">
        <v>74</v>
      </c>
      <c r="AR413" t="s">
        <v>8381</v>
      </c>
      <c r="AS413" t="s">
        <v>8382</v>
      </c>
      <c r="AT413" t="s">
        <v>8383</v>
      </c>
      <c r="AU413">
        <v>2020</v>
      </c>
      <c r="AV413" t="s">
        <v>74</v>
      </c>
      <c r="AW413" t="s">
        <v>74</v>
      </c>
      <c r="AX413" t="s">
        <v>74</v>
      </c>
      <c r="AY413" t="s">
        <v>74</v>
      </c>
      <c r="AZ413">
        <v>108</v>
      </c>
      <c r="BA413" t="s">
        <v>74</v>
      </c>
      <c r="BB413">
        <v>188</v>
      </c>
      <c r="BC413">
        <v>192</v>
      </c>
      <c r="BD413" t="s">
        <v>74</v>
      </c>
      <c r="BE413" t="s">
        <v>8384</v>
      </c>
      <c r="BF413" t="str">
        <f>HYPERLINK("http://dx.doi.org/10.2112/JCR-SI108-037.1","http://dx.doi.org/10.2112/JCR-SI108-037.1")</f>
        <v>http://dx.doi.org/10.2112/JCR-SI108-037.1</v>
      </c>
      <c r="BG413" t="s">
        <v>74</v>
      </c>
      <c r="BH413" t="s">
        <v>74</v>
      </c>
      <c r="BI413">
        <v>5</v>
      </c>
      <c r="BJ413" t="s">
        <v>8279</v>
      </c>
      <c r="BK413" t="s">
        <v>102</v>
      </c>
      <c r="BL413" t="s">
        <v>8280</v>
      </c>
      <c r="BM413" t="s">
        <v>8385</v>
      </c>
      <c r="BN413" t="s">
        <v>74</v>
      </c>
      <c r="BO413" t="s">
        <v>74</v>
      </c>
      <c r="BP413" t="s">
        <v>74</v>
      </c>
      <c r="BQ413" t="s">
        <v>74</v>
      </c>
      <c r="BR413" t="s">
        <v>106</v>
      </c>
      <c r="BS413" t="s">
        <v>8386</v>
      </c>
      <c r="BT413" t="str">
        <f>HYPERLINK("https%3A%2F%2Fwww.webofscience.com%2Fwos%2Fwoscc%2Ffull-record%2FWOS:000575908200037","View Full Record in Web of Science")</f>
        <v>View Full Record in Web of Science</v>
      </c>
    </row>
    <row r="414" spans="1:72" x14ac:dyDescent="0.15">
      <c r="A414" t="s">
        <v>72</v>
      </c>
      <c r="B414" t="s">
        <v>8387</v>
      </c>
      <c r="C414" t="s">
        <v>74</v>
      </c>
      <c r="D414" t="s">
        <v>74</v>
      </c>
      <c r="E414" t="s">
        <v>74</v>
      </c>
      <c r="F414" t="s">
        <v>8388</v>
      </c>
      <c r="G414" t="s">
        <v>74</v>
      </c>
      <c r="H414" t="s">
        <v>74</v>
      </c>
      <c r="I414" t="s">
        <v>8389</v>
      </c>
      <c r="J414" t="s">
        <v>8390</v>
      </c>
      <c r="K414" t="s">
        <v>74</v>
      </c>
      <c r="L414" t="s">
        <v>74</v>
      </c>
      <c r="M414" t="s">
        <v>78</v>
      </c>
      <c r="N414" t="s">
        <v>79</v>
      </c>
      <c r="O414" t="s">
        <v>74</v>
      </c>
      <c r="P414" t="s">
        <v>74</v>
      </c>
      <c r="Q414" t="s">
        <v>74</v>
      </c>
      <c r="R414" t="s">
        <v>74</v>
      </c>
      <c r="S414" t="s">
        <v>74</v>
      </c>
      <c r="T414" t="s">
        <v>8391</v>
      </c>
      <c r="U414" t="s">
        <v>74</v>
      </c>
      <c r="V414" t="s">
        <v>8392</v>
      </c>
      <c r="W414" t="s">
        <v>8393</v>
      </c>
      <c r="X414" t="s">
        <v>8394</v>
      </c>
      <c r="Y414" t="s">
        <v>8395</v>
      </c>
      <c r="Z414" t="s">
        <v>74</v>
      </c>
      <c r="AA414" t="s">
        <v>74</v>
      </c>
      <c r="AB414" t="s">
        <v>74</v>
      </c>
      <c r="AC414" t="s">
        <v>8396</v>
      </c>
      <c r="AD414" t="s">
        <v>8396</v>
      </c>
      <c r="AE414" t="s">
        <v>8397</v>
      </c>
      <c r="AF414" t="s">
        <v>74</v>
      </c>
      <c r="AG414">
        <v>37</v>
      </c>
      <c r="AH414">
        <v>0</v>
      </c>
      <c r="AI414">
        <v>0</v>
      </c>
      <c r="AJ414">
        <v>1</v>
      </c>
      <c r="AK414">
        <v>2</v>
      </c>
      <c r="AL414" t="s">
        <v>8390</v>
      </c>
      <c r="AM414" t="s">
        <v>8398</v>
      </c>
      <c r="AN414" t="s">
        <v>8399</v>
      </c>
      <c r="AO414" t="s">
        <v>8400</v>
      </c>
      <c r="AP414" t="s">
        <v>74</v>
      </c>
      <c r="AQ414" t="s">
        <v>74</v>
      </c>
      <c r="AR414" t="s">
        <v>8401</v>
      </c>
      <c r="AS414" t="s">
        <v>8402</v>
      </c>
      <c r="AT414" t="s">
        <v>7663</v>
      </c>
      <c r="AU414">
        <v>2020</v>
      </c>
      <c r="AV414">
        <v>54</v>
      </c>
      <c r="AW414">
        <v>2</v>
      </c>
      <c r="AX414" t="s">
        <v>74</v>
      </c>
      <c r="AY414" t="s">
        <v>74</v>
      </c>
      <c r="AZ414" t="s">
        <v>74</v>
      </c>
      <c r="BA414" t="s">
        <v>74</v>
      </c>
      <c r="BB414">
        <v>505</v>
      </c>
      <c r="BC414">
        <v>532</v>
      </c>
      <c r="BD414" t="s">
        <v>74</v>
      </c>
      <c r="BE414" t="s">
        <v>8403</v>
      </c>
      <c r="BF414" t="str">
        <f>HYPERLINK("http://dx.doi.org/10.1353/rvs.2020.0038","http://dx.doi.org/10.1353/rvs.2020.0038")</f>
        <v>http://dx.doi.org/10.1353/rvs.2020.0038</v>
      </c>
      <c r="BG414" t="s">
        <v>74</v>
      </c>
      <c r="BH414" t="s">
        <v>74</v>
      </c>
      <c r="BI414">
        <v>28</v>
      </c>
      <c r="BJ414" t="s">
        <v>8404</v>
      </c>
      <c r="BK414" t="s">
        <v>2625</v>
      </c>
      <c r="BL414" t="s">
        <v>2624</v>
      </c>
      <c r="BM414" t="s">
        <v>8405</v>
      </c>
      <c r="BN414" t="s">
        <v>74</v>
      </c>
      <c r="BO414" t="s">
        <v>74</v>
      </c>
      <c r="BP414" t="s">
        <v>74</v>
      </c>
      <c r="BQ414" t="s">
        <v>74</v>
      </c>
      <c r="BR414" t="s">
        <v>106</v>
      </c>
      <c r="BS414" t="s">
        <v>8406</v>
      </c>
      <c r="BT414" t="str">
        <f>HYPERLINK("https%3A%2F%2Fwww.webofscience.com%2Fwos%2Fwoscc%2Ffull-record%2FWOS:000575186400009","View Full Record in Web of Science")</f>
        <v>View Full Record in Web of Science</v>
      </c>
    </row>
    <row r="415" spans="1:72" x14ac:dyDescent="0.15">
      <c r="A415" t="s">
        <v>72</v>
      </c>
      <c r="B415" t="s">
        <v>8407</v>
      </c>
      <c r="C415" t="s">
        <v>74</v>
      </c>
      <c r="D415" t="s">
        <v>74</v>
      </c>
      <c r="E415" t="s">
        <v>74</v>
      </c>
      <c r="F415" t="s">
        <v>8408</v>
      </c>
      <c r="G415" t="s">
        <v>74</v>
      </c>
      <c r="H415" t="s">
        <v>74</v>
      </c>
      <c r="I415" t="s">
        <v>8409</v>
      </c>
      <c r="J415" t="s">
        <v>4904</v>
      </c>
      <c r="K415" t="s">
        <v>74</v>
      </c>
      <c r="L415" t="s">
        <v>74</v>
      </c>
      <c r="M415" t="s">
        <v>78</v>
      </c>
      <c r="N415" t="s">
        <v>79</v>
      </c>
      <c r="O415" t="s">
        <v>74</v>
      </c>
      <c r="P415" t="s">
        <v>74</v>
      </c>
      <c r="Q415" t="s">
        <v>74</v>
      </c>
      <c r="R415" t="s">
        <v>74</v>
      </c>
      <c r="S415" t="s">
        <v>74</v>
      </c>
      <c r="T415" t="s">
        <v>8410</v>
      </c>
      <c r="U415" t="s">
        <v>8411</v>
      </c>
      <c r="V415" t="s">
        <v>8412</v>
      </c>
      <c r="W415" t="s">
        <v>8413</v>
      </c>
      <c r="X415" t="s">
        <v>8414</v>
      </c>
      <c r="Y415" t="s">
        <v>8415</v>
      </c>
      <c r="Z415" t="s">
        <v>8416</v>
      </c>
      <c r="AA415" t="s">
        <v>8417</v>
      </c>
      <c r="AB415" t="s">
        <v>8418</v>
      </c>
      <c r="AC415" t="s">
        <v>8419</v>
      </c>
      <c r="AD415" t="s">
        <v>8420</v>
      </c>
      <c r="AE415" t="s">
        <v>8421</v>
      </c>
      <c r="AF415" t="s">
        <v>74</v>
      </c>
      <c r="AG415">
        <v>141</v>
      </c>
      <c r="AH415">
        <v>14</v>
      </c>
      <c r="AI415">
        <v>15</v>
      </c>
      <c r="AJ415">
        <v>0</v>
      </c>
      <c r="AK415">
        <v>13</v>
      </c>
      <c r="AL415" t="s">
        <v>124</v>
      </c>
      <c r="AM415" t="s">
        <v>93</v>
      </c>
      <c r="AN415" t="s">
        <v>125</v>
      </c>
      <c r="AO415" t="s">
        <v>4917</v>
      </c>
      <c r="AP415" t="s">
        <v>4918</v>
      </c>
      <c r="AQ415" t="s">
        <v>74</v>
      </c>
      <c r="AR415" t="s">
        <v>4919</v>
      </c>
      <c r="AS415" t="s">
        <v>4920</v>
      </c>
      <c r="AT415" t="s">
        <v>7663</v>
      </c>
      <c r="AU415">
        <v>2020</v>
      </c>
      <c r="AV415">
        <v>37</v>
      </c>
      <c r="AW415">
        <v>6</v>
      </c>
      <c r="AX415" t="s">
        <v>74</v>
      </c>
      <c r="AY415" t="s">
        <v>74</v>
      </c>
      <c r="AZ415" t="s">
        <v>74</v>
      </c>
      <c r="BA415" t="s">
        <v>74</v>
      </c>
      <c r="BB415">
        <v>1708</v>
      </c>
      <c r="BC415">
        <v>1726</v>
      </c>
      <c r="BD415" t="s">
        <v>74</v>
      </c>
      <c r="BE415" t="s">
        <v>8422</v>
      </c>
      <c r="BF415" t="str">
        <f>HYPERLINK("http://dx.doi.org/10.1093/molbev/msaa040","http://dx.doi.org/10.1093/molbev/msaa040")</f>
        <v>http://dx.doi.org/10.1093/molbev/msaa040</v>
      </c>
      <c r="BG415" t="s">
        <v>74</v>
      </c>
      <c r="BH415" t="s">
        <v>74</v>
      </c>
      <c r="BI415">
        <v>19</v>
      </c>
      <c r="BJ415" t="s">
        <v>4922</v>
      </c>
      <c r="BK415" t="s">
        <v>102</v>
      </c>
      <c r="BL415" t="s">
        <v>4922</v>
      </c>
      <c r="BM415" t="s">
        <v>8423</v>
      </c>
      <c r="BN415">
        <v>32096861</v>
      </c>
      <c r="BO415" t="s">
        <v>8424</v>
      </c>
      <c r="BP415" t="s">
        <v>74</v>
      </c>
      <c r="BQ415" t="s">
        <v>74</v>
      </c>
      <c r="BR415" t="s">
        <v>106</v>
      </c>
      <c r="BS415" t="s">
        <v>8425</v>
      </c>
      <c r="BT415" t="str">
        <f>HYPERLINK("https%3A%2F%2Fwww.webofscience.com%2Fwos%2Fwoscc%2Ffull-record%2FWOS:000569060900014","View Full Record in Web of Science")</f>
        <v>View Full Record in Web of Science</v>
      </c>
    </row>
    <row r="416" spans="1:72" x14ac:dyDescent="0.15">
      <c r="A416" t="s">
        <v>72</v>
      </c>
      <c r="B416" t="s">
        <v>8426</v>
      </c>
      <c r="C416" t="s">
        <v>74</v>
      </c>
      <c r="D416" t="s">
        <v>74</v>
      </c>
      <c r="E416" t="s">
        <v>74</v>
      </c>
      <c r="F416" t="s">
        <v>8427</v>
      </c>
      <c r="G416" t="s">
        <v>74</v>
      </c>
      <c r="H416" t="s">
        <v>74</v>
      </c>
      <c r="I416" t="s">
        <v>8428</v>
      </c>
      <c r="J416" t="s">
        <v>8429</v>
      </c>
      <c r="K416" t="s">
        <v>74</v>
      </c>
      <c r="L416" t="s">
        <v>74</v>
      </c>
      <c r="M416" t="s">
        <v>78</v>
      </c>
      <c r="N416" t="s">
        <v>79</v>
      </c>
      <c r="O416" t="s">
        <v>74</v>
      </c>
      <c r="P416" t="s">
        <v>74</v>
      </c>
      <c r="Q416" t="s">
        <v>74</v>
      </c>
      <c r="R416" t="s">
        <v>74</v>
      </c>
      <c r="S416" t="s">
        <v>74</v>
      </c>
      <c r="T416" t="s">
        <v>74</v>
      </c>
      <c r="U416" t="s">
        <v>8430</v>
      </c>
      <c r="V416" t="s">
        <v>8431</v>
      </c>
      <c r="W416" t="s">
        <v>8432</v>
      </c>
      <c r="X416" t="s">
        <v>8433</v>
      </c>
      <c r="Y416" t="s">
        <v>8434</v>
      </c>
      <c r="Z416" t="s">
        <v>8435</v>
      </c>
      <c r="AA416" t="s">
        <v>74</v>
      </c>
      <c r="AB416" t="s">
        <v>8436</v>
      </c>
      <c r="AC416" t="s">
        <v>8437</v>
      </c>
      <c r="AD416" t="s">
        <v>8438</v>
      </c>
      <c r="AE416" t="s">
        <v>8439</v>
      </c>
      <c r="AF416" t="s">
        <v>74</v>
      </c>
      <c r="AG416">
        <v>53</v>
      </c>
      <c r="AH416">
        <v>12</v>
      </c>
      <c r="AI416">
        <v>13</v>
      </c>
      <c r="AJ416">
        <v>1</v>
      </c>
      <c r="AK416">
        <v>12</v>
      </c>
      <c r="AL416" t="s">
        <v>151</v>
      </c>
      <c r="AM416" t="s">
        <v>152</v>
      </c>
      <c r="AN416" t="s">
        <v>153</v>
      </c>
      <c r="AO416" t="s">
        <v>8440</v>
      </c>
      <c r="AP416" t="s">
        <v>8441</v>
      </c>
      <c r="AQ416" t="s">
        <v>74</v>
      </c>
      <c r="AR416" t="s">
        <v>8442</v>
      </c>
      <c r="AS416" t="s">
        <v>8443</v>
      </c>
      <c r="AT416" t="s">
        <v>7663</v>
      </c>
      <c r="AU416">
        <v>2020</v>
      </c>
      <c r="AV416">
        <v>125</v>
      </c>
      <c r="AW416">
        <v>6</v>
      </c>
      <c r="AX416" t="s">
        <v>74</v>
      </c>
      <c r="AY416" t="s">
        <v>74</v>
      </c>
      <c r="AZ416" t="s">
        <v>74</v>
      </c>
      <c r="BA416" t="s">
        <v>74</v>
      </c>
      <c r="BB416" t="s">
        <v>74</v>
      </c>
      <c r="BC416" t="s">
        <v>74</v>
      </c>
      <c r="BD416" t="s">
        <v>8444</v>
      </c>
      <c r="BE416" t="s">
        <v>8445</v>
      </c>
      <c r="BF416" t="str">
        <f>HYPERLINK("http://dx.doi.org/10.1029/2020JB019421","http://dx.doi.org/10.1029/2020JB019421")</f>
        <v>http://dx.doi.org/10.1029/2020JB019421</v>
      </c>
      <c r="BG416" t="s">
        <v>74</v>
      </c>
      <c r="BH416" t="s">
        <v>74</v>
      </c>
      <c r="BI416">
        <v>16</v>
      </c>
      <c r="BJ416" t="s">
        <v>131</v>
      </c>
      <c r="BK416" t="s">
        <v>102</v>
      </c>
      <c r="BL416" t="s">
        <v>131</v>
      </c>
      <c r="BM416" t="s">
        <v>8446</v>
      </c>
      <c r="BN416" t="s">
        <v>74</v>
      </c>
      <c r="BO416" t="s">
        <v>74</v>
      </c>
      <c r="BP416" t="s">
        <v>74</v>
      </c>
      <c r="BQ416" t="s">
        <v>74</v>
      </c>
      <c r="BR416" t="s">
        <v>106</v>
      </c>
      <c r="BS416" t="s">
        <v>8447</v>
      </c>
      <c r="BT416" t="str">
        <f>HYPERLINK("https%3A%2F%2Fwww.webofscience.com%2Fwos%2Fwoscc%2Ffull-record%2FWOS:000565927000020","View Full Record in Web of Science")</f>
        <v>View Full Record in Web of Science</v>
      </c>
    </row>
    <row r="417" spans="1:72" x14ac:dyDescent="0.15">
      <c r="A417" t="s">
        <v>72</v>
      </c>
      <c r="B417" t="s">
        <v>8448</v>
      </c>
      <c r="C417" t="s">
        <v>74</v>
      </c>
      <c r="D417" t="s">
        <v>74</v>
      </c>
      <c r="E417" t="s">
        <v>74</v>
      </c>
      <c r="F417" t="s">
        <v>8449</v>
      </c>
      <c r="G417" t="s">
        <v>74</v>
      </c>
      <c r="H417" t="s">
        <v>74</v>
      </c>
      <c r="I417" t="s">
        <v>8450</v>
      </c>
      <c r="J417" t="s">
        <v>8451</v>
      </c>
      <c r="K417" t="s">
        <v>74</v>
      </c>
      <c r="L417" t="s">
        <v>74</v>
      </c>
      <c r="M417" t="s">
        <v>78</v>
      </c>
      <c r="N417" t="s">
        <v>245</v>
      </c>
      <c r="O417" t="s">
        <v>74</v>
      </c>
      <c r="P417" t="s">
        <v>74</v>
      </c>
      <c r="Q417" t="s">
        <v>74</v>
      </c>
      <c r="R417" t="s">
        <v>74</v>
      </c>
      <c r="S417" t="s">
        <v>74</v>
      </c>
      <c r="T417" t="s">
        <v>8452</v>
      </c>
      <c r="U417" t="s">
        <v>74</v>
      </c>
      <c r="V417" t="s">
        <v>8453</v>
      </c>
      <c r="W417" t="s">
        <v>8454</v>
      </c>
      <c r="X417" t="s">
        <v>8455</v>
      </c>
      <c r="Y417" t="s">
        <v>8456</v>
      </c>
      <c r="Z417" t="s">
        <v>8457</v>
      </c>
      <c r="AA417" t="s">
        <v>74</v>
      </c>
      <c r="AB417" t="s">
        <v>74</v>
      </c>
      <c r="AC417" t="s">
        <v>74</v>
      </c>
      <c r="AD417" t="s">
        <v>74</v>
      </c>
      <c r="AE417" t="s">
        <v>74</v>
      </c>
      <c r="AF417" t="s">
        <v>74</v>
      </c>
      <c r="AG417">
        <v>15</v>
      </c>
      <c r="AH417">
        <v>1</v>
      </c>
      <c r="AI417">
        <v>1</v>
      </c>
      <c r="AJ417">
        <v>1</v>
      </c>
      <c r="AK417">
        <v>2</v>
      </c>
      <c r="AL417" t="s">
        <v>4124</v>
      </c>
      <c r="AM417" t="s">
        <v>8458</v>
      </c>
      <c r="AN417" t="s">
        <v>8459</v>
      </c>
      <c r="AO417" t="s">
        <v>8460</v>
      </c>
      <c r="AP417" t="s">
        <v>8461</v>
      </c>
      <c r="AQ417" t="s">
        <v>74</v>
      </c>
      <c r="AR417" t="s">
        <v>8462</v>
      </c>
      <c r="AS417" t="s">
        <v>8463</v>
      </c>
      <c r="AT417" t="s">
        <v>7663</v>
      </c>
      <c r="AU417">
        <v>2020</v>
      </c>
      <c r="AV417">
        <v>45</v>
      </c>
      <c r="AW417">
        <v>6</v>
      </c>
      <c r="AX417" t="s">
        <v>74</v>
      </c>
      <c r="AY417" t="s">
        <v>74</v>
      </c>
      <c r="AZ417" t="s">
        <v>74</v>
      </c>
      <c r="BA417" t="s">
        <v>74</v>
      </c>
      <c r="BB417">
        <v>447</v>
      </c>
      <c r="BC417">
        <v>454</v>
      </c>
      <c r="BD417" t="s">
        <v>74</v>
      </c>
      <c r="BE417" t="s">
        <v>8464</v>
      </c>
      <c r="BF417" t="str">
        <f>HYPERLINK("http://dx.doi.org/10.3103/S1068373920060084","http://dx.doi.org/10.3103/S1068373920060084")</f>
        <v>http://dx.doi.org/10.3103/S1068373920060084</v>
      </c>
      <c r="BG417" t="s">
        <v>74</v>
      </c>
      <c r="BH417" t="s">
        <v>74</v>
      </c>
      <c r="BI417">
        <v>8</v>
      </c>
      <c r="BJ417" t="s">
        <v>159</v>
      </c>
      <c r="BK417" t="s">
        <v>102</v>
      </c>
      <c r="BL417" t="s">
        <v>159</v>
      </c>
      <c r="BM417" t="s">
        <v>8465</v>
      </c>
      <c r="BN417" t="s">
        <v>74</v>
      </c>
      <c r="BO417" t="s">
        <v>74</v>
      </c>
      <c r="BP417" t="s">
        <v>74</v>
      </c>
      <c r="BQ417" t="s">
        <v>74</v>
      </c>
      <c r="BR417" t="s">
        <v>106</v>
      </c>
      <c r="BS417" t="s">
        <v>8466</v>
      </c>
      <c r="BT417" t="str">
        <f>HYPERLINK("https%3A%2F%2Fwww.webofscience.com%2Fwos%2Fwoscc%2Ffull-record%2FWOS:000565241900008","View Full Record in Web of Science")</f>
        <v>View Full Record in Web of Science</v>
      </c>
    </row>
    <row r="418" spans="1:72" x14ac:dyDescent="0.15">
      <c r="A418" t="s">
        <v>72</v>
      </c>
      <c r="B418" t="s">
        <v>8467</v>
      </c>
      <c r="C418" t="s">
        <v>74</v>
      </c>
      <c r="D418" t="s">
        <v>74</v>
      </c>
      <c r="E418" t="s">
        <v>74</v>
      </c>
      <c r="F418" t="s">
        <v>8468</v>
      </c>
      <c r="G418" t="s">
        <v>74</v>
      </c>
      <c r="H418" t="s">
        <v>74</v>
      </c>
      <c r="I418" t="s">
        <v>8469</v>
      </c>
      <c r="J418" t="s">
        <v>8470</v>
      </c>
      <c r="K418" t="s">
        <v>74</v>
      </c>
      <c r="L418" t="s">
        <v>74</v>
      </c>
      <c r="M418" t="s">
        <v>78</v>
      </c>
      <c r="N418" t="s">
        <v>79</v>
      </c>
      <c r="O418" t="s">
        <v>74</v>
      </c>
      <c r="P418" t="s">
        <v>74</v>
      </c>
      <c r="Q418" t="s">
        <v>74</v>
      </c>
      <c r="R418" t="s">
        <v>74</v>
      </c>
      <c r="S418" t="s">
        <v>74</v>
      </c>
      <c r="T418" t="s">
        <v>8471</v>
      </c>
      <c r="U418" t="s">
        <v>8472</v>
      </c>
      <c r="V418" t="s">
        <v>8473</v>
      </c>
      <c r="W418" t="s">
        <v>8474</v>
      </c>
      <c r="X418" t="s">
        <v>8475</v>
      </c>
      <c r="Y418" t="s">
        <v>8476</v>
      </c>
      <c r="Z418" t="s">
        <v>8477</v>
      </c>
      <c r="AA418" t="s">
        <v>8478</v>
      </c>
      <c r="AB418" t="s">
        <v>8479</v>
      </c>
      <c r="AC418" t="s">
        <v>8480</v>
      </c>
      <c r="AD418" t="s">
        <v>8481</v>
      </c>
      <c r="AE418" t="s">
        <v>8482</v>
      </c>
      <c r="AF418" t="s">
        <v>74</v>
      </c>
      <c r="AG418">
        <v>37</v>
      </c>
      <c r="AH418">
        <v>2</v>
      </c>
      <c r="AI418">
        <v>2</v>
      </c>
      <c r="AJ418">
        <v>0</v>
      </c>
      <c r="AK418">
        <v>3</v>
      </c>
      <c r="AL418" t="s">
        <v>8483</v>
      </c>
      <c r="AM418" t="s">
        <v>8484</v>
      </c>
      <c r="AN418" t="s">
        <v>8485</v>
      </c>
      <c r="AO418" t="s">
        <v>8486</v>
      </c>
      <c r="AP418" t="s">
        <v>8487</v>
      </c>
      <c r="AQ418" t="s">
        <v>74</v>
      </c>
      <c r="AR418" t="s">
        <v>8488</v>
      </c>
      <c r="AS418" t="s">
        <v>8489</v>
      </c>
      <c r="AT418" t="s">
        <v>7663</v>
      </c>
      <c r="AU418">
        <v>2020</v>
      </c>
      <c r="AV418">
        <v>49</v>
      </c>
      <c r="AW418">
        <v>6</v>
      </c>
      <c r="AX418" t="s">
        <v>74</v>
      </c>
      <c r="AY418" t="s">
        <v>74</v>
      </c>
      <c r="AZ418" t="s">
        <v>74</v>
      </c>
      <c r="BA418" t="s">
        <v>74</v>
      </c>
      <c r="BB418">
        <v>947</v>
      </c>
      <c r="BC418">
        <v>953</v>
      </c>
      <c r="BD418" t="s">
        <v>74</v>
      </c>
      <c r="BE418" t="s">
        <v>74</v>
      </c>
      <c r="BF418" t="s">
        <v>74</v>
      </c>
      <c r="BG418" t="s">
        <v>74</v>
      </c>
      <c r="BH418" t="s">
        <v>74</v>
      </c>
      <c r="BI418">
        <v>7</v>
      </c>
      <c r="BJ418" t="s">
        <v>213</v>
      </c>
      <c r="BK418" t="s">
        <v>102</v>
      </c>
      <c r="BL418" t="s">
        <v>213</v>
      </c>
      <c r="BM418" t="s">
        <v>8490</v>
      </c>
      <c r="BN418" t="s">
        <v>74</v>
      </c>
      <c r="BO418" t="s">
        <v>74</v>
      </c>
      <c r="BP418" t="s">
        <v>74</v>
      </c>
      <c r="BQ418" t="s">
        <v>74</v>
      </c>
      <c r="BR418" t="s">
        <v>106</v>
      </c>
      <c r="BS418" t="s">
        <v>8491</v>
      </c>
      <c r="BT418" t="str">
        <f>HYPERLINK("https%3A%2F%2Fwww.webofscience.com%2Fwos%2Fwoscc%2Ffull-record%2FWOS:000559240000003","View Full Record in Web of Science")</f>
        <v>View Full Record in Web of Science</v>
      </c>
    </row>
    <row r="419" spans="1:72" x14ac:dyDescent="0.15">
      <c r="A419" t="s">
        <v>72</v>
      </c>
      <c r="B419" t="s">
        <v>8492</v>
      </c>
      <c r="C419" t="s">
        <v>74</v>
      </c>
      <c r="D419" t="s">
        <v>74</v>
      </c>
      <c r="E419" t="s">
        <v>74</v>
      </c>
      <c r="F419" t="s">
        <v>8493</v>
      </c>
      <c r="G419" t="s">
        <v>74</v>
      </c>
      <c r="H419" t="s">
        <v>74</v>
      </c>
      <c r="I419" t="s">
        <v>8494</v>
      </c>
      <c r="J419" t="s">
        <v>4538</v>
      </c>
      <c r="K419" t="s">
        <v>74</v>
      </c>
      <c r="L419" t="s">
        <v>74</v>
      </c>
      <c r="M419" t="s">
        <v>78</v>
      </c>
      <c r="N419" t="s">
        <v>79</v>
      </c>
      <c r="O419" t="s">
        <v>74</v>
      </c>
      <c r="P419" t="s">
        <v>74</v>
      </c>
      <c r="Q419" t="s">
        <v>74</v>
      </c>
      <c r="R419" t="s">
        <v>74</v>
      </c>
      <c r="S419" t="s">
        <v>74</v>
      </c>
      <c r="T419" t="s">
        <v>74</v>
      </c>
      <c r="U419" t="s">
        <v>8495</v>
      </c>
      <c r="V419" t="s">
        <v>8496</v>
      </c>
      <c r="W419" t="s">
        <v>8497</v>
      </c>
      <c r="X419" t="s">
        <v>8498</v>
      </c>
      <c r="Y419" t="s">
        <v>8499</v>
      </c>
      <c r="Z419" t="s">
        <v>8500</v>
      </c>
      <c r="AA419" t="s">
        <v>8501</v>
      </c>
      <c r="AB419" t="s">
        <v>74</v>
      </c>
      <c r="AC419" t="s">
        <v>8502</v>
      </c>
      <c r="AD419" t="s">
        <v>8503</v>
      </c>
      <c r="AE419" t="s">
        <v>8504</v>
      </c>
      <c r="AF419" t="s">
        <v>74</v>
      </c>
      <c r="AG419">
        <v>117</v>
      </c>
      <c r="AH419">
        <v>10</v>
      </c>
      <c r="AI419">
        <v>10</v>
      </c>
      <c r="AJ419">
        <v>1</v>
      </c>
      <c r="AK419">
        <v>4</v>
      </c>
      <c r="AL419" t="s">
        <v>151</v>
      </c>
      <c r="AM419" t="s">
        <v>152</v>
      </c>
      <c r="AN419" t="s">
        <v>153</v>
      </c>
      <c r="AO419" t="s">
        <v>4551</v>
      </c>
      <c r="AP419" t="s">
        <v>4552</v>
      </c>
      <c r="AQ419" t="s">
        <v>74</v>
      </c>
      <c r="AR419" t="s">
        <v>4553</v>
      </c>
      <c r="AS419" t="s">
        <v>4554</v>
      </c>
      <c r="AT419" t="s">
        <v>7663</v>
      </c>
      <c r="AU419">
        <v>2020</v>
      </c>
      <c r="AV419">
        <v>125</v>
      </c>
      <c r="AW419">
        <v>6</v>
      </c>
      <c r="AX419" t="s">
        <v>74</v>
      </c>
      <c r="AY419" t="s">
        <v>74</v>
      </c>
      <c r="AZ419" t="s">
        <v>74</v>
      </c>
      <c r="BA419" t="s">
        <v>74</v>
      </c>
      <c r="BB419" t="s">
        <v>74</v>
      </c>
      <c r="BC419" t="s">
        <v>74</v>
      </c>
      <c r="BD419" t="s">
        <v>8505</v>
      </c>
      <c r="BE419" t="s">
        <v>8506</v>
      </c>
      <c r="BF419" t="str">
        <f>HYPERLINK("http://dx.doi.org/10.1029/2019JF005447","http://dx.doi.org/10.1029/2019JF005447")</f>
        <v>http://dx.doi.org/10.1029/2019JF005447</v>
      </c>
      <c r="BG419" t="s">
        <v>74</v>
      </c>
      <c r="BH419" t="s">
        <v>74</v>
      </c>
      <c r="BI419">
        <v>24</v>
      </c>
      <c r="BJ419" t="s">
        <v>471</v>
      </c>
      <c r="BK419" t="s">
        <v>102</v>
      </c>
      <c r="BL419" t="s">
        <v>472</v>
      </c>
      <c r="BM419" t="s">
        <v>8507</v>
      </c>
      <c r="BN419" t="s">
        <v>74</v>
      </c>
      <c r="BO419" t="s">
        <v>294</v>
      </c>
      <c r="BP419" t="s">
        <v>74</v>
      </c>
      <c r="BQ419" t="s">
        <v>74</v>
      </c>
      <c r="BR419" t="s">
        <v>106</v>
      </c>
      <c r="BS419" t="s">
        <v>8508</v>
      </c>
      <c r="BT419" t="str">
        <f>HYPERLINK("https%3A%2F%2Fwww.webofscience.com%2Fwos%2Fwoscc%2Ffull-record%2FWOS:000555443200002","View Full Record in Web of Science")</f>
        <v>View Full Record in Web of Science</v>
      </c>
    </row>
    <row r="420" spans="1:72" x14ac:dyDescent="0.15">
      <c r="A420" t="s">
        <v>72</v>
      </c>
      <c r="B420" t="s">
        <v>8509</v>
      </c>
      <c r="C420" t="s">
        <v>74</v>
      </c>
      <c r="D420" t="s">
        <v>74</v>
      </c>
      <c r="E420" t="s">
        <v>74</v>
      </c>
      <c r="F420" t="s">
        <v>8510</v>
      </c>
      <c r="G420" t="s">
        <v>74</v>
      </c>
      <c r="H420" t="s">
        <v>74</v>
      </c>
      <c r="I420" t="s">
        <v>8511</v>
      </c>
      <c r="J420" t="s">
        <v>8512</v>
      </c>
      <c r="K420" t="s">
        <v>74</v>
      </c>
      <c r="L420" t="s">
        <v>74</v>
      </c>
      <c r="M420" t="s">
        <v>78</v>
      </c>
      <c r="N420" t="s">
        <v>79</v>
      </c>
      <c r="O420" t="s">
        <v>74</v>
      </c>
      <c r="P420" t="s">
        <v>74</v>
      </c>
      <c r="Q420" t="s">
        <v>74</v>
      </c>
      <c r="R420" t="s">
        <v>74</v>
      </c>
      <c r="S420" t="s">
        <v>74</v>
      </c>
      <c r="T420" t="s">
        <v>8513</v>
      </c>
      <c r="U420" t="s">
        <v>8514</v>
      </c>
      <c r="V420" t="s">
        <v>8515</v>
      </c>
      <c r="W420" t="s">
        <v>8516</v>
      </c>
      <c r="X420" t="s">
        <v>8517</v>
      </c>
      <c r="Y420" t="s">
        <v>8518</v>
      </c>
      <c r="Z420" t="s">
        <v>8519</v>
      </c>
      <c r="AA420" t="s">
        <v>74</v>
      </c>
      <c r="AB420" t="s">
        <v>8520</v>
      </c>
      <c r="AC420" t="s">
        <v>8521</v>
      </c>
      <c r="AD420" t="s">
        <v>8522</v>
      </c>
      <c r="AE420" t="s">
        <v>8523</v>
      </c>
      <c r="AF420" t="s">
        <v>74</v>
      </c>
      <c r="AG420">
        <v>58</v>
      </c>
      <c r="AH420">
        <v>1</v>
      </c>
      <c r="AI420">
        <v>1</v>
      </c>
      <c r="AJ420">
        <v>1</v>
      </c>
      <c r="AK420">
        <v>10</v>
      </c>
      <c r="AL420" t="s">
        <v>4283</v>
      </c>
      <c r="AM420" t="s">
        <v>4284</v>
      </c>
      <c r="AN420" t="s">
        <v>4285</v>
      </c>
      <c r="AO420" t="s">
        <v>74</v>
      </c>
      <c r="AP420" t="s">
        <v>8524</v>
      </c>
      <c r="AQ420" t="s">
        <v>74</v>
      </c>
      <c r="AR420" t="s">
        <v>8512</v>
      </c>
      <c r="AS420" t="s">
        <v>8525</v>
      </c>
      <c r="AT420" t="s">
        <v>7663</v>
      </c>
      <c r="AU420">
        <v>2020</v>
      </c>
      <c r="AV420">
        <v>25</v>
      </c>
      <c r="AW420">
        <v>11</v>
      </c>
      <c r="AX420" t="s">
        <v>74</v>
      </c>
      <c r="AY420" t="s">
        <v>74</v>
      </c>
      <c r="AZ420" t="s">
        <v>74</v>
      </c>
      <c r="BA420" t="s">
        <v>74</v>
      </c>
      <c r="BB420" t="s">
        <v>74</v>
      </c>
      <c r="BC420" t="s">
        <v>74</v>
      </c>
      <c r="BD420">
        <v>2519</v>
      </c>
      <c r="BE420" t="s">
        <v>8526</v>
      </c>
      <c r="BF420" t="str">
        <f>HYPERLINK("http://dx.doi.org/10.3390/molecules25112519","http://dx.doi.org/10.3390/molecules25112519")</f>
        <v>http://dx.doi.org/10.3390/molecules25112519</v>
      </c>
      <c r="BG420" t="s">
        <v>74</v>
      </c>
      <c r="BH420" t="s">
        <v>74</v>
      </c>
      <c r="BI420">
        <v>16</v>
      </c>
      <c r="BJ420" t="s">
        <v>8527</v>
      </c>
      <c r="BK420" t="s">
        <v>102</v>
      </c>
      <c r="BL420" t="s">
        <v>8528</v>
      </c>
      <c r="BM420" t="s">
        <v>8529</v>
      </c>
      <c r="BN420">
        <v>32481633</v>
      </c>
      <c r="BO420" t="s">
        <v>1778</v>
      </c>
      <c r="BP420" t="s">
        <v>74</v>
      </c>
      <c r="BQ420" t="s">
        <v>74</v>
      </c>
      <c r="BR420" t="s">
        <v>106</v>
      </c>
      <c r="BS420" t="s">
        <v>8530</v>
      </c>
      <c r="BT420" t="str">
        <f>HYPERLINK("https%3A%2F%2Fwww.webofscience.com%2Fwos%2Fwoscc%2Ffull-record%2FWOS:000553858800056","View Full Record in Web of Science")</f>
        <v>View Full Record in Web of Science</v>
      </c>
    </row>
    <row r="421" spans="1:72" x14ac:dyDescent="0.15">
      <c r="A421" t="s">
        <v>72</v>
      </c>
      <c r="B421" t="s">
        <v>8531</v>
      </c>
      <c r="C421" t="s">
        <v>74</v>
      </c>
      <c r="D421" t="s">
        <v>74</v>
      </c>
      <c r="E421" t="s">
        <v>74</v>
      </c>
      <c r="F421" t="s">
        <v>8532</v>
      </c>
      <c r="G421" t="s">
        <v>74</v>
      </c>
      <c r="H421" t="s">
        <v>74</v>
      </c>
      <c r="I421" t="s">
        <v>8533</v>
      </c>
      <c r="J421" t="s">
        <v>4343</v>
      </c>
      <c r="K421" t="s">
        <v>74</v>
      </c>
      <c r="L421" t="s">
        <v>74</v>
      </c>
      <c r="M421" t="s">
        <v>78</v>
      </c>
      <c r="N421" t="s">
        <v>79</v>
      </c>
      <c r="O421" t="s">
        <v>74</v>
      </c>
      <c r="P421" t="s">
        <v>74</v>
      </c>
      <c r="Q421" t="s">
        <v>74</v>
      </c>
      <c r="R421" t="s">
        <v>74</v>
      </c>
      <c r="S421" t="s">
        <v>74</v>
      </c>
      <c r="T421" t="s">
        <v>8534</v>
      </c>
      <c r="U421" t="s">
        <v>8535</v>
      </c>
      <c r="V421" t="s">
        <v>8536</v>
      </c>
      <c r="W421" t="s">
        <v>8537</v>
      </c>
      <c r="X421" t="s">
        <v>8538</v>
      </c>
      <c r="Y421" t="s">
        <v>8539</v>
      </c>
      <c r="Z421" t="s">
        <v>8540</v>
      </c>
      <c r="AA421" t="s">
        <v>74</v>
      </c>
      <c r="AB421" t="s">
        <v>8541</v>
      </c>
      <c r="AC421" t="s">
        <v>8542</v>
      </c>
      <c r="AD421" t="s">
        <v>8543</v>
      </c>
      <c r="AE421" t="s">
        <v>8544</v>
      </c>
      <c r="AF421" t="s">
        <v>74</v>
      </c>
      <c r="AG421">
        <v>44</v>
      </c>
      <c r="AH421">
        <v>21</v>
      </c>
      <c r="AI421">
        <v>21</v>
      </c>
      <c r="AJ421">
        <v>0</v>
      </c>
      <c r="AK421">
        <v>8</v>
      </c>
      <c r="AL421" t="s">
        <v>4283</v>
      </c>
      <c r="AM421" t="s">
        <v>4284</v>
      </c>
      <c r="AN421" t="s">
        <v>4285</v>
      </c>
      <c r="AO421" t="s">
        <v>74</v>
      </c>
      <c r="AP421" t="s">
        <v>4356</v>
      </c>
      <c r="AQ421" t="s">
        <v>74</v>
      </c>
      <c r="AR421" t="s">
        <v>4357</v>
      </c>
      <c r="AS421" t="s">
        <v>4358</v>
      </c>
      <c r="AT421" t="s">
        <v>7663</v>
      </c>
      <c r="AU421">
        <v>2020</v>
      </c>
      <c r="AV421">
        <v>12</v>
      </c>
      <c r="AW421">
        <v>12</v>
      </c>
      <c r="AX421" t="s">
        <v>74</v>
      </c>
      <c r="AY421" t="s">
        <v>74</v>
      </c>
      <c r="AZ421" t="s">
        <v>74</v>
      </c>
      <c r="BA421" t="s">
        <v>74</v>
      </c>
      <c r="BB421" t="s">
        <v>74</v>
      </c>
      <c r="BC421" t="s">
        <v>74</v>
      </c>
      <c r="BD421">
        <v>2026</v>
      </c>
      <c r="BE421" t="s">
        <v>8545</v>
      </c>
      <c r="BF421" t="str">
        <f>HYPERLINK("http://dx.doi.org/10.3390/rs12122026","http://dx.doi.org/10.3390/rs12122026")</f>
        <v>http://dx.doi.org/10.3390/rs12122026</v>
      </c>
      <c r="BG421" t="s">
        <v>74</v>
      </c>
      <c r="BH421" t="s">
        <v>74</v>
      </c>
      <c r="BI421">
        <v>18</v>
      </c>
      <c r="BJ421" t="s">
        <v>4360</v>
      </c>
      <c r="BK421" t="s">
        <v>102</v>
      </c>
      <c r="BL421" t="s">
        <v>4361</v>
      </c>
      <c r="BM421" t="s">
        <v>8546</v>
      </c>
      <c r="BN421" t="s">
        <v>74</v>
      </c>
      <c r="BO421" t="s">
        <v>2993</v>
      </c>
      <c r="BP421" t="s">
        <v>74</v>
      </c>
      <c r="BQ421" t="s">
        <v>74</v>
      </c>
      <c r="BR421" t="s">
        <v>106</v>
      </c>
      <c r="BS421" t="s">
        <v>8547</v>
      </c>
      <c r="BT421" t="str">
        <f>HYPERLINK("https%3A%2F%2Fwww.webofscience.com%2Fwos%2Fwoscc%2Ffull-record%2FWOS:000554717400001","View Full Record in Web of Science")</f>
        <v>View Full Record in Web of Science</v>
      </c>
    </row>
    <row r="422" spans="1:72" x14ac:dyDescent="0.15">
      <c r="A422" t="s">
        <v>72</v>
      </c>
      <c r="B422" t="s">
        <v>8548</v>
      </c>
      <c r="C422" t="s">
        <v>74</v>
      </c>
      <c r="D422" t="s">
        <v>74</v>
      </c>
      <c r="E422" t="s">
        <v>74</v>
      </c>
      <c r="F422" t="s">
        <v>8549</v>
      </c>
      <c r="G422" t="s">
        <v>74</v>
      </c>
      <c r="H422" t="s">
        <v>74</v>
      </c>
      <c r="I422" t="s">
        <v>8550</v>
      </c>
      <c r="J422" t="s">
        <v>4343</v>
      </c>
      <c r="K422" t="s">
        <v>74</v>
      </c>
      <c r="L422" t="s">
        <v>74</v>
      </c>
      <c r="M422" t="s">
        <v>78</v>
      </c>
      <c r="N422" t="s">
        <v>79</v>
      </c>
      <c r="O422" t="s">
        <v>74</v>
      </c>
      <c r="P422" t="s">
        <v>74</v>
      </c>
      <c r="Q422" t="s">
        <v>74</v>
      </c>
      <c r="R422" t="s">
        <v>74</v>
      </c>
      <c r="S422" t="s">
        <v>74</v>
      </c>
      <c r="T422" t="s">
        <v>8551</v>
      </c>
      <c r="U422" t="s">
        <v>8552</v>
      </c>
      <c r="V422" t="s">
        <v>8553</v>
      </c>
      <c r="W422" t="s">
        <v>8554</v>
      </c>
      <c r="X422" t="s">
        <v>8555</v>
      </c>
      <c r="Y422" t="s">
        <v>8556</v>
      </c>
      <c r="Z422" t="s">
        <v>8557</v>
      </c>
      <c r="AA422" t="s">
        <v>8558</v>
      </c>
      <c r="AB422" t="s">
        <v>8559</v>
      </c>
      <c r="AC422" t="s">
        <v>8560</v>
      </c>
      <c r="AD422" t="s">
        <v>8561</v>
      </c>
      <c r="AE422" t="s">
        <v>8562</v>
      </c>
      <c r="AF422" t="s">
        <v>74</v>
      </c>
      <c r="AG422">
        <v>33</v>
      </c>
      <c r="AH422">
        <v>30</v>
      </c>
      <c r="AI422">
        <v>33</v>
      </c>
      <c r="AJ422">
        <v>1</v>
      </c>
      <c r="AK422">
        <v>16</v>
      </c>
      <c r="AL422" t="s">
        <v>4283</v>
      </c>
      <c r="AM422" t="s">
        <v>4284</v>
      </c>
      <c r="AN422" t="s">
        <v>4285</v>
      </c>
      <c r="AO422" t="s">
        <v>74</v>
      </c>
      <c r="AP422" t="s">
        <v>4356</v>
      </c>
      <c r="AQ422" t="s">
        <v>74</v>
      </c>
      <c r="AR422" t="s">
        <v>4357</v>
      </c>
      <c r="AS422" t="s">
        <v>4358</v>
      </c>
      <c r="AT422" t="s">
        <v>7663</v>
      </c>
      <c r="AU422">
        <v>2020</v>
      </c>
      <c r="AV422">
        <v>12</v>
      </c>
      <c r="AW422">
        <v>12</v>
      </c>
      <c r="AX422" t="s">
        <v>74</v>
      </c>
      <c r="AY422" t="s">
        <v>74</v>
      </c>
      <c r="AZ422" t="s">
        <v>74</v>
      </c>
      <c r="BA422" t="s">
        <v>74</v>
      </c>
      <c r="BB422" t="s">
        <v>74</v>
      </c>
      <c r="BC422" t="s">
        <v>74</v>
      </c>
      <c r="BD422">
        <v>1957</v>
      </c>
      <c r="BE422" t="s">
        <v>8563</v>
      </c>
      <c r="BF422" t="str">
        <f>HYPERLINK("http://dx.doi.org/10.3390/rs12121957","http://dx.doi.org/10.3390/rs12121957")</f>
        <v>http://dx.doi.org/10.3390/rs12121957</v>
      </c>
      <c r="BG422" t="s">
        <v>74</v>
      </c>
      <c r="BH422" t="s">
        <v>74</v>
      </c>
      <c r="BI422">
        <v>16</v>
      </c>
      <c r="BJ422" t="s">
        <v>4360</v>
      </c>
      <c r="BK422" t="s">
        <v>102</v>
      </c>
      <c r="BL422" t="s">
        <v>4361</v>
      </c>
      <c r="BM422" t="s">
        <v>8564</v>
      </c>
      <c r="BN422" t="s">
        <v>74</v>
      </c>
      <c r="BO422" t="s">
        <v>8565</v>
      </c>
      <c r="BP422" t="s">
        <v>74</v>
      </c>
      <c r="BQ422" t="s">
        <v>74</v>
      </c>
      <c r="BR422" t="s">
        <v>106</v>
      </c>
      <c r="BS422" t="s">
        <v>8566</v>
      </c>
      <c r="BT422" t="str">
        <f>HYPERLINK("https%3A%2F%2Fwww.webofscience.com%2Fwos%2Fwoscc%2Ffull-record%2FWOS:000554709400001","View Full Record in Web of Science")</f>
        <v>View Full Record in Web of Science</v>
      </c>
    </row>
    <row r="423" spans="1:72" x14ac:dyDescent="0.15">
      <c r="A423" t="s">
        <v>72</v>
      </c>
      <c r="B423" t="s">
        <v>8567</v>
      </c>
      <c r="C423" t="s">
        <v>74</v>
      </c>
      <c r="D423" t="s">
        <v>74</v>
      </c>
      <c r="E423" t="s">
        <v>74</v>
      </c>
      <c r="F423" t="s">
        <v>8568</v>
      </c>
      <c r="G423" t="s">
        <v>74</v>
      </c>
      <c r="H423" t="s">
        <v>74</v>
      </c>
      <c r="I423" t="s">
        <v>8569</v>
      </c>
      <c r="J423" t="s">
        <v>8570</v>
      </c>
      <c r="K423" t="s">
        <v>74</v>
      </c>
      <c r="L423" t="s">
        <v>74</v>
      </c>
      <c r="M423" t="s">
        <v>8571</v>
      </c>
      <c r="N423" t="s">
        <v>79</v>
      </c>
      <c r="O423" t="s">
        <v>74</v>
      </c>
      <c r="P423" t="s">
        <v>74</v>
      </c>
      <c r="Q423" t="s">
        <v>74</v>
      </c>
      <c r="R423" t="s">
        <v>74</v>
      </c>
      <c r="S423" t="s">
        <v>74</v>
      </c>
      <c r="T423" t="s">
        <v>8572</v>
      </c>
      <c r="U423" t="s">
        <v>74</v>
      </c>
      <c r="V423" t="s">
        <v>8573</v>
      </c>
      <c r="W423" t="s">
        <v>8574</v>
      </c>
      <c r="X423" t="s">
        <v>8575</v>
      </c>
      <c r="Y423" t="s">
        <v>8576</v>
      </c>
      <c r="Z423" t="s">
        <v>8577</v>
      </c>
      <c r="AA423" t="s">
        <v>74</v>
      </c>
      <c r="AB423" t="s">
        <v>74</v>
      </c>
      <c r="AC423" t="s">
        <v>74</v>
      </c>
      <c r="AD423" t="s">
        <v>74</v>
      </c>
      <c r="AE423" t="s">
        <v>74</v>
      </c>
      <c r="AF423" t="s">
        <v>74</v>
      </c>
      <c r="AG423">
        <v>27</v>
      </c>
      <c r="AH423">
        <v>0</v>
      </c>
      <c r="AI423">
        <v>0</v>
      </c>
      <c r="AJ423">
        <v>1</v>
      </c>
      <c r="AK423">
        <v>2</v>
      </c>
      <c r="AL423" t="s">
        <v>8578</v>
      </c>
      <c r="AM423" t="s">
        <v>8579</v>
      </c>
      <c r="AN423" t="s">
        <v>8580</v>
      </c>
      <c r="AO423" t="s">
        <v>8581</v>
      </c>
      <c r="AP423" t="s">
        <v>74</v>
      </c>
      <c r="AQ423" t="s">
        <v>74</v>
      </c>
      <c r="AR423" t="s">
        <v>8582</v>
      </c>
      <c r="AS423" t="s">
        <v>8583</v>
      </c>
      <c r="AT423" t="s">
        <v>7663</v>
      </c>
      <c r="AU423">
        <v>2020</v>
      </c>
      <c r="AV423">
        <v>21</v>
      </c>
      <c r="AW423">
        <v>33</v>
      </c>
      <c r="AX423" t="s">
        <v>74</v>
      </c>
      <c r="AY423" t="s">
        <v>74</v>
      </c>
      <c r="AZ423" t="s">
        <v>74</v>
      </c>
      <c r="BA423" t="s">
        <v>74</v>
      </c>
      <c r="BB423">
        <v>173</v>
      </c>
      <c r="BC423">
        <v>198</v>
      </c>
      <c r="BD423" t="s">
        <v>74</v>
      </c>
      <c r="BE423" t="s">
        <v>74</v>
      </c>
      <c r="BF423" t="s">
        <v>74</v>
      </c>
      <c r="BG423" t="s">
        <v>74</v>
      </c>
      <c r="BH423" t="s">
        <v>74</v>
      </c>
      <c r="BI423">
        <v>26</v>
      </c>
      <c r="BJ423" t="s">
        <v>8404</v>
      </c>
      <c r="BK423" t="s">
        <v>2625</v>
      </c>
      <c r="BL423" t="s">
        <v>2624</v>
      </c>
      <c r="BM423" t="s">
        <v>8584</v>
      </c>
      <c r="BN423" t="s">
        <v>74</v>
      </c>
      <c r="BO423" t="s">
        <v>74</v>
      </c>
      <c r="BP423" t="s">
        <v>74</v>
      </c>
      <c r="BQ423" t="s">
        <v>74</v>
      </c>
      <c r="BR423" t="s">
        <v>106</v>
      </c>
      <c r="BS423" t="s">
        <v>8585</v>
      </c>
      <c r="BT423" t="str">
        <f>HYPERLINK("https%3A%2F%2Fwww.webofscience.com%2Fwos%2Fwoscc%2Ffull-record%2FWOS:000553849200008","View Full Record in Web of Science")</f>
        <v>View Full Record in Web of Science</v>
      </c>
    </row>
    <row r="424" spans="1:72" x14ac:dyDescent="0.15">
      <c r="A424" t="s">
        <v>72</v>
      </c>
      <c r="B424" t="s">
        <v>8586</v>
      </c>
      <c r="C424" t="s">
        <v>74</v>
      </c>
      <c r="D424" t="s">
        <v>74</v>
      </c>
      <c r="E424" t="s">
        <v>74</v>
      </c>
      <c r="F424" t="s">
        <v>8587</v>
      </c>
      <c r="G424" t="s">
        <v>74</v>
      </c>
      <c r="H424" t="s">
        <v>74</v>
      </c>
      <c r="I424" t="s">
        <v>8588</v>
      </c>
      <c r="J424" t="s">
        <v>8589</v>
      </c>
      <c r="K424" t="s">
        <v>74</v>
      </c>
      <c r="L424" t="s">
        <v>74</v>
      </c>
      <c r="M424" t="s">
        <v>78</v>
      </c>
      <c r="N424" t="s">
        <v>79</v>
      </c>
      <c r="O424" t="s">
        <v>74</v>
      </c>
      <c r="P424" t="s">
        <v>74</v>
      </c>
      <c r="Q424" t="s">
        <v>74</v>
      </c>
      <c r="R424" t="s">
        <v>74</v>
      </c>
      <c r="S424" t="s">
        <v>74</v>
      </c>
      <c r="T424" t="s">
        <v>8590</v>
      </c>
      <c r="U424" t="s">
        <v>8591</v>
      </c>
      <c r="V424" t="s">
        <v>8592</v>
      </c>
      <c r="W424" t="s">
        <v>8593</v>
      </c>
      <c r="X424" t="s">
        <v>8594</v>
      </c>
      <c r="Y424" t="s">
        <v>8595</v>
      </c>
      <c r="Z424" t="s">
        <v>8596</v>
      </c>
      <c r="AA424" t="s">
        <v>8597</v>
      </c>
      <c r="AB424" t="s">
        <v>8598</v>
      </c>
      <c r="AC424" t="s">
        <v>8599</v>
      </c>
      <c r="AD424" t="s">
        <v>8600</v>
      </c>
      <c r="AE424" t="s">
        <v>8601</v>
      </c>
      <c r="AF424" t="s">
        <v>74</v>
      </c>
      <c r="AG424">
        <v>42</v>
      </c>
      <c r="AH424">
        <v>3</v>
      </c>
      <c r="AI424">
        <v>4</v>
      </c>
      <c r="AJ424">
        <v>1</v>
      </c>
      <c r="AK424">
        <v>12</v>
      </c>
      <c r="AL424" t="s">
        <v>4283</v>
      </c>
      <c r="AM424" t="s">
        <v>4284</v>
      </c>
      <c r="AN424" t="s">
        <v>4285</v>
      </c>
      <c r="AO424" t="s">
        <v>74</v>
      </c>
      <c r="AP424" t="s">
        <v>8602</v>
      </c>
      <c r="AQ424" t="s">
        <v>74</v>
      </c>
      <c r="AR424" t="s">
        <v>8603</v>
      </c>
      <c r="AS424" t="s">
        <v>8604</v>
      </c>
      <c r="AT424" t="s">
        <v>7663</v>
      </c>
      <c r="AU424">
        <v>2020</v>
      </c>
      <c r="AV424">
        <v>11</v>
      </c>
      <c r="AW424">
        <v>6</v>
      </c>
      <c r="AX424" t="s">
        <v>74</v>
      </c>
      <c r="AY424" t="s">
        <v>74</v>
      </c>
      <c r="AZ424" t="s">
        <v>74</v>
      </c>
      <c r="BA424" t="s">
        <v>74</v>
      </c>
      <c r="BB424" t="s">
        <v>74</v>
      </c>
      <c r="BC424" t="s">
        <v>74</v>
      </c>
      <c r="BD424">
        <v>576</v>
      </c>
      <c r="BE424" t="s">
        <v>8605</v>
      </c>
      <c r="BF424" t="str">
        <f>HYPERLINK("http://dx.doi.org/10.3390/atmos11060576","http://dx.doi.org/10.3390/atmos11060576")</f>
        <v>http://dx.doi.org/10.3390/atmos11060576</v>
      </c>
      <c r="BG424" t="s">
        <v>74</v>
      </c>
      <c r="BH424" t="s">
        <v>74</v>
      </c>
      <c r="BI424">
        <v>17</v>
      </c>
      <c r="BJ424" t="s">
        <v>2068</v>
      </c>
      <c r="BK424" t="s">
        <v>102</v>
      </c>
      <c r="BL424" t="s">
        <v>2069</v>
      </c>
      <c r="BM424" t="s">
        <v>8606</v>
      </c>
      <c r="BN424" t="s">
        <v>74</v>
      </c>
      <c r="BO424" t="s">
        <v>105</v>
      </c>
      <c r="BP424" t="s">
        <v>74</v>
      </c>
      <c r="BQ424" t="s">
        <v>74</v>
      </c>
      <c r="BR424" t="s">
        <v>106</v>
      </c>
      <c r="BS424" t="s">
        <v>8607</v>
      </c>
      <c r="BT424" t="str">
        <f>HYPERLINK("https%3A%2F%2Fwww.webofscience.com%2Fwos%2Fwoscc%2Ffull-record%2FWOS:000553969100001","View Full Record in Web of Science")</f>
        <v>View Full Record in Web of Science</v>
      </c>
    </row>
    <row r="425" spans="1:72" x14ac:dyDescent="0.15">
      <c r="A425" t="s">
        <v>72</v>
      </c>
      <c r="B425" t="s">
        <v>8608</v>
      </c>
      <c r="C425" t="s">
        <v>74</v>
      </c>
      <c r="D425" t="s">
        <v>74</v>
      </c>
      <c r="E425" t="s">
        <v>74</v>
      </c>
      <c r="F425" t="s">
        <v>8609</v>
      </c>
      <c r="G425" t="s">
        <v>74</v>
      </c>
      <c r="H425" t="s">
        <v>74</v>
      </c>
      <c r="I425" t="s">
        <v>8610</v>
      </c>
      <c r="J425" t="s">
        <v>8589</v>
      </c>
      <c r="K425" t="s">
        <v>74</v>
      </c>
      <c r="L425" t="s">
        <v>74</v>
      </c>
      <c r="M425" t="s">
        <v>78</v>
      </c>
      <c r="N425" t="s">
        <v>79</v>
      </c>
      <c r="O425" t="s">
        <v>74</v>
      </c>
      <c r="P425" t="s">
        <v>74</v>
      </c>
      <c r="Q425" t="s">
        <v>74</v>
      </c>
      <c r="R425" t="s">
        <v>74</v>
      </c>
      <c r="S425" t="s">
        <v>74</v>
      </c>
      <c r="T425" t="s">
        <v>8611</v>
      </c>
      <c r="U425" t="s">
        <v>8612</v>
      </c>
      <c r="V425" t="s">
        <v>8613</v>
      </c>
      <c r="W425" t="s">
        <v>8614</v>
      </c>
      <c r="X425" t="s">
        <v>8615</v>
      </c>
      <c r="Y425" t="s">
        <v>8616</v>
      </c>
      <c r="Z425" t="s">
        <v>8617</v>
      </c>
      <c r="AA425" t="s">
        <v>8618</v>
      </c>
      <c r="AB425" t="s">
        <v>8619</v>
      </c>
      <c r="AC425" t="s">
        <v>8620</v>
      </c>
      <c r="AD425" t="s">
        <v>8621</v>
      </c>
      <c r="AE425" t="s">
        <v>8622</v>
      </c>
      <c r="AF425" t="s">
        <v>74</v>
      </c>
      <c r="AG425">
        <v>61</v>
      </c>
      <c r="AH425">
        <v>14</v>
      </c>
      <c r="AI425">
        <v>14</v>
      </c>
      <c r="AJ425">
        <v>6</v>
      </c>
      <c r="AK425">
        <v>30</v>
      </c>
      <c r="AL425" t="s">
        <v>4283</v>
      </c>
      <c r="AM425" t="s">
        <v>4284</v>
      </c>
      <c r="AN425" t="s">
        <v>4285</v>
      </c>
      <c r="AO425" t="s">
        <v>74</v>
      </c>
      <c r="AP425" t="s">
        <v>8602</v>
      </c>
      <c r="AQ425" t="s">
        <v>74</v>
      </c>
      <c r="AR425" t="s">
        <v>8603</v>
      </c>
      <c r="AS425" t="s">
        <v>8604</v>
      </c>
      <c r="AT425" t="s">
        <v>7663</v>
      </c>
      <c r="AU425">
        <v>2020</v>
      </c>
      <c r="AV425">
        <v>11</v>
      </c>
      <c r="AW425">
        <v>6</v>
      </c>
      <c r="AX425" t="s">
        <v>74</v>
      </c>
      <c r="AY425" t="s">
        <v>74</v>
      </c>
      <c r="AZ425" t="s">
        <v>74</v>
      </c>
      <c r="BA425" t="s">
        <v>74</v>
      </c>
      <c r="BB425" t="s">
        <v>74</v>
      </c>
      <c r="BC425" t="s">
        <v>74</v>
      </c>
      <c r="BD425">
        <v>556</v>
      </c>
      <c r="BE425" t="s">
        <v>8623</v>
      </c>
      <c r="BF425" t="str">
        <f>HYPERLINK("http://dx.doi.org/10.3390/atmos11060556","http://dx.doi.org/10.3390/atmos11060556")</f>
        <v>http://dx.doi.org/10.3390/atmos11060556</v>
      </c>
      <c r="BG425" t="s">
        <v>74</v>
      </c>
      <c r="BH425" t="s">
        <v>74</v>
      </c>
      <c r="BI425">
        <v>19</v>
      </c>
      <c r="BJ425" t="s">
        <v>2068</v>
      </c>
      <c r="BK425" t="s">
        <v>102</v>
      </c>
      <c r="BL425" t="s">
        <v>2069</v>
      </c>
      <c r="BM425" t="s">
        <v>8624</v>
      </c>
      <c r="BN425" t="s">
        <v>74</v>
      </c>
      <c r="BO425" t="s">
        <v>1352</v>
      </c>
      <c r="BP425" t="s">
        <v>74</v>
      </c>
      <c r="BQ425" t="s">
        <v>74</v>
      </c>
      <c r="BR425" t="s">
        <v>106</v>
      </c>
      <c r="BS425" t="s">
        <v>8625</v>
      </c>
      <c r="BT425" t="str">
        <f>HYPERLINK("https%3A%2F%2Fwww.webofscience.com%2Fwos%2Fwoscc%2Ffull-record%2FWOS:000553978800001","View Full Record in Web of Science")</f>
        <v>View Full Record in Web of Science</v>
      </c>
    </row>
    <row r="426" spans="1:72" x14ac:dyDescent="0.15">
      <c r="A426" t="s">
        <v>72</v>
      </c>
      <c r="B426" t="s">
        <v>8626</v>
      </c>
      <c r="C426" t="s">
        <v>74</v>
      </c>
      <c r="D426" t="s">
        <v>74</v>
      </c>
      <c r="E426" t="s">
        <v>74</v>
      </c>
      <c r="F426" t="s">
        <v>8627</v>
      </c>
      <c r="G426" t="s">
        <v>74</v>
      </c>
      <c r="H426" t="s">
        <v>74</v>
      </c>
      <c r="I426" t="s">
        <v>8628</v>
      </c>
      <c r="J426" t="s">
        <v>8629</v>
      </c>
      <c r="K426" t="s">
        <v>74</v>
      </c>
      <c r="L426" t="s">
        <v>74</v>
      </c>
      <c r="M426" t="s">
        <v>78</v>
      </c>
      <c r="N426" t="s">
        <v>79</v>
      </c>
      <c r="O426" t="s">
        <v>74</v>
      </c>
      <c r="P426" t="s">
        <v>74</v>
      </c>
      <c r="Q426" t="s">
        <v>74</v>
      </c>
      <c r="R426" t="s">
        <v>74</v>
      </c>
      <c r="S426" t="s">
        <v>74</v>
      </c>
      <c r="T426" t="s">
        <v>8630</v>
      </c>
      <c r="U426" t="s">
        <v>8631</v>
      </c>
      <c r="V426" t="s">
        <v>8632</v>
      </c>
      <c r="W426" t="s">
        <v>8633</v>
      </c>
      <c r="X426" t="s">
        <v>74</v>
      </c>
      <c r="Y426" t="s">
        <v>8634</v>
      </c>
      <c r="Z426" t="s">
        <v>8635</v>
      </c>
      <c r="AA426" t="s">
        <v>74</v>
      </c>
      <c r="AB426" t="s">
        <v>8636</v>
      </c>
      <c r="AC426" t="s">
        <v>74</v>
      </c>
      <c r="AD426" t="s">
        <v>74</v>
      </c>
      <c r="AE426" t="s">
        <v>74</v>
      </c>
      <c r="AF426" t="s">
        <v>74</v>
      </c>
      <c r="AG426">
        <v>30</v>
      </c>
      <c r="AH426">
        <v>3</v>
      </c>
      <c r="AI426">
        <v>3</v>
      </c>
      <c r="AJ426">
        <v>1</v>
      </c>
      <c r="AK426">
        <v>3</v>
      </c>
      <c r="AL426" t="s">
        <v>284</v>
      </c>
      <c r="AM426" t="s">
        <v>285</v>
      </c>
      <c r="AN426" t="s">
        <v>286</v>
      </c>
      <c r="AO426" t="s">
        <v>8637</v>
      </c>
      <c r="AP426" t="s">
        <v>8638</v>
      </c>
      <c r="AQ426" t="s">
        <v>74</v>
      </c>
      <c r="AR426" t="s">
        <v>8639</v>
      </c>
      <c r="AS426" t="s">
        <v>8640</v>
      </c>
      <c r="AT426" t="s">
        <v>7663</v>
      </c>
      <c r="AU426">
        <v>2020</v>
      </c>
      <c r="AV426">
        <v>174</v>
      </c>
      <c r="AW426" t="s">
        <v>74</v>
      </c>
      <c r="AX426" t="s">
        <v>74</v>
      </c>
      <c r="AY426" t="s">
        <v>74</v>
      </c>
      <c r="AZ426" t="s">
        <v>74</v>
      </c>
      <c r="BA426" t="s">
        <v>74</v>
      </c>
      <c r="BB426" t="s">
        <v>74</v>
      </c>
      <c r="BC426" t="s">
        <v>74</v>
      </c>
      <c r="BD426">
        <v>103041</v>
      </c>
      <c r="BE426" t="s">
        <v>8641</v>
      </c>
      <c r="BF426" t="str">
        <f>HYPERLINK("http://dx.doi.org/10.1016/j.coldregions.2020.103041","http://dx.doi.org/10.1016/j.coldregions.2020.103041")</f>
        <v>http://dx.doi.org/10.1016/j.coldregions.2020.103041</v>
      </c>
      <c r="BG426" t="s">
        <v>74</v>
      </c>
      <c r="BH426" t="s">
        <v>74</v>
      </c>
      <c r="BI426">
        <v>21</v>
      </c>
      <c r="BJ426" t="s">
        <v>8642</v>
      </c>
      <c r="BK426" t="s">
        <v>102</v>
      </c>
      <c r="BL426" t="s">
        <v>8643</v>
      </c>
      <c r="BM426" t="s">
        <v>8644</v>
      </c>
      <c r="BN426" t="s">
        <v>74</v>
      </c>
      <c r="BO426" t="s">
        <v>74</v>
      </c>
      <c r="BP426" t="s">
        <v>74</v>
      </c>
      <c r="BQ426" t="s">
        <v>74</v>
      </c>
      <c r="BR426" t="s">
        <v>106</v>
      </c>
      <c r="BS426" t="s">
        <v>8645</v>
      </c>
      <c r="BT426" t="str">
        <f>HYPERLINK("https%3A%2F%2Fwww.webofscience.com%2Fwos%2Fwoscc%2Ffull-record%2FWOS:000531491700014","View Full Record in Web of Science")</f>
        <v>View Full Record in Web of Science</v>
      </c>
    </row>
    <row r="427" spans="1:72" x14ac:dyDescent="0.15">
      <c r="A427" t="s">
        <v>72</v>
      </c>
      <c r="B427" t="s">
        <v>8646</v>
      </c>
      <c r="C427" t="s">
        <v>74</v>
      </c>
      <c r="D427" t="s">
        <v>74</v>
      </c>
      <c r="E427" t="s">
        <v>74</v>
      </c>
      <c r="F427" t="s">
        <v>8647</v>
      </c>
      <c r="G427" t="s">
        <v>74</v>
      </c>
      <c r="H427" t="s">
        <v>74</v>
      </c>
      <c r="I427" t="s">
        <v>8648</v>
      </c>
      <c r="J427" t="s">
        <v>8629</v>
      </c>
      <c r="K427" t="s">
        <v>74</v>
      </c>
      <c r="L427" t="s">
        <v>74</v>
      </c>
      <c r="M427" t="s">
        <v>78</v>
      </c>
      <c r="N427" t="s">
        <v>79</v>
      </c>
      <c r="O427" t="s">
        <v>74</v>
      </c>
      <c r="P427" t="s">
        <v>74</v>
      </c>
      <c r="Q427" t="s">
        <v>74</v>
      </c>
      <c r="R427" t="s">
        <v>74</v>
      </c>
      <c r="S427" t="s">
        <v>74</v>
      </c>
      <c r="T427" t="s">
        <v>8649</v>
      </c>
      <c r="U427" t="s">
        <v>8650</v>
      </c>
      <c r="V427" t="s">
        <v>8651</v>
      </c>
      <c r="W427" t="s">
        <v>8652</v>
      </c>
      <c r="X427" t="s">
        <v>8653</v>
      </c>
      <c r="Y427" t="s">
        <v>8654</v>
      </c>
      <c r="Z427" t="s">
        <v>8655</v>
      </c>
      <c r="AA427" t="s">
        <v>74</v>
      </c>
      <c r="AB427" t="s">
        <v>8656</v>
      </c>
      <c r="AC427" t="s">
        <v>8657</v>
      </c>
      <c r="AD427" t="s">
        <v>8658</v>
      </c>
      <c r="AE427" t="s">
        <v>8659</v>
      </c>
      <c r="AF427" t="s">
        <v>74</v>
      </c>
      <c r="AG427">
        <v>50</v>
      </c>
      <c r="AH427">
        <v>18</v>
      </c>
      <c r="AI427">
        <v>21</v>
      </c>
      <c r="AJ427">
        <v>1</v>
      </c>
      <c r="AK427">
        <v>9</v>
      </c>
      <c r="AL427" t="s">
        <v>284</v>
      </c>
      <c r="AM427" t="s">
        <v>285</v>
      </c>
      <c r="AN427" t="s">
        <v>713</v>
      </c>
      <c r="AO427" t="s">
        <v>8637</v>
      </c>
      <c r="AP427" t="s">
        <v>8638</v>
      </c>
      <c r="AQ427" t="s">
        <v>74</v>
      </c>
      <c r="AR427" t="s">
        <v>8639</v>
      </c>
      <c r="AS427" t="s">
        <v>8640</v>
      </c>
      <c r="AT427" t="s">
        <v>7663</v>
      </c>
      <c r="AU427">
        <v>2020</v>
      </c>
      <c r="AV427">
        <v>174</v>
      </c>
      <c r="AW427" t="s">
        <v>74</v>
      </c>
      <c r="AX427" t="s">
        <v>74</v>
      </c>
      <c r="AY427" t="s">
        <v>74</v>
      </c>
      <c r="AZ427" t="s">
        <v>74</v>
      </c>
      <c r="BA427" t="s">
        <v>74</v>
      </c>
      <c r="BB427" t="s">
        <v>74</v>
      </c>
      <c r="BC427" t="s">
        <v>74</v>
      </c>
      <c r="BD427">
        <v>102924</v>
      </c>
      <c r="BE427" t="s">
        <v>8660</v>
      </c>
      <c r="BF427" t="str">
        <f>HYPERLINK("http://dx.doi.org/10.1016/j.coldregions.2019.102924","http://dx.doi.org/10.1016/j.coldregions.2019.102924")</f>
        <v>http://dx.doi.org/10.1016/j.coldregions.2019.102924</v>
      </c>
      <c r="BG427" t="s">
        <v>74</v>
      </c>
      <c r="BH427" t="s">
        <v>74</v>
      </c>
      <c r="BI427">
        <v>16</v>
      </c>
      <c r="BJ427" t="s">
        <v>8642</v>
      </c>
      <c r="BK427" t="s">
        <v>102</v>
      </c>
      <c r="BL427" t="s">
        <v>8643</v>
      </c>
      <c r="BM427" t="s">
        <v>8644</v>
      </c>
      <c r="BN427" t="s">
        <v>74</v>
      </c>
      <c r="BO427" t="s">
        <v>976</v>
      </c>
      <c r="BP427" t="s">
        <v>74</v>
      </c>
      <c r="BQ427" t="s">
        <v>74</v>
      </c>
      <c r="BR427" t="s">
        <v>106</v>
      </c>
      <c r="BS427" t="s">
        <v>8661</v>
      </c>
      <c r="BT427" t="str">
        <f>HYPERLINK("https%3A%2F%2Fwww.webofscience.com%2Fwos%2Fwoscc%2Ffull-record%2FWOS:000531491700001","View Full Record in Web of Science")</f>
        <v>View Full Record in Web of Science</v>
      </c>
    </row>
    <row r="428" spans="1:72" x14ac:dyDescent="0.15">
      <c r="A428" t="s">
        <v>72</v>
      </c>
      <c r="B428" t="s">
        <v>8662</v>
      </c>
      <c r="C428" t="s">
        <v>74</v>
      </c>
      <c r="D428" t="s">
        <v>74</v>
      </c>
      <c r="E428" t="s">
        <v>74</v>
      </c>
      <c r="F428" t="s">
        <v>8663</v>
      </c>
      <c r="G428" t="s">
        <v>74</v>
      </c>
      <c r="H428" t="s">
        <v>74</v>
      </c>
      <c r="I428" t="s">
        <v>8664</v>
      </c>
      <c r="J428" t="s">
        <v>8589</v>
      </c>
      <c r="K428" t="s">
        <v>74</v>
      </c>
      <c r="L428" t="s">
        <v>74</v>
      </c>
      <c r="M428" t="s">
        <v>78</v>
      </c>
      <c r="N428" t="s">
        <v>79</v>
      </c>
      <c r="O428" t="s">
        <v>74</v>
      </c>
      <c r="P428" t="s">
        <v>74</v>
      </c>
      <c r="Q428" t="s">
        <v>74</v>
      </c>
      <c r="R428" t="s">
        <v>74</v>
      </c>
      <c r="S428" t="s">
        <v>74</v>
      </c>
      <c r="T428" t="s">
        <v>8665</v>
      </c>
      <c r="U428" t="s">
        <v>8666</v>
      </c>
      <c r="V428" t="s">
        <v>8667</v>
      </c>
      <c r="W428" t="s">
        <v>8668</v>
      </c>
      <c r="X428" t="s">
        <v>8669</v>
      </c>
      <c r="Y428" t="s">
        <v>8670</v>
      </c>
      <c r="Z428" t="s">
        <v>8671</v>
      </c>
      <c r="AA428" t="s">
        <v>8672</v>
      </c>
      <c r="AB428" t="s">
        <v>8673</v>
      </c>
      <c r="AC428" t="s">
        <v>8674</v>
      </c>
      <c r="AD428" t="s">
        <v>8675</v>
      </c>
      <c r="AE428" t="s">
        <v>8676</v>
      </c>
      <c r="AF428" t="s">
        <v>74</v>
      </c>
      <c r="AG428">
        <v>46</v>
      </c>
      <c r="AH428">
        <v>12</v>
      </c>
      <c r="AI428">
        <v>13</v>
      </c>
      <c r="AJ428">
        <v>3</v>
      </c>
      <c r="AK428">
        <v>12</v>
      </c>
      <c r="AL428" t="s">
        <v>4283</v>
      </c>
      <c r="AM428" t="s">
        <v>4284</v>
      </c>
      <c r="AN428" t="s">
        <v>4285</v>
      </c>
      <c r="AO428" t="s">
        <v>74</v>
      </c>
      <c r="AP428" t="s">
        <v>8602</v>
      </c>
      <c r="AQ428" t="s">
        <v>74</v>
      </c>
      <c r="AR428" t="s">
        <v>8603</v>
      </c>
      <c r="AS428" t="s">
        <v>8604</v>
      </c>
      <c r="AT428" t="s">
        <v>7663</v>
      </c>
      <c r="AU428">
        <v>2020</v>
      </c>
      <c r="AV428">
        <v>11</v>
      </c>
      <c r="AW428">
        <v>6</v>
      </c>
      <c r="AX428" t="s">
        <v>74</v>
      </c>
      <c r="AY428" t="s">
        <v>74</v>
      </c>
      <c r="AZ428" t="s">
        <v>74</v>
      </c>
      <c r="BA428" t="s">
        <v>74</v>
      </c>
      <c r="BB428" t="s">
        <v>74</v>
      </c>
      <c r="BC428" t="s">
        <v>74</v>
      </c>
      <c r="BD428">
        <v>579</v>
      </c>
      <c r="BE428" t="s">
        <v>8677</v>
      </c>
      <c r="BF428" t="str">
        <f>HYPERLINK("http://dx.doi.org/10.3390/atmos11060579","http://dx.doi.org/10.3390/atmos11060579")</f>
        <v>http://dx.doi.org/10.3390/atmos11060579</v>
      </c>
      <c r="BG428" t="s">
        <v>74</v>
      </c>
      <c r="BH428" t="s">
        <v>74</v>
      </c>
      <c r="BI428">
        <v>18</v>
      </c>
      <c r="BJ428" t="s">
        <v>2068</v>
      </c>
      <c r="BK428" t="s">
        <v>102</v>
      </c>
      <c r="BL428" t="s">
        <v>2069</v>
      </c>
      <c r="BM428" t="s">
        <v>8678</v>
      </c>
      <c r="BN428" t="s">
        <v>74</v>
      </c>
      <c r="BO428" t="s">
        <v>161</v>
      </c>
      <c r="BP428" t="s">
        <v>74</v>
      </c>
      <c r="BQ428" t="s">
        <v>74</v>
      </c>
      <c r="BR428" t="s">
        <v>106</v>
      </c>
      <c r="BS428" t="s">
        <v>8679</v>
      </c>
      <c r="BT428" t="str">
        <f>HYPERLINK("https%3A%2F%2Fwww.webofscience.com%2Fwos%2Fwoscc%2Ffull-record%2FWOS:000553484400001","View Full Record in Web of Science")</f>
        <v>View Full Record in Web of Science</v>
      </c>
    </row>
    <row r="429" spans="1:72" x14ac:dyDescent="0.15">
      <c r="A429" t="s">
        <v>72</v>
      </c>
      <c r="B429" t="s">
        <v>8680</v>
      </c>
      <c r="C429" t="s">
        <v>74</v>
      </c>
      <c r="D429" t="s">
        <v>74</v>
      </c>
      <c r="E429" t="s">
        <v>74</v>
      </c>
      <c r="F429" t="s">
        <v>8681</v>
      </c>
      <c r="G429" t="s">
        <v>74</v>
      </c>
      <c r="H429" t="s">
        <v>74</v>
      </c>
      <c r="I429" t="s">
        <v>8682</v>
      </c>
      <c r="J429" t="s">
        <v>4320</v>
      </c>
      <c r="K429" t="s">
        <v>74</v>
      </c>
      <c r="L429" t="s">
        <v>74</v>
      </c>
      <c r="M429" t="s">
        <v>78</v>
      </c>
      <c r="N429" t="s">
        <v>79</v>
      </c>
      <c r="O429" t="s">
        <v>74</v>
      </c>
      <c r="P429" t="s">
        <v>74</v>
      </c>
      <c r="Q429" t="s">
        <v>74</v>
      </c>
      <c r="R429" t="s">
        <v>74</v>
      </c>
      <c r="S429" t="s">
        <v>74</v>
      </c>
      <c r="T429" t="s">
        <v>8683</v>
      </c>
      <c r="U429" t="s">
        <v>8684</v>
      </c>
      <c r="V429" t="s">
        <v>8685</v>
      </c>
      <c r="W429" t="s">
        <v>8686</v>
      </c>
      <c r="X429" t="s">
        <v>8687</v>
      </c>
      <c r="Y429" t="s">
        <v>8688</v>
      </c>
      <c r="Z429" t="s">
        <v>8689</v>
      </c>
      <c r="AA429" t="s">
        <v>74</v>
      </c>
      <c r="AB429" t="s">
        <v>74</v>
      </c>
      <c r="AC429" t="s">
        <v>8690</v>
      </c>
      <c r="AD429" t="s">
        <v>8691</v>
      </c>
      <c r="AE429" t="s">
        <v>8692</v>
      </c>
      <c r="AF429" t="s">
        <v>74</v>
      </c>
      <c r="AG429">
        <v>37</v>
      </c>
      <c r="AH429">
        <v>1</v>
      </c>
      <c r="AI429">
        <v>2</v>
      </c>
      <c r="AJ429">
        <v>0</v>
      </c>
      <c r="AK429">
        <v>9</v>
      </c>
      <c r="AL429" t="s">
        <v>4283</v>
      </c>
      <c r="AM429" t="s">
        <v>4284</v>
      </c>
      <c r="AN429" t="s">
        <v>4285</v>
      </c>
      <c r="AO429" t="s">
        <v>74</v>
      </c>
      <c r="AP429" t="s">
        <v>4333</v>
      </c>
      <c r="AQ429" t="s">
        <v>74</v>
      </c>
      <c r="AR429" t="s">
        <v>4334</v>
      </c>
      <c r="AS429" t="s">
        <v>4335</v>
      </c>
      <c r="AT429" t="s">
        <v>7663</v>
      </c>
      <c r="AU429">
        <v>2020</v>
      </c>
      <c r="AV429">
        <v>10</v>
      </c>
      <c r="AW429">
        <v>6</v>
      </c>
      <c r="AX429" t="s">
        <v>74</v>
      </c>
      <c r="AY429" t="s">
        <v>74</v>
      </c>
      <c r="AZ429" t="s">
        <v>74</v>
      </c>
      <c r="BA429" t="s">
        <v>74</v>
      </c>
      <c r="BB429" t="s">
        <v>74</v>
      </c>
      <c r="BC429" t="s">
        <v>74</v>
      </c>
      <c r="BD429">
        <v>568</v>
      </c>
      <c r="BE429" t="s">
        <v>8693</v>
      </c>
      <c r="BF429" t="str">
        <f>HYPERLINK("http://dx.doi.org/10.3390/min10060568","http://dx.doi.org/10.3390/min10060568")</f>
        <v>http://dx.doi.org/10.3390/min10060568</v>
      </c>
      <c r="BG429" t="s">
        <v>74</v>
      </c>
      <c r="BH429" t="s">
        <v>74</v>
      </c>
      <c r="BI429">
        <v>10</v>
      </c>
      <c r="BJ429" t="s">
        <v>4337</v>
      </c>
      <c r="BK429" t="s">
        <v>102</v>
      </c>
      <c r="BL429" t="s">
        <v>4337</v>
      </c>
      <c r="BM429" t="s">
        <v>8694</v>
      </c>
      <c r="BN429" t="s">
        <v>74</v>
      </c>
      <c r="BO429" t="s">
        <v>105</v>
      </c>
      <c r="BP429" t="s">
        <v>74</v>
      </c>
      <c r="BQ429" t="s">
        <v>74</v>
      </c>
      <c r="BR429" t="s">
        <v>106</v>
      </c>
      <c r="BS429" t="s">
        <v>8695</v>
      </c>
      <c r="BT429" t="str">
        <f>HYPERLINK("https%3A%2F%2Fwww.webofscience.com%2Fwos%2Fwoscc%2Ffull-record%2FWOS:000553599900001","View Full Record in Web of Science")</f>
        <v>View Full Record in Web of Science</v>
      </c>
    </row>
    <row r="430" spans="1:72" x14ac:dyDescent="0.15">
      <c r="A430" t="s">
        <v>72</v>
      </c>
      <c r="B430" t="s">
        <v>8696</v>
      </c>
      <c r="C430" t="s">
        <v>74</v>
      </c>
      <c r="D430" t="s">
        <v>74</v>
      </c>
      <c r="E430" t="s">
        <v>74</v>
      </c>
      <c r="F430" t="s">
        <v>8697</v>
      </c>
      <c r="G430" t="s">
        <v>74</v>
      </c>
      <c r="H430" t="s">
        <v>74</v>
      </c>
      <c r="I430" t="s">
        <v>8698</v>
      </c>
      <c r="J430" t="s">
        <v>8699</v>
      </c>
      <c r="K430" t="s">
        <v>74</v>
      </c>
      <c r="L430" t="s">
        <v>74</v>
      </c>
      <c r="M430" t="s">
        <v>78</v>
      </c>
      <c r="N430" t="s">
        <v>79</v>
      </c>
      <c r="O430" t="s">
        <v>74</v>
      </c>
      <c r="P430" t="s">
        <v>74</v>
      </c>
      <c r="Q430" t="s">
        <v>74</v>
      </c>
      <c r="R430" t="s">
        <v>74</v>
      </c>
      <c r="S430" t="s">
        <v>74</v>
      </c>
      <c r="T430" t="s">
        <v>8700</v>
      </c>
      <c r="U430" t="s">
        <v>8701</v>
      </c>
      <c r="V430" t="s">
        <v>8702</v>
      </c>
      <c r="W430" t="s">
        <v>8703</v>
      </c>
      <c r="X430" t="s">
        <v>8704</v>
      </c>
      <c r="Y430" t="s">
        <v>8705</v>
      </c>
      <c r="Z430" t="s">
        <v>8706</v>
      </c>
      <c r="AA430" t="s">
        <v>74</v>
      </c>
      <c r="AB430" t="s">
        <v>8707</v>
      </c>
      <c r="AC430" t="s">
        <v>8708</v>
      </c>
      <c r="AD430" t="s">
        <v>8708</v>
      </c>
      <c r="AE430" t="s">
        <v>8709</v>
      </c>
      <c r="AF430" t="s">
        <v>74</v>
      </c>
      <c r="AG430">
        <v>99</v>
      </c>
      <c r="AH430">
        <v>8</v>
      </c>
      <c r="AI430">
        <v>8</v>
      </c>
      <c r="AJ430">
        <v>1</v>
      </c>
      <c r="AK430">
        <v>15</v>
      </c>
      <c r="AL430" t="s">
        <v>4283</v>
      </c>
      <c r="AM430" t="s">
        <v>4284</v>
      </c>
      <c r="AN430" t="s">
        <v>4285</v>
      </c>
      <c r="AO430" t="s">
        <v>74</v>
      </c>
      <c r="AP430" t="s">
        <v>8710</v>
      </c>
      <c r="AQ430" t="s">
        <v>74</v>
      </c>
      <c r="AR430" t="s">
        <v>8699</v>
      </c>
      <c r="AS430" t="s">
        <v>8711</v>
      </c>
      <c r="AT430" t="s">
        <v>7663</v>
      </c>
      <c r="AU430">
        <v>2020</v>
      </c>
      <c r="AV430">
        <v>12</v>
      </c>
      <c r="AW430">
        <v>6</v>
      </c>
      <c r="AX430" t="s">
        <v>74</v>
      </c>
      <c r="AY430" t="s">
        <v>74</v>
      </c>
      <c r="AZ430" t="s">
        <v>74</v>
      </c>
      <c r="BA430" t="s">
        <v>74</v>
      </c>
      <c r="BB430" t="s">
        <v>74</v>
      </c>
      <c r="BC430" t="s">
        <v>74</v>
      </c>
      <c r="BD430">
        <v>229</v>
      </c>
      <c r="BE430" t="s">
        <v>8712</v>
      </c>
      <c r="BF430" t="str">
        <f>HYPERLINK("http://dx.doi.org/10.3390/d12060229","http://dx.doi.org/10.3390/d12060229")</f>
        <v>http://dx.doi.org/10.3390/d12060229</v>
      </c>
      <c r="BG430" t="s">
        <v>74</v>
      </c>
      <c r="BH430" t="s">
        <v>74</v>
      </c>
      <c r="BI430">
        <v>17</v>
      </c>
      <c r="BJ430" t="s">
        <v>1004</v>
      </c>
      <c r="BK430" t="s">
        <v>102</v>
      </c>
      <c r="BL430" t="s">
        <v>1005</v>
      </c>
      <c r="BM430" t="s">
        <v>8713</v>
      </c>
      <c r="BN430" t="s">
        <v>74</v>
      </c>
      <c r="BO430" t="s">
        <v>1778</v>
      </c>
      <c r="BP430" t="s">
        <v>74</v>
      </c>
      <c r="BQ430" t="s">
        <v>74</v>
      </c>
      <c r="BR430" t="s">
        <v>106</v>
      </c>
      <c r="BS430" t="s">
        <v>8714</v>
      </c>
      <c r="BT430" t="str">
        <f>HYPERLINK("https%3A%2F%2Fwww.webofscience.com%2Fwos%2Fwoscc%2Ffull-record%2FWOS:000551237400001","View Full Record in Web of Science")</f>
        <v>View Full Record in Web of Science</v>
      </c>
    </row>
    <row r="431" spans="1:72" x14ac:dyDescent="0.15">
      <c r="A431" t="s">
        <v>72</v>
      </c>
      <c r="B431" t="s">
        <v>8715</v>
      </c>
      <c r="C431" t="s">
        <v>74</v>
      </c>
      <c r="D431" t="s">
        <v>74</v>
      </c>
      <c r="E431" t="s">
        <v>74</v>
      </c>
      <c r="F431" t="s">
        <v>8716</v>
      </c>
      <c r="G431" t="s">
        <v>74</v>
      </c>
      <c r="H431" t="s">
        <v>74</v>
      </c>
      <c r="I431" t="s">
        <v>8717</v>
      </c>
      <c r="J431" t="s">
        <v>8718</v>
      </c>
      <c r="K431" t="s">
        <v>74</v>
      </c>
      <c r="L431" t="s">
        <v>74</v>
      </c>
      <c r="M431" t="s">
        <v>78</v>
      </c>
      <c r="N431" t="s">
        <v>79</v>
      </c>
      <c r="O431" t="s">
        <v>74</v>
      </c>
      <c r="P431" t="s">
        <v>74</v>
      </c>
      <c r="Q431" t="s">
        <v>74</v>
      </c>
      <c r="R431" t="s">
        <v>74</v>
      </c>
      <c r="S431" t="s">
        <v>74</v>
      </c>
      <c r="T431" t="s">
        <v>8719</v>
      </c>
      <c r="U431" t="s">
        <v>8720</v>
      </c>
      <c r="V431" t="s">
        <v>8721</v>
      </c>
      <c r="W431" t="s">
        <v>8722</v>
      </c>
      <c r="X431" t="s">
        <v>8723</v>
      </c>
      <c r="Y431" t="s">
        <v>8724</v>
      </c>
      <c r="Z431" t="s">
        <v>8725</v>
      </c>
      <c r="AA431" t="s">
        <v>8726</v>
      </c>
      <c r="AB431" t="s">
        <v>8727</v>
      </c>
      <c r="AC431" t="s">
        <v>8728</v>
      </c>
      <c r="AD431" t="s">
        <v>8729</v>
      </c>
      <c r="AE431" t="s">
        <v>8730</v>
      </c>
      <c r="AF431" t="s">
        <v>74</v>
      </c>
      <c r="AG431">
        <v>41</v>
      </c>
      <c r="AH431">
        <v>5</v>
      </c>
      <c r="AI431">
        <v>5</v>
      </c>
      <c r="AJ431">
        <v>1</v>
      </c>
      <c r="AK431">
        <v>10</v>
      </c>
      <c r="AL431" t="s">
        <v>8731</v>
      </c>
      <c r="AM431" t="s">
        <v>8732</v>
      </c>
      <c r="AN431" t="s">
        <v>8733</v>
      </c>
      <c r="AO431" t="s">
        <v>8734</v>
      </c>
      <c r="AP431" t="s">
        <v>8735</v>
      </c>
      <c r="AQ431" t="s">
        <v>74</v>
      </c>
      <c r="AR431" t="s">
        <v>8736</v>
      </c>
      <c r="AS431" t="s">
        <v>8737</v>
      </c>
      <c r="AT431" t="s">
        <v>7663</v>
      </c>
      <c r="AU431">
        <v>2020</v>
      </c>
      <c r="AV431">
        <v>35</v>
      </c>
      <c r="AW431">
        <v>2</v>
      </c>
      <c r="AX431" t="s">
        <v>74</v>
      </c>
      <c r="AY431" t="s">
        <v>74</v>
      </c>
      <c r="AZ431" t="s">
        <v>74</v>
      </c>
      <c r="BA431" t="s">
        <v>74</v>
      </c>
      <c r="BB431">
        <v>118</v>
      </c>
      <c r="BC431">
        <v>127</v>
      </c>
      <c r="BD431" t="s">
        <v>74</v>
      </c>
      <c r="BE431" t="s">
        <v>8738</v>
      </c>
      <c r="BF431" t="str">
        <f>HYPERLINK("http://dx.doi.org/10.3808/jei.201900420","http://dx.doi.org/10.3808/jei.201900420")</f>
        <v>http://dx.doi.org/10.3808/jei.201900420</v>
      </c>
      <c r="BG431" t="s">
        <v>74</v>
      </c>
      <c r="BH431" t="s">
        <v>74</v>
      </c>
      <c r="BI431">
        <v>10</v>
      </c>
      <c r="BJ431" t="s">
        <v>101</v>
      </c>
      <c r="BK431" t="s">
        <v>102</v>
      </c>
      <c r="BL431" t="s">
        <v>103</v>
      </c>
      <c r="BM431" t="s">
        <v>8739</v>
      </c>
      <c r="BN431" t="s">
        <v>74</v>
      </c>
      <c r="BO431" t="s">
        <v>3733</v>
      </c>
      <c r="BP431" t="s">
        <v>74</v>
      </c>
      <c r="BQ431" t="s">
        <v>74</v>
      </c>
      <c r="BR431" t="s">
        <v>106</v>
      </c>
      <c r="BS431" t="s">
        <v>8740</v>
      </c>
      <c r="BT431" t="str">
        <f>HYPERLINK("https%3A%2F%2Fwww.webofscience.com%2Fwos%2Fwoscc%2Ffull-record%2FWOS:000551704400003","View Full Record in Web of Science")</f>
        <v>View Full Record in Web of Science</v>
      </c>
    </row>
    <row r="432" spans="1:72" x14ac:dyDescent="0.15">
      <c r="A432" t="s">
        <v>72</v>
      </c>
      <c r="B432" t="s">
        <v>8741</v>
      </c>
      <c r="C432" t="s">
        <v>74</v>
      </c>
      <c r="D432" t="s">
        <v>74</v>
      </c>
      <c r="E432" t="s">
        <v>74</v>
      </c>
      <c r="F432" t="s">
        <v>8742</v>
      </c>
      <c r="G432" t="s">
        <v>74</v>
      </c>
      <c r="H432" t="s">
        <v>74</v>
      </c>
      <c r="I432" t="s">
        <v>8743</v>
      </c>
      <c r="J432" t="s">
        <v>8744</v>
      </c>
      <c r="K432" t="s">
        <v>74</v>
      </c>
      <c r="L432" t="s">
        <v>74</v>
      </c>
      <c r="M432" t="s">
        <v>78</v>
      </c>
      <c r="N432" t="s">
        <v>79</v>
      </c>
      <c r="O432" t="s">
        <v>74</v>
      </c>
      <c r="P432" t="s">
        <v>74</v>
      </c>
      <c r="Q432" t="s">
        <v>74</v>
      </c>
      <c r="R432" t="s">
        <v>74</v>
      </c>
      <c r="S432" t="s">
        <v>74</v>
      </c>
      <c r="T432" t="s">
        <v>8745</v>
      </c>
      <c r="U432" t="s">
        <v>8746</v>
      </c>
      <c r="V432" t="s">
        <v>8747</v>
      </c>
      <c r="W432" t="s">
        <v>8748</v>
      </c>
      <c r="X432" t="s">
        <v>8749</v>
      </c>
      <c r="Y432" t="s">
        <v>8750</v>
      </c>
      <c r="Z432" t="s">
        <v>8751</v>
      </c>
      <c r="AA432" t="s">
        <v>74</v>
      </c>
      <c r="AB432" t="s">
        <v>74</v>
      </c>
      <c r="AC432" t="s">
        <v>8752</v>
      </c>
      <c r="AD432" t="s">
        <v>8753</v>
      </c>
      <c r="AE432" t="s">
        <v>8754</v>
      </c>
      <c r="AF432" t="s">
        <v>74</v>
      </c>
      <c r="AG432">
        <v>47</v>
      </c>
      <c r="AH432">
        <v>1</v>
      </c>
      <c r="AI432">
        <v>1</v>
      </c>
      <c r="AJ432">
        <v>1</v>
      </c>
      <c r="AK432">
        <v>11</v>
      </c>
      <c r="AL432" t="s">
        <v>284</v>
      </c>
      <c r="AM432" t="s">
        <v>285</v>
      </c>
      <c r="AN432" t="s">
        <v>286</v>
      </c>
      <c r="AO432" t="s">
        <v>8755</v>
      </c>
      <c r="AP432" t="s">
        <v>8756</v>
      </c>
      <c r="AQ432" t="s">
        <v>74</v>
      </c>
      <c r="AR432" t="s">
        <v>8757</v>
      </c>
      <c r="AS432" t="s">
        <v>8758</v>
      </c>
      <c r="AT432" t="s">
        <v>7663</v>
      </c>
      <c r="AU432">
        <v>2020</v>
      </c>
      <c r="AV432">
        <v>158</v>
      </c>
      <c r="AW432" t="s">
        <v>74</v>
      </c>
      <c r="AX432" t="s">
        <v>74</v>
      </c>
      <c r="AY432" t="s">
        <v>74</v>
      </c>
      <c r="AZ432" t="s">
        <v>74</v>
      </c>
      <c r="BA432" t="s">
        <v>74</v>
      </c>
      <c r="BB432" t="s">
        <v>74</v>
      </c>
      <c r="BC432" t="s">
        <v>74</v>
      </c>
      <c r="BD432">
        <v>101887</v>
      </c>
      <c r="BE432" t="s">
        <v>8759</v>
      </c>
      <c r="BF432" t="str">
        <f>HYPERLINK("http://dx.doi.org/10.1016/j.marmicro.2020.101887","http://dx.doi.org/10.1016/j.marmicro.2020.101887")</f>
        <v>http://dx.doi.org/10.1016/j.marmicro.2020.101887</v>
      </c>
      <c r="BG432" t="s">
        <v>74</v>
      </c>
      <c r="BH432" t="s">
        <v>74</v>
      </c>
      <c r="BI432">
        <v>7</v>
      </c>
      <c r="BJ432" t="s">
        <v>8760</v>
      </c>
      <c r="BK432" t="s">
        <v>102</v>
      </c>
      <c r="BL432" t="s">
        <v>8760</v>
      </c>
      <c r="BM432" t="s">
        <v>8761</v>
      </c>
      <c r="BN432" t="s">
        <v>74</v>
      </c>
      <c r="BO432" t="s">
        <v>74</v>
      </c>
      <c r="BP432" t="s">
        <v>74</v>
      </c>
      <c r="BQ432" t="s">
        <v>74</v>
      </c>
      <c r="BR432" t="s">
        <v>106</v>
      </c>
      <c r="BS432" t="s">
        <v>8762</v>
      </c>
      <c r="BT432" t="str">
        <f>HYPERLINK("https%3A%2F%2Fwww.webofscience.com%2Fwos%2Fwoscc%2Ffull-record%2FWOS:000551341800006","View Full Record in Web of Science")</f>
        <v>View Full Record in Web of Science</v>
      </c>
    </row>
    <row r="433" spans="1:72" x14ac:dyDescent="0.15">
      <c r="A433" t="s">
        <v>72</v>
      </c>
      <c r="B433" t="s">
        <v>8763</v>
      </c>
      <c r="C433" t="s">
        <v>74</v>
      </c>
      <c r="D433" t="s">
        <v>74</v>
      </c>
      <c r="E433" t="s">
        <v>74</v>
      </c>
      <c r="F433" t="s">
        <v>8764</v>
      </c>
      <c r="G433" t="s">
        <v>74</v>
      </c>
      <c r="H433" t="s">
        <v>74</v>
      </c>
      <c r="I433" t="s">
        <v>8765</v>
      </c>
      <c r="J433" t="s">
        <v>8766</v>
      </c>
      <c r="K433" t="s">
        <v>74</v>
      </c>
      <c r="L433" t="s">
        <v>74</v>
      </c>
      <c r="M433" t="s">
        <v>78</v>
      </c>
      <c r="N433" t="s">
        <v>79</v>
      </c>
      <c r="O433" t="s">
        <v>74</v>
      </c>
      <c r="P433" t="s">
        <v>74</v>
      </c>
      <c r="Q433" t="s">
        <v>74</v>
      </c>
      <c r="R433" t="s">
        <v>74</v>
      </c>
      <c r="S433" t="s">
        <v>74</v>
      </c>
      <c r="T433" t="s">
        <v>8767</v>
      </c>
      <c r="U433" t="s">
        <v>8768</v>
      </c>
      <c r="V433" t="s">
        <v>8769</v>
      </c>
      <c r="W433" t="s">
        <v>8770</v>
      </c>
      <c r="X433" t="s">
        <v>8771</v>
      </c>
      <c r="Y433" t="s">
        <v>8772</v>
      </c>
      <c r="Z433" t="s">
        <v>8773</v>
      </c>
      <c r="AA433" t="s">
        <v>8774</v>
      </c>
      <c r="AB433" t="s">
        <v>8775</v>
      </c>
      <c r="AC433" t="s">
        <v>8776</v>
      </c>
      <c r="AD433" t="s">
        <v>8777</v>
      </c>
      <c r="AE433" t="s">
        <v>8778</v>
      </c>
      <c r="AF433" t="s">
        <v>74</v>
      </c>
      <c r="AG433">
        <v>12</v>
      </c>
      <c r="AH433">
        <v>1</v>
      </c>
      <c r="AI433">
        <v>1</v>
      </c>
      <c r="AJ433">
        <v>0</v>
      </c>
      <c r="AK433">
        <v>1</v>
      </c>
      <c r="AL433" t="s">
        <v>8779</v>
      </c>
      <c r="AM433" t="s">
        <v>4792</v>
      </c>
      <c r="AN433" t="s">
        <v>8780</v>
      </c>
      <c r="AO433" t="s">
        <v>8781</v>
      </c>
      <c r="AP433" t="s">
        <v>74</v>
      </c>
      <c r="AQ433" t="s">
        <v>74</v>
      </c>
      <c r="AR433" t="s">
        <v>8782</v>
      </c>
      <c r="AS433" t="s">
        <v>8783</v>
      </c>
      <c r="AT433" t="s">
        <v>7663</v>
      </c>
      <c r="AU433">
        <v>2020</v>
      </c>
      <c r="AV433">
        <v>65</v>
      </c>
      <c r="AW433">
        <v>1</v>
      </c>
      <c r="AX433" t="s">
        <v>74</v>
      </c>
      <c r="AY433" t="s">
        <v>74</v>
      </c>
      <c r="AZ433" t="s">
        <v>74</v>
      </c>
      <c r="BA433" t="s">
        <v>74</v>
      </c>
      <c r="BB433">
        <v>107</v>
      </c>
      <c r="BC433">
        <v>110</v>
      </c>
      <c r="BD433" t="s">
        <v>74</v>
      </c>
      <c r="BE433" t="s">
        <v>74</v>
      </c>
      <c r="BF433" t="s">
        <v>74</v>
      </c>
      <c r="BG433" t="s">
        <v>74</v>
      </c>
      <c r="BH433" t="s">
        <v>74</v>
      </c>
      <c r="BI433">
        <v>4</v>
      </c>
      <c r="BJ433" t="s">
        <v>8760</v>
      </c>
      <c r="BK433" t="s">
        <v>102</v>
      </c>
      <c r="BL433" t="s">
        <v>8760</v>
      </c>
      <c r="BM433" t="s">
        <v>8784</v>
      </c>
      <c r="BN433" t="s">
        <v>74</v>
      </c>
      <c r="BO433" t="s">
        <v>74</v>
      </c>
      <c r="BP433" t="s">
        <v>74</v>
      </c>
      <c r="BQ433" t="s">
        <v>74</v>
      </c>
      <c r="BR433" t="s">
        <v>106</v>
      </c>
      <c r="BS433" t="s">
        <v>8785</v>
      </c>
      <c r="BT433" t="str">
        <f>HYPERLINK("https%3A%2F%2Fwww.webofscience.com%2Fwos%2Fwoscc%2Ffull-record%2FWOS:000550861300009","View Full Record in Web of Science")</f>
        <v>View Full Record in Web of Science</v>
      </c>
    </row>
    <row r="434" spans="1:72" x14ac:dyDescent="0.15">
      <c r="A434" t="s">
        <v>72</v>
      </c>
      <c r="B434" t="s">
        <v>8786</v>
      </c>
      <c r="C434" t="s">
        <v>74</v>
      </c>
      <c r="D434" t="s">
        <v>74</v>
      </c>
      <c r="E434" t="s">
        <v>74</v>
      </c>
      <c r="F434" t="s">
        <v>8787</v>
      </c>
      <c r="G434" t="s">
        <v>74</v>
      </c>
      <c r="H434" t="s">
        <v>74</v>
      </c>
      <c r="I434" t="s">
        <v>8788</v>
      </c>
      <c r="J434" t="s">
        <v>4343</v>
      </c>
      <c r="K434" t="s">
        <v>74</v>
      </c>
      <c r="L434" t="s">
        <v>74</v>
      </c>
      <c r="M434" t="s">
        <v>78</v>
      </c>
      <c r="N434" t="s">
        <v>79</v>
      </c>
      <c r="O434" t="s">
        <v>74</v>
      </c>
      <c r="P434" t="s">
        <v>74</v>
      </c>
      <c r="Q434" t="s">
        <v>74</v>
      </c>
      <c r="R434" t="s">
        <v>74</v>
      </c>
      <c r="S434" t="s">
        <v>74</v>
      </c>
      <c r="T434" t="s">
        <v>8789</v>
      </c>
      <c r="U434" t="s">
        <v>8790</v>
      </c>
      <c r="V434" t="s">
        <v>8791</v>
      </c>
      <c r="W434" t="s">
        <v>8792</v>
      </c>
      <c r="X434" t="s">
        <v>8793</v>
      </c>
      <c r="Y434" t="s">
        <v>8794</v>
      </c>
      <c r="Z434" t="s">
        <v>8795</v>
      </c>
      <c r="AA434" t="s">
        <v>8796</v>
      </c>
      <c r="AB434" t="s">
        <v>8797</v>
      </c>
      <c r="AC434" t="s">
        <v>8798</v>
      </c>
      <c r="AD434" t="s">
        <v>8798</v>
      </c>
      <c r="AE434" t="s">
        <v>8799</v>
      </c>
      <c r="AF434" t="s">
        <v>74</v>
      </c>
      <c r="AG434">
        <v>43</v>
      </c>
      <c r="AH434">
        <v>4</v>
      </c>
      <c r="AI434">
        <v>5</v>
      </c>
      <c r="AJ434">
        <v>4</v>
      </c>
      <c r="AK434">
        <v>12</v>
      </c>
      <c r="AL434" t="s">
        <v>4283</v>
      </c>
      <c r="AM434" t="s">
        <v>4284</v>
      </c>
      <c r="AN434" t="s">
        <v>4285</v>
      </c>
      <c r="AO434" t="s">
        <v>74</v>
      </c>
      <c r="AP434" t="s">
        <v>4356</v>
      </c>
      <c r="AQ434" t="s">
        <v>74</v>
      </c>
      <c r="AR434" t="s">
        <v>4357</v>
      </c>
      <c r="AS434" t="s">
        <v>4358</v>
      </c>
      <c r="AT434" t="s">
        <v>7663</v>
      </c>
      <c r="AU434">
        <v>2020</v>
      </c>
      <c r="AV434">
        <v>12</v>
      </c>
      <c r="AW434">
        <v>12</v>
      </c>
      <c r="AX434" t="s">
        <v>74</v>
      </c>
      <c r="AY434" t="s">
        <v>74</v>
      </c>
      <c r="AZ434" t="s">
        <v>74</v>
      </c>
      <c r="BA434" t="s">
        <v>74</v>
      </c>
      <c r="BB434" t="s">
        <v>74</v>
      </c>
      <c r="BC434" t="s">
        <v>74</v>
      </c>
      <c r="BD434">
        <v>1982</v>
      </c>
      <c r="BE434" t="s">
        <v>8800</v>
      </c>
      <c r="BF434" t="str">
        <f>HYPERLINK("http://dx.doi.org/10.3390/rs12121982","http://dx.doi.org/10.3390/rs12121982")</f>
        <v>http://dx.doi.org/10.3390/rs12121982</v>
      </c>
      <c r="BG434" t="s">
        <v>74</v>
      </c>
      <c r="BH434" t="s">
        <v>74</v>
      </c>
      <c r="BI434">
        <v>18</v>
      </c>
      <c r="BJ434" t="s">
        <v>4360</v>
      </c>
      <c r="BK434" t="s">
        <v>102</v>
      </c>
      <c r="BL434" t="s">
        <v>4361</v>
      </c>
      <c r="BM434" t="s">
        <v>8801</v>
      </c>
      <c r="BN434" t="s">
        <v>74</v>
      </c>
      <c r="BO434" t="s">
        <v>105</v>
      </c>
      <c r="BP434" t="s">
        <v>74</v>
      </c>
      <c r="BQ434" t="s">
        <v>74</v>
      </c>
      <c r="BR434" t="s">
        <v>106</v>
      </c>
      <c r="BS434" t="s">
        <v>8802</v>
      </c>
      <c r="BT434" t="str">
        <f>HYPERLINK("https%3A%2F%2Fwww.webofscience.com%2Fwos%2Fwoscc%2Ffull-record%2FWOS:000550370900001","View Full Record in Web of Science")</f>
        <v>View Full Record in Web of Science</v>
      </c>
    </row>
    <row r="435" spans="1:72" x14ac:dyDescent="0.15">
      <c r="A435" t="s">
        <v>72</v>
      </c>
      <c r="B435" t="s">
        <v>8803</v>
      </c>
      <c r="C435" t="s">
        <v>74</v>
      </c>
      <c r="D435" t="s">
        <v>74</v>
      </c>
      <c r="E435" t="s">
        <v>74</v>
      </c>
      <c r="F435" t="s">
        <v>8804</v>
      </c>
      <c r="G435" t="s">
        <v>74</v>
      </c>
      <c r="H435" t="s">
        <v>74</v>
      </c>
      <c r="I435" t="s">
        <v>8805</v>
      </c>
      <c r="J435" t="s">
        <v>8806</v>
      </c>
      <c r="K435" t="s">
        <v>74</v>
      </c>
      <c r="L435" t="s">
        <v>74</v>
      </c>
      <c r="M435" t="s">
        <v>78</v>
      </c>
      <c r="N435" t="s">
        <v>79</v>
      </c>
      <c r="O435" t="s">
        <v>74</v>
      </c>
      <c r="P435" t="s">
        <v>74</v>
      </c>
      <c r="Q435" t="s">
        <v>74</v>
      </c>
      <c r="R435" t="s">
        <v>74</v>
      </c>
      <c r="S435" t="s">
        <v>74</v>
      </c>
      <c r="T435" t="s">
        <v>8807</v>
      </c>
      <c r="U435" t="s">
        <v>8808</v>
      </c>
      <c r="V435" t="s">
        <v>8809</v>
      </c>
      <c r="W435" t="s">
        <v>8810</v>
      </c>
      <c r="X435" t="s">
        <v>8811</v>
      </c>
      <c r="Y435" t="s">
        <v>8812</v>
      </c>
      <c r="Z435" t="s">
        <v>8813</v>
      </c>
      <c r="AA435" t="s">
        <v>8814</v>
      </c>
      <c r="AB435" t="s">
        <v>8815</v>
      </c>
      <c r="AC435" t="s">
        <v>8816</v>
      </c>
      <c r="AD435" t="s">
        <v>8817</v>
      </c>
      <c r="AE435" t="s">
        <v>8818</v>
      </c>
      <c r="AF435" t="s">
        <v>74</v>
      </c>
      <c r="AG435">
        <v>40</v>
      </c>
      <c r="AH435">
        <v>17</v>
      </c>
      <c r="AI435">
        <v>17</v>
      </c>
      <c r="AJ435">
        <v>1</v>
      </c>
      <c r="AK435">
        <v>4</v>
      </c>
      <c r="AL435" t="s">
        <v>284</v>
      </c>
      <c r="AM435" t="s">
        <v>285</v>
      </c>
      <c r="AN435" t="s">
        <v>286</v>
      </c>
      <c r="AO435" t="s">
        <v>74</v>
      </c>
      <c r="AP435" t="s">
        <v>8819</v>
      </c>
      <c r="AQ435" t="s">
        <v>74</v>
      </c>
      <c r="AR435" t="s">
        <v>8820</v>
      </c>
      <c r="AS435" t="s">
        <v>8821</v>
      </c>
      <c r="AT435" t="s">
        <v>7663</v>
      </c>
      <c r="AU435">
        <v>2020</v>
      </c>
      <c r="AV435">
        <v>29</v>
      </c>
      <c r="AW435" t="s">
        <v>74</v>
      </c>
      <c r="AX435" t="s">
        <v>74</v>
      </c>
      <c r="AY435" t="s">
        <v>74</v>
      </c>
      <c r="AZ435" t="s">
        <v>74</v>
      </c>
      <c r="BA435" t="s">
        <v>74</v>
      </c>
      <c r="BB435" t="s">
        <v>74</v>
      </c>
      <c r="BC435" t="s">
        <v>74</v>
      </c>
      <c r="BD435">
        <v>100686</v>
      </c>
      <c r="BE435" t="s">
        <v>8822</v>
      </c>
      <c r="BF435" t="str">
        <f>HYPERLINK("http://dx.doi.org/10.1016/j.ejrh.2020.100686","http://dx.doi.org/10.1016/j.ejrh.2020.100686")</f>
        <v>http://dx.doi.org/10.1016/j.ejrh.2020.100686</v>
      </c>
      <c r="BG435" t="s">
        <v>74</v>
      </c>
      <c r="BH435" t="s">
        <v>74</v>
      </c>
      <c r="BI435">
        <v>14</v>
      </c>
      <c r="BJ435" t="s">
        <v>8823</v>
      </c>
      <c r="BK435" t="s">
        <v>102</v>
      </c>
      <c r="BL435" t="s">
        <v>8823</v>
      </c>
      <c r="BM435" t="s">
        <v>8824</v>
      </c>
      <c r="BN435" t="s">
        <v>74</v>
      </c>
      <c r="BO435" t="s">
        <v>1778</v>
      </c>
      <c r="BP435" t="s">
        <v>74</v>
      </c>
      <c r="BQ435" t="s">
        <v>74</v>
      </c>
      <c r="BR435" t="s">
        <v>106</v>
      </c>
      <c r="BS435" t="s">
        <v>8825</v>
      </c>
      <c r="BT435" t="str">
        <f>HYPERLINK("https%3A%2F%2Fwww.webofscience.com%2Fwos%2Fwoscc%2Ffull-record%2FWOS:000550217800004","View Full Record in Web of Science")</f>
        <v>View Full Record in Web of Science</v>
      </c>
    </row>
    <row r="436" spans="1:72" x14ac:dyDescent="0.15">
      <c r="A436" t="s">
        <v>72</v>
      </c>
      <c r="B436" t="s">
        <v>8826</v>
      </c>
      <c r="C436" t="s">
        <v>74</v>
      </c>
      <c r="D436" t="s">
        <v>74</v>
      </c>
      <c r="E436" t="s">
        <v>74</v>
      </c>
      <c r="F436" t="s">
        <v>8827</v>
      </c>
      <c r="G436" t="s">
        <v>74</v>
      </c>
      <c r="H436" t="s">
        <v>74</v>
      </c>
      <c r="I436" t="s">
        <v>8828</v>
      </c>
      <c r="J436" t="s">
        <v>194</v>
      </c>
      <c r="K436" t="s">
        <v>74</v>
      </c>
      <c r="L436" t="s">
        <v>74</v>
      </c>
      <c r="M436" t="s">
        <v>78</v>
      </c>
      <c r="N436" t="s">
        <v>79</v>
      </c>
      <c r="O436" t="s">
        <v>74</v>
      </c>
      <c r="P436" t="s">
        <v>74</v>
      </c>
      <c r="Q436" t="s">
        <v>74</v>
      </c>
      <c r="R436" t="s">
        <v>74</v>
      </c>
      <c r="S436" t="s">
        <v>74</v>
      </c>
      <c r="T436" t="s">
        <v>8829</v>
      </c>
      <c r="U436" t="s">
        <v>8830</v>
      </c>
      <c r="V436" t="s">
        <v>8831</v>
      </c>
      <c r="W436" t="s">
        <v>8832</v>
      </c>
      <c r="X436" t="s">
        <v>8833</v>
      </c>
      <c r="Y436" t="s">
        <v>8834</v>
      </c>
      <c r="Z436" t="s">
        <v>8835</v>
      </c>
      <c r="AA436" t="s">
        <v>8836</v>
      </c>
      <c r="AB436" t="s">
        <v>8837</v>
      </c>
      <c r="AC436" t="s">
        <v>8838</v>
      </c>
      <c r="AD436" t="s">
        <v>8839</v>
      </c>
      <c r="AE436" t="s">
        <v>8840</v>
      </c>
      <c r="AF436" t="s">
        <v>74</v>
      </c>
      <c r="AG436">
        <v>72</v>
      </c>
      <c r="AH436">
        <v>18</v>
      </c>
      <c r="AI436">
        <v>18</v>
      </c>
      <c r="AJ436">
        <v>0</v>
      </c>
      <c r="AK436">
        <v>10</v>
      </c>
      <c r="AL436" t="s">
        <v>151</v>
      </c>
      <c r="AM436" t="s">
        <v>152</v>
      </c>
      <c r="AN436" t="s">
        <v>153</v>
      </c>
      <c r="AO436" t="s">
        <v>207</v>
      </c>
      <c r="AP436" t="s">
        <v>208</v>
      </c>
      <c r="AQ436" t="s">
        <v>74</v>
      </c>
      <c r="AR436" t="s">
        <v>209</v>
      </c>
      <c r="AS436" t="s">
        <v>210</v>
      </c>
      <c r="AT436" t="s">
        <v>7663</v>
      </c>
      <c r="AU436">
        <v>2020</v>
      </c>
      <c r="AV436">
        <v>125</v>
      </c>
      <c r="AW436">
        <v>6</v>
      </c>
      <c r="AX436" t="s">
        <v>74</v>
      </c>
      <c r="AY436" t="s">
        <v>74</v>
      </c>
      <c r="AZ436" t="s">
        <v>74</v>
      </c>
      <c r="BA436" t="s">
        <v>74</v>
      </c>
      <c r="BB436" t="s">
        <v>74</v>
      </c>
      <c r="BC436" t="s">
        <v>74</v>
      </c>
      <c r="BD436" t="s">
        <v>8841</v>
      </c>
      <c r="BE436" t="s">
        <v>8842</v>
      </c>
      <c r="BF436" t="str">
        <f>HYPERLINK("http://dx.doi.org/10.1029/2019JC015587","http://dx.doi.org/10.1029/2019JC015587")</f>
        <v>http://dx.doi.org/10.1029/2019JC015587</v>
      </c>
      <c r="BG436" t="s">
        <v>74</v>
      </c>
      <c r="BH436" t="s">
        <v>74</v>
      </c>
      <c r="BI436">
        <v>19</v>
      </c>
      <c r="BJ436" t="s">
        <v>213</v>
      </c>
      <c r="BK436" t="s">
        <v>102</v>
      </c>
      <c r="BL436" t="s">
        <v>213</v>
      </c>
      <c r="BM436" t="s">
        <v>8843</v>
      </c>
      <c r="BN436" t="s">
        <v>74</v>
      </c>
      <c r="BO436" t="s">
        <v>189</v>
      </c>
      <c r="BP436" t="s">
        <v>74</v>
      </c>
      <c r="BQ436" t="s">
        <v>74</v>
      </c>
      <c r="BR436" t="s">
        <v>106</v>
      </c>
      <c r="BS436" t="s">
        <v>8844</v>
      </c>
      <c r="BT436" t="str">
        <f>HYPERLINK("https%3A%2F%2Fwww.webofscience.com%2Fwos%2Fwoscc%2Ffull-record%2FWOS:000549832900020","View Full Record in Web of Science")</f>
        <v>View Full Record in Web of Science</v>
      </c>
    </row>
    <row r="437" spans="1:72" x14ac:dyDescent="0.15">
      <c r="A437" t="s">
        <v>72</v>
      </c>
      <c r="B437" t="s">
        <v>8845</v>
      </c>
      <c r="C437" t="s">
        <v>74</v>
      </c>
      <c r="D437" t="s">
        <v>74</v>
      </c>
      <c r="E437" t="s">
        <v>74</v>
      </c>
      <c r="F437" t="s">
        <v>8846</v>
      </c>
      <c r="G437" t="s">
        <v>74</v>
      </c>
      <c r="H437" t="s">
        <v>74</v>
      </c>
      <c r="I437" t="s">
        <v>8847</v>
      </c>
      <c r="J437" t="s">
        <v>194</v>
      </c>
      <c r="K437" t="s">
        <v>74</v>
      </c>
      <c r="L437" t="s">
        <v>74</v>
      </c>
      <c r="M437" t="s">
        <v>78</v>
      </c>
      <c r="N437" t="s">
        <v>79</v>
      </c>
      <c r="O437" t="s">
        <v>74</v>
      </c>
      <c r="P437" t="s">
        <v>74</v>
      </c>
      <c r="Q437" t="s">
        <v>74</v>
      </c>
      <c r="R437" t="s">
        <v>74</v>
      </c>
      <c r="S437" t="s">
        <v>74</v>
      </c>
      <c r="T437" t="s">
        <v>8848</v>
      </c>
      <c r="U437" t="s">
        <v>8849</v>
      </c>
      <c r="V437" t="s">
        <v>8850</v>
      </c>
      <c r="W437" t="s">
        <v>8851</v>
      </c>
      <c r="X437" t="s">
        <v>8852</v>
      </c>
      <c r="Y437" t="s">
        <v>8853</v>
      </c>
      <c r="Z437" t="s">
        <v>8854</v>
      </c>
      <c r="AA437" t="s">
        <v>8855</v>
      </c>
      <c r="AB437" t="s">
        <v>8856</v>
      </c>
      <c r="AC437" t="s">
        <v>8857</v>
      </c>
      <c r="AD437" t="s">
        <v>8858</v>
      </c>
      <c r="AE437" t="s">
        <v>8859</v>
      </c>
      <c r="AF437" t="s">
        <v>74</v>
      </c>
      <c r="AG437">
        <v>82</v>
      </c>
      <c r="AH437">
        <v>16</v>
      </c>
      <c r="AI437">
        <v>17</v>
      </c>
      <c r="AJ437">
        <v>2</v>
      </c>
      <c r="AK437">
        <v>12</v>
      </c>
      <c r="AL437" t="s">
        <v>151</v>
      </c>
      <c r="AM437" t="s">
        <v>152</v>
      </c>
      <c r="AN437" t="s">
        <v>153</v>
      </c>
      <c r="AO437" t="s">
        <v>207</v>
      </c>
      <c r="AP437" t="s">
        <v>208</v>
      </c>
      <c r="AQ437" t="s">
        <v>74</v>
      </c>
      <c r="AR437" t="s">
        <v>209</v>
      </c>
      <c r="AS437" t="s">
        <v>210</v>
      </c>
      <c r="AT437" t="s">
        <v>7663</v>
      </c>
      <c r="AU437">
        <v>2020</v>
      </c>
      <c r="AV437">
        <v>125</v>
      </c>
      <c r="AW437">
        <v>6</v>
      </c>
      <c r="AX437" t="s">
        <v>74</v>
      </c>
      <c r="AY437" t="s">
        <v>74</v>
      </c>
      <c r="AZ437" t="s">
        <v>74</v>
      </c>
      <c r="BA437" t="s">
        <v>74</v>
      </c>
      <c r="BB437" t="s">
        <v>74</v>
      </c>
      <c r="BC437" t="s">
        <v>74</v>
      </c>
      <c r="BD437" t="s">
        <v>8860</v>
      </c>
      <c r="BE437" t="s">
        <v>8861</v>
      </c>
      <c r="BF437" t="str">
        <f>HYPERLINK("http://dx.doi.org/10.1029/2019JC015882","http://dx.doi.org/10.1029/2019JC015882")</f>
        <v>http://dx.doi.org/10.1029/2019JC015882</v>
      </c>
      <c r="BG437" t="s">
        <v>74</v>
      </c>
      <c r="BH437" t="s">
        <v>74</v>
      </c>
      <c r="BI437">
        <v>17</v>
      </c>
      <c r="BJ437" t="s">
        <v>213</v>
      </c>
      <c r="BK437" t="s">
        <v>102</v>
      </c>
      <c r="BL437" t="s">
        <v>213</v>
      </c>
      <c r="BM437" t="s">
        <v>8843</v>
      </c>
      <c r="BN437" t="s">
        <v>74</v>
      </c>
      <c r="BO437" t="s">
        <v>1474</v>
      </c>
      <c r="BP437" t="s">
        <v>74</v>
      </c>
      <c r="BQ437" t="s">
        <v>74</v>
      </c>
      <c r="BR437" t="s">
        <v>106</v>
      </c>
      <c r="BS437" t="s">
        <v>8862</v>
      </c>
      <c r="BT437" t="str">
        <f>HYPERLINK("https%3A%2F%2Fwww.webofscience.com%2Fwos%2Fwoscc%2Ffull-record%2FWOS:000549832900028","View Full Record in Web of Science")</f>
        <v>View Full Record in Web of Science</v>
      </c>
    </row>
    <row r="438" spans="1:72" x14ac:dyDescent="0.15">
      <c r="A438" t="s">
        <v>72</v>
      </c>
      <c r="B438" t="s">
        <v>8863</v>
      </c>
      <c r="C438" t="s">
        <v>74</v>
      </c>
      <c r="D438" t="s">
        <v>74</v>
      </c>
      <c r="E438" t="s">
        <v>74</v>
      </c>
      <c r="F438" t="s">
        <v>8864</v>
      </c>
      <c r="G438" t="s">
        <v>74</v>
      </c>
      <c r="H438" t="s">
        <v>74</v>
      </c>
      <c r="I438" t="s">
        <v>8865</v>
      </c>
      <c r="J438" t="s">
        <v>194</v>
      </c>
      <c r="K438" t="s">
        <v>74</v>
      </c>
      <c r="L438" t="s">
        <v>74</v>
      </c>
      <c r="M438" t="s">
        <v>78</v>
      </c>
      <c r="N438" t="s">
        <v>79</v>
      </c>
      <c r="O438" t="s">
        <v>74</v>
      </c>
      <c r="P438" t="s">
        <v>74</v>
      </c>
      <c r="Q438" t="s">
        <v>74</v>
      </c>
      <c r="R438" t="s">
        <v>74</v>
      </c>
      <c r="S438" t="s">
        <v>74</v>
      </c>
      <c r="T438" t="s">
        <v>8866</v>
      </c>
      <c r="U438" t="s">
        <v>8867</v>
      </c>
      <c r="V438" t="s">
        <v>8868</v>
      </c>
      <c r="W438" t="s">
        <v>8869</v>
      </c>
      <c r="X438" t="s">
        <v>8870</v>
      </c>
      <c r="Y438" t="s">
        <v>8871</v>
      </c>
      <c r="Z438" t="s">
        <v>8872</v>
      </c>
      <c r="AA438" t="s">
        <v>8873</v>
      </c>
      <c r="AB438" t="s">
        <v>8874</v>
      </c>
      <c r="AC438" t="s">
        <v>8875</v>
      </c>
      <c r="AD438" t="s">
        <v>1672</v>
      </c>
      <c r="AE438" t="s">
        <v>8876</v>
      </c>
      <c r="AF438" t="s">
        <v>74</v>
      </c>
      <c r="AG438">
        <v>103</v>
      </c>
      <c r="AH438">
        <v>9</v>
      </c>
      <c r="AI438">
        <v>13</v>
      </c>
      <c r="AJ438">
        <v>0</v>
      </c>
      <c r="AK438">
        <v>10</v>
      </c>
      <c r="AL438" t="s">
        <v>151</v>
      </c>
      <c r="AM438" t="s">
        <v>152</v>
      </c>
      <c r="AN438" t="s">
        <v>153</v>
      </c>
      <c r="AO438" t="s">
        <v>207</v>
      </c>
      <c r="AP438" t="s">
        <v>208</v>
      </c>
      <c r="AQ438" t="s">
        <v>74</v>
      </c>
      <c r="AR438" t="s">
        <v>209</v>
      </c>
      <c r="AS438" t="s">
        <v>210</v>
      </c>
      <c r="AT438" t="s">
        <v>7663</v>
      </c>
      <c r="AU438">
        <v>2020</v>
      </c>
      <c r="AV438">
        <v>125</v>
      </c>
      <c r="AW438">
        <v>6</v>
      </c>
      <c r="AX438" t="s">
        <v>74</v>
      </c>
      <c r="AY438" t="s">
        <v>74</v>
      </c>
      <c r="AZ438" t="s">
        <v>74</v>
      </c>
      <c r="BA438" t="s">
        <v>74</v>
      </c>
      <c r="BB438" t="s">
        <v>74</v>
      </c>
      <c r="BC438" t="s">
        <v>74</v>
      </c>
      <c r="BD438" t="s">
        <v>8877</v>
      </c>
      <c r="BE438" t="s">
        <v>8878</v>
      </c>
      <c r="BF438" t="str">
        <f>HYPERLINK("http://dx.doi.org/10.1029/2019JC015984","http://dx.doi.org/10.1029/2019JC015984")</f>
        <v>http://dx.doi.org/10.1029/2019JC015984</v>
      </c>
      <c r="BG438" t="s">
        <v>74</v>
      </c>
      <c r="BH438" t="s">
        <v>74</v>
      </c>
      <c r="BI438">
        <v>21</v>
      </c>
      <c r="BJ438" t="s">
        <v>213</v>
      </c>
      <c r="BK438" t="s">
        <v>102</v>
      </c>
      <c r="BL438" t="s">
        <v>213</v>
      </c>
      <c r="BM438" t="s">
        <v>8843</v>
      </c>
      <c r="BN438" t="s">
        <v>74</v>
      </c>
      <c r="BO438" t="s">
        <v>976</v>
      </c>
      <c r="BP438" t="s">
        <v>74</v>
      </c>
      <c r="BQ438" t="s">
        <v>74</v>
      </c>
      <c r="BR438" t="s">
        <v>106</v>
      </c>
      <c r="BS438" t="s">
        <v>8879</v>
      </c>
      <c r="BT438" t="str">
        <f>HYPERLINK("https%3A%2F%2Fwww.webofscience.com%2Fwos%2Fwoscc%2Ffull-record%2FWOS:000549832900039","View Full Record in Web of Science")</f>
        <v>View Full Record in Web of Science</v>
      </c>
    </row>
    <row r="439" spans="1:72" x14ac:dyDescent="0.15">
      <c r="A439" t="s">
        <v>72</v>
      </c>
      <c r="B439" t="s">
        <v>8880</v>
      </c>
      <c r="C439" t="s">
        <v>74</v>
      </c>
      <c r="D439" t="s">
        <v>74</v>
      </c>
      <c r="E439" t="s">
        <v>74</v>
      </c>
      <c r="F439" t="s">
        <v>8881</v>
      </c>
      <c r="G439" t="s">
        <v>74</v>
      </c>
      <c r="H439" t="s">
        <v>74</v>
      </c>
      <c r="I439" t="s">
        <v>8882</v>
      </c>
      <c r="J439" t="s">
        <v>194</v>
      </c>
      <c r="K439" t="s">
        <v>74</v>
      </c>
      <c r="L439" t="s">
        <v>74</v>
      </c>
      <c r="M439" t="s">
        <v>78</v>
      </c>
      <c r="N439" t="s">
        <v>79</v>
      </c>
      <c r="O439" t="s">
        <v>74</v>
      </c>
      <c r="P439" t="s">
        <v>74</v>
      </c>
      <c r="Q439" t="s">
        <v>74</v>
      </c>
      <c r="R439" t="s">
        <v>74</v>
      </c>
      <c r="S439" t="s">
        <v>74</v>
      </c>
      <c r="T439" t="s">
        <v>8883</v>
      </c>
      <c r="U439" t="s">
        <v>8884</v>
      </c>
      <c r="V439" t="s">
        <v>8885</v>
      </c>
      <c r="W439" t="s">
        <v>8886</v>
      </c>
      <c r="X439" t="s">
        <v>8887</v>
      </c>
      <c r="Y439" t="s">
        <v>8888</v>
      </c>
      <c r="Z439" t="s">
        <v>8889</v>
      </c>
      <c r="AA439" t="s">
        <v>74</v>
      </c>
      <c r="AB439" t="s">
        <v>74</v>
      </c>
      <c r="AC439" t="s">
        <v>74</v>
      </c>
      <c r="AD439" t="s">
        <v>74</v>
      </c>
      <c r="AE439" t="s">
        <v>74</v>
      </c>
      <c r="AF439" t="s">
        <v>74</v>
      </c>
      <c r="AG439">
        <v>62</v>
      </c>
      <c r="AH439">
        <v>7</v>
      </c>
      <c r="AI439">
        <v>8</v>
      </c>
      <c r="AJ439">
        <v>0</v>
      </c>
      <c r="AK439">
        <v>23</v>
      </c>
      <c r="AL439" t="s">
        <v>151</v>
      </c>
      <c r="AM439" t="s">
        <v>152</v>
      </c>
      <c r="AN439" t="s">
        <v>153</v>
      </c>
      <c r="AO439" t="s">
        <v>207</v>
      </c>
      <c r="AP439" t="s">
        <v>208</v>
      </c>
      <c r="AQ439" t="s">
        <v>74</v>
      </c>
      <c r="AR439" t="s">
        <v>209</v>
      </c>
      <c r="AS439" t="s">
        <v>210</v>
      </c>
      <c r="AT439" t="s">
        <v>7663</v>
      </c>
      <c r="AU439">
        <v>2020</v>
      </c>
      <c r="AV439">
        <v>125</v>
      </c>
      <c r="AW439">
        <v>6</v>
      </c>
      <c r="AX439" t="s">
        <v>74</v>
      </c>
      <c r="AY439" t="s">
        <v>74</v>
      </c>
      <c r="AZ439" t="s">
        <v>74</v>
      </c>
      <c r="BA439" t="s">
        <v>74</v>
      </c>
      <c r="BB439" t="s">
        <v>74</v>
      </c>
      <c r="BC439" t="s">
        <v>74</v>
      </c>
      <c r="BD439" t="s">
        <v>8890</v>
      </c>
      <c r="BE439" t="s">
        <v>8891</v>
      </c>
      <c r="BF439" t="str">
        <f>HYPERLINK("http://dx.doi.org/10.1029/2020JC016215","http://dx.doi.org/10.1029/2020JC016215")</f>
        <v>http://dx.doi.org/10.1029/2020JC016215</v>
      </c>
      <c r="BG439" t="s">
        <v>74</v>
      </c>
      <c r="BH439" t="s">
        <v>74</v>
      </c>
      <c r="BI439">
        <v>18</v>
      </c>
      <c r="BJ439" t="s">
        <v>213</v>
      </c>
      <c r="BK439" t="s">
        <v>102</v>
      </c>
      <c r="BL439" t="s">
        <v>213</v>
      </c>
      <c r="BM439" t="s">
        <v>8843</v>
      </c>
      <c r="BN439" t="s">
        <v>74</v>
      </c>
      <c r="BO439" t="s">
        <v>74</v>
      </c>
      <c r="BP439" t="s">
        <v>74</v>
      </c>
      <c r="BQ439" t="s">
        <v>74</v>
      </c>
      <c r="BR439" t="s">
        <v>106</v>
      </c>
      <c r="BS439" t="s">
        <v>8892</v>
      </c>
      <c r="BT439" t="str">
        <f>HYPERLINK("https%3A%2F%2Fwww.webofscience.com%2Fwos%2Fwoscc%2Ffull-record%2FWOS:000549832900030","View Full Record in Web of Science")</f>
        <v>View Full Record in Web of Science</v>
      </c>
    </row>
    <row r="440" spans="1:72" x14ac:dyDescent="0.15">
      <c r="A440" t="s">
        <v>72</v>
      </c>
      <c r="B440" t="s">
        <v>8893</v>
      </c>
      <c r="C440" t="s">
        <v>74</v>
      </c>
      <c r="D440" t="s">
        <v>74</v>
      </c>
      <c r="E440" t="s">
        <v>74</v>
      </c>
      <c r="F440" t="s">
        <v>8894</v>
      </c>
      <c r="G440" t="s">
        <v>74</v>
      </c>
      <c r="H440" t="s">
        <v>74</v>
      </c>
      <c r="I440" t="s">
        <v>8895</v>
      </c>
      <c r="J440" t="s">
        <v>194</v>
      </c>
      <c r="K440" t="s">
        <v>74</v>
      </c>
      <c r="L440" t="s">
        <v>74</v>
      </c>
      <c r="M440" t="s">
        <v>78</v>
      </c>
      <c r="N440" t="s">
        <v>79</v>
      </c>
      <c r="O440" t="s">
        <v>74</v>
      </c>
      <c r="P440" t="s">
        <v>74</v>
      </c>
      <c r="Q440" t="s">
        <v>74</v>
      </c>
      <c r="R440" t="s">
        <v>74</v>
      </c>
      <c r="S440" t="s">
        <v>74</v>
      </c>
      <c r="T440" t="s">
        <v>8896</v>
      </c>
      <c r="U440" t="s">
        <v>8897</v>
      </c>
      <c r="V440" t="s">
        <v>8898</v>
      </c>
      <c r="W440" t="s">
        <v>8899</v>
      </c>
      <c r="X440" t="s">
        <v>8900</v>
      </c>
      <c r="Y440" t="s">
        <v>8901</v>
      </c>
      <c r="Z440" t="s">
        <v>8902</v>
      </c>
      <c r="AA440" t="s">
        <v>8903</v>
      </c>
      <c r="AB440" t="s">
        <v>8904</v>
      </c>
      <c r="AC440" t="s">
        <v>8905</v>
      </c>
      <c r="AD440" t="s">
        <v>8906</v>
      </c>
      <c r="AE440" t="s">
        <v>8907</v>
      </c>
      <c r="AF440" t="s">
        <v>74</v>
      </c>
      <c r="AG440">
        <v>25</v>
      </c>
      <c r="AH440">
        <v>8</v>
      </c>
      <c r="AI440">
        <v>8</v>
      </c>
      <c r="AJ440">
        <v>0</v>
      </c>
      <c r="AK440">
        <v>1</v>
      </c>
      <c r="AL440" t="s">
        <v>151</v>
      </c>
      <c r="AM440" t="s">
        <v>152</v>
      </c>
      <c r="AN440" t="s">
        <v>153</v>
      </c>
      <c r="AO440" t="s">
        <v>207</v>
      </c>
      <c r="AP440" t="s">
        <v>208</v>
      </c>
      <c r="AQ440" t="s">
        <v>74</v>
      </c>
      <c r="AR440" t="s">
        <v>209</v>
      </c>
      <c r="AS440" t="s">
        <v>210</v>
      </c>
      <c r="AT440" t="s">
        <v>7663</v>
      </c>
      <c r="AU440">
        <v>2020</v>
      </c>
      <c r="AV440">
        <v>125</v>
      </c>
      <c r="AW440">
        <v>6</v>
      </c>
      <c r="AX440" t="s">
        <v>74</v>
      </c>
      <c r="AY440" t="s">
        <v>74</v>
      </c>
      <c r="AZ440" t="s">
        <v>74</v>
      </c>
      <c r="BA440" t="s">
        <v>74</v>
      </c>
      <c r="BB440" t="s">
        <v>74</v>
      </c>
      <c r="BC440" t="s">
        <v>74</v>
      </c>
      <c r="BD440" t="s">
        <v>8908</v>
      </c>
      <c r="BE440" t="s">
        <v>8909</v>
      </c>
      <c r="BF440" t="str">
        <f>HYPERLINK("http://dx.doi.org/10.1029/2020JC016232","http://dx.doi.org/10.1029/2020JC016232")</f>
        <v>http://dx.doi.org/10.1029/2020JC016232</v>
      </c>
      <c r="BG440" t="s">
        <v>74</v>
      </c>
      <c r="BH440" t="s">
        <v>74</v>
      </c>
      <c r="BI440">
        <v>10</v>
      </c>
      <c r="BJ440" t="s">
        <v>213</v>
      </c>
      <c r="BK440" t="s">
        <v>102</v>
      </c>
      <c r="BL440" t="s">
        <v>213</v>
      </c>
      <c r="BM440" t="s">
        <v>8843</v>
      </c>
      <c r="BN440" t="s">
        <v>74</v>
      </c>
      <c r="BO440" t="s">
        <v>74</v>
      </c>
      <c r="BP440" t="s">
        <v>74</v>
      </c>
      <c r="BQ440" t="s">
        <v>74</v>
      </c>
      <c r="BR440" t="s">
        <v>106</v>
      </c>
      <c r="BS440" t="s">
        <v>8910</v>
      </c>
      <c r="BT440" t="str">
        <f>HYPERLINK("https%3A%2F%2Fwww.webofscience.com%2Fwos%2Fwoscc%2Ffull-record%2FWOS:000549832900006","View Full Record in Web of Science")</f>
        <v>View Full Record in Web of Science</v>
      </c>
    </row>
    <row r="441" spans="1:72" x14ac:dyDescent="0.15">
      <c r="A441" t="s">
        <v>72</v>
      </c>
      <c r="B441" t="s">
        <v>8911</v>
      </c>
      <c r="C441" t="s">
        <v>74</v>
      </c>
      <c r="D441" t="s">
        <v>74</v>
      </c>
      <c r="E441" t="s">
        <v>74</v>
      </c>
      <c r="F441" t="s">
        <v>8912</v>
      </c>
      <c r="G441" t="s">
        <v>74</v>
      </c>
      <c r="H441" t="s">
        <v>74</v>
      </c>
      <c r="I441" t="s">
        <v>8913</v>
      </c>
      <c r="J441" t="s">
        <v>8914</v>
      </c>
      <c r="K441" t="s">
        <v>74</v>
      </c>
      <c r="L441" t="s">
        <v>74</v>
      </c>
      <c r="M441" t="s">
        <v>78</v>
      </c>
      <c r="N441" t="s">
        <v>79</v>
      </c>
      <c r="O441" t="s">
        <v>74</v>
      </c>
      <c r="P441" t="s">
        <v>74</v>
      </c>
      <c r="Q441" t="s">
        <v>74</v>
      </c>
      <c r="R441" t="s">
        <v>74</v>
      </c>
      <c r="S441" t="s">
        <v>74</v>
      </c>
      <c r="T441" t="s">
        <v>8915</v>
      </c>
      <c r="U441" t="s">
        <v>8916</v>
      </c>
      <c r="V441" t="s">
        <v>8917</v>
      </c>
      <c r="W441" t="s">
        <v>8918</v>
      </c>
      <c r="X441" t="s">
        <v>8919</v>
      </c>
      <c r="Y441" t="s">
        <v>8920</v>
      </c>
      <c r="Z441" t="s">
        <v>8921</v>
      </c>
      <c r="AA441" t="s">
        <v>8922</v>
      </c>
      <c r="AB441" t="s">
        <v>8923</v>
      </c>
      <c r="AC441" t="s">
        <v>8924</v>
      </c>
      <c r="AD441" t="s">
        <v>8925</v>
      </c>
      <c r="AE441" t="s">
        <v>8926</v>
      </c>
      <c r="AF441" t="s">
        <v>74</v>
      </c>
      <c r="AG441">
        <v>38</v>
      </c>
      <c r="AH441">
        <v>10</v>
      </c>
      <c r="AI441">
        <v>10</v>
      </c>
      <c r="AJ441">
        <v>5</v>
      </c>
      <c r="AK441">
        <v>28</v>
      </c>
      <c r="AL441" t="s">
        <v>4283</v>
      </c>
      <c r="AM441" t="s">
        <v>4284</v>
      </c>
      <c r="AN441" t="s">
        <v>4285</v>
      </c>
      <c r="AO441" t="s">
        <v>74</v>
      </c>
      <c r="AP441" t="s">
        <v>8927</v>
      </c>
      <c r="AQ441" t="s">
        <v>74</v>
      </c>
      <c r="AR441" t="s">
        <v>8914</v>
      </c>
      <c r="AS441" t="s">
        <v>8928</v>
      </c>
      <c r="AT441" t="s">
        <v>7663</v>
      </c>
      <c r="AU441">
        <v>2020</v>
      </c>
      <c r="AV441">
        <v>8</v>
      </c>
      <c r="AW441">
        <v>6</v>
      </c>
      <c r="AX441" t="s">
        <v>74</v>
      </c>
      <c r="AY441" t="s">
        <v>74</v>
      </c>
      <c r="AZ441" t="s">
        <v>74</v>
      </c>
      <c r="BA441" t="s">
        <v>74</v>
      </c>
      <c r="BB441" t="s">
        <v>74</v>
      </c>
      <c r="BC441" t="s">
        <v>74</v>
      </c>
      <c r="BD441">
        <v>951</v>
      </c>
      <c r="BE441" t="s">
        <v>8929</v>
      </c>
      <c r="BF441" t="str">
        <f>HYPERLINK("http://dx.doi.org/10.3390/microorganisms8060951","http://dx.doi.org/10.3390/microorganisms8060951")</f>
        <v>http://dx.doi.org/10.3390/microorganisms8060951</v>
      </c>
      <c r="BG441" t="s">
        <v>74</v>
      </c>
      <c r="BH441" t="s">
        <v>74</v>
      </c>
      <c r="BI441">
        <v>14</v>
      </c>
      <c r="BJ441" t="s">
        <v>2045</v>
      </c>
      <c r="BK441" t="s">
        <v>102</v>
      </c>
      <c r="BL441" t="s">
        <v>2045</v>
      </c>
      <c r="BM441" t="s">
        <v>8930</v>
      </c>
      <c r="BN441">
        <v>32599781</v>
      </c>
      <c r="BO441" t="s">
        <v>2956</v>
      </c>
      <c r="BP441" t="s">
        <v>74</v>
      </c>
      <c r="BQ441" t="s">
        <v>74</v>
      </c>
      <c r="BR441" t="s">
        <v>106</v>
      </c>
      <c r="BS441" t="s">
        <v>8931</v>
      </c>
      <c r="BT441" t="str">
        <f>HYPERLINK("https%3A%2F%2Fwww.webofscience.com%2Fwos%2Fwoscc%2Ffull-record%2FWOS:000549347100001","View Full Record in Web of Science")</f>
        <v>View Full Record in Web of Science</v>
      </c>
    </row>
    <row r="442" spans="1:72" x14ac:dyDescent="0.15">
      <c r="A442" t="s">
        <v>72</v>
      </c>
      <c r="B442" t="s">
        <v>8932</v>
      </c>
      <c r="C442" t="s">
        <v>74</v>
      </c>
      <c r="D442" t="s">
        <v>74</v>
      </c>
      <c r="E442" t="s">
        <v>74</v>
      </c>
      <c r="F442" t="s">
        <v>8933</v>
      </c>
      <c r="G442" t="s">
        <v>74</v>
      </c>
      <c r="H442" t="s">
        <v>74</v>
      </c>
      <c r="I442" t="s">
        <v>8934</v>
      </c>
      <c r="J442" t="s">
        <v>8914</v>
      </c>
      <c r="K442" t="s">
        <v>74</v>
      </c>
      <c r="L442" t="s">
        <v>74</v>
      </c>
      <c r="M442" t="s">
        <v>78</v>
      </c>
      <c r="N442" t="s">
        <v>79</v>
      </c>
      <c r="O442" t="s">
        <v>74</v>
      </c>
      <c r="P442" t="s">
        <v>74</v>
      </c>
      <c r="Q442" t="s">
        <v>74</v>
      </c>
      <c r="R442" t="s">
        <v>74</v>
      </c>
      <c r="S442" t="s">
        <v>74</v>
      </c>
      <c r="T442" t="s">
        <v>8935</v>
      </c>
      <c r="U442" t="s">
        <v>8936</v>
      </c>
      <c r="V442" t="s">
        <v>8937</v>
      </c>
      <c r="W442" t="s">
        <v>8938</v>
      </c>
      <c r="X442" t="s">
        <v>8939</v>
      </c>
      <c r="Y442" t="s">
        <v>8940</v>
      </c>
      <c r="Z442" t="s">
        <v>8941</v>
      </c>
      <c r="AA442" t="s">
        <v>8942</v>
      </c>
      <c r="AB442" t="s">
        <v>8943</v>
      </c>
      <c r="AC442" t="s">
        <v>8944</v>
      </c>
      <c r="AD442" t="s">
        <v>8945</v>
      </c>
      <c r="AE442" t="s">
        <v>8946</v>
      </c>
      <c r="AF442" t="s">
        <v>74</v>
      </c>
      <c r="AG442">
        <v>106</v>
      </c>
      <c r="AH442">
        <v>13</v>
      </c>
      <c r="AI442">
        <v>14</v>
      </c>
      <c r="AJ442">
        <v>0</v>
      </c>
      <c r="AK442">
        <v>12</v>
      </c>
      <c r="AL442" t="s">
        <v>4283</v>
      </c>
      <c r="AM442" t="s">
        <v>4284</v>
      </c>
      <c r="AN442" t="s">
        <v>4285</v>
      </c>
      <c r="AO442" t="s">
        <v>74</v>
      </c>
      <c r="AP442" t="s">
        <v>8927</v>
      </c>
      <c r="AQ442" t="s">
        <v>74</v>
      </c>
      <c r="AR442" t="s">
        <v>8914</v>
      </c>
      <c r="AS442" t="s">
        <v>8928</v>
      </c>
      <c r="AT442" t="s">
        <v>7663</v>
      </c>
      <c r="AU442">
        <v>2020</v>
      </c>
      <c r="AV442">
        <v>8</v>
      </c>
      <c r="AW442">
        <v>6</v>
      </c>
      <c r="AX442" t="s">
        <v>74</v>
      </c>
      <c r="AY442" t="s">
        <v>74</v>
      </c>
      <c r="AZ442" t="s">
        <v>74</v>
      </c>
      <c r="BA442" t="s">
        <v>74</v>
      </c>
      <c r="BB442" t="s">
        <v>74</v>
      </c>
      <c r="BC442" t="s">
        <v>74</v>
      </c>
      <c r="BD442">
        <v>819</v>
      </c>
      <c r="BE442" t="s">
        <v>8947</v>
      </c>
      <c r="BF442" t="str">
        <f>HYPERLINK("http://dx.doi.org/10.3390/microorganisms8060819","http://dx.doi.org/10.3390/microorganisms8060819")</f>
        <v>http://dx.doi.org/10.3390/microorganisms8060819</v>
      </c>
      <c r="BG442" t="s">
        <v>74</v>
      </c>
      <c r="BH442" t="s">
        <v>74</v>
      </c>
      <c r="BI442">
        <v>26</v>
      </c>
      <c r="BJ442" t="s">
        <v>2045</v>
      </c>
      <c r="BK442" t="s">
        <v>102</v>
      </c>
      <c r="BL442" t="s">
        <v>2045</v>
      </c>
      <c r="BM442" t="s">
        <v>8948</v>
      </c>
      <c r="BN442">
        <v>32486118</v>
      </c>
      <c r="BO442" t="s">
        <v>1567</v>
      </c>
      <c r="BP442" t="s">
        <v>74</v>
      </c>
      <c r="BQ442" t="s">
        <v>74</v>
      </c>
      <c r="BR442" t="s">
        <v>106</v>
      </c>
      <c r="BS442" t="s">
        <v>8949</v>
      </c>
      <c r="BT442" t="str">
        <f>HYPERLINK("https%3A%2F%2Fwww.webofscience.com%2Fwos%2Fwoscc%2Ffull-record%2FWOS:000549213900001","View Full Record in Web of Science")</f>
        <v>View Full Record in Web of Science</v>
      </c>
    </row>
    <row r="443" spans="1:72" x14ac:dyDescent="0.15">
      <c r="A443" t="s">
        <v>72</v>
      </c>
      <c r="B443" t="s">
        <v>8950</v>
      </c>
      <c r="C443" t="s">
        <v>74</v>
      </c>
      <c r="D443" t="s">
        <v>74</v>
      </c>
      <c r="E443" t="s">
        <v>74</v>
      </c>
      <c r="F443" t="s">
        <v>8951</v>
      </c>
      <c r="G443" t="s">
        <v>74</v>
      </c>
      <c r="H443" t="s">
        <v>74</v>
      </c>
      <c r="I443" t="s">
        <v>8952</v>
      </c>
      <c r="J443" t="s">
        <v>8953</v>
      </c>
      <c r="K443" t="s">
        <v>74</v>
      </c>
      <c r="L443" t="s">
        <v>74</v>
      </c>
      <c r="M443" t="s">
        <v>78</v>
      </c>
      <c r="N443" t="s">
        <v>79</v>
      </c>
      <c r="O443" t="s">
        <v>74</v>
      </c>
      <c r="P443" t="s">
        <v>74</v>
      </c>
      <c r="Q443" t="s">
        <v>74</v>
      </c>
      <c r="R443" t="s">
        <v>74</v>
      </c>
      <c r="S443" t="s">
        <v>74</v>
      </c>
      <c r="T443" t="s">
        <v>8954</v>
      </c>
      <c r="U443" t="s">
        <v>8955</v>
      </c>
      <c r="V443" t="s">
        <v>8956</v>
      </c>
      <c r="W443" t="s">
        <v>8957</v>
      </c>
      <c r="X443" t="s">
        <v>8958</v>
      </c>
      <c r="Y443" t="s">
        <v>8959</v>
      </c>
      <c r="Z443" t="s">
        <v>8960</v>
      </c>
      <c r="AA443" t="s">
        <v>8961</v>
      </c>
      <c r="AB443" t="s">
        <v>8962</v>
      </c>
      <c r="AC443" t="s">
        <v>8963</v>
      </c>
      <c r="AD443" t="s">
        <v>8964</v>
      </c>
      <c r="AE443" t="s">
        <v>8965</v>
      </c>
      <c r="AF443" t="s">
        <v>74</v>
      </c>
      <c r="AG443">
        <v>40</v>
      </c>
      <c r="AH443">
        <v>2</v>
      </c>
      <c r="AI443">
        <v>2</v>
      </c>
      <c r="AJ443">
        <v>3</v>
      </c>
      <c r="AK443">
        <v>21</v>
      </c>
      <c r="AL443" t="s">
        <v>4283</v>
      </c>
      <c r="AM443" t="s">
        <v>4284</v>
      </c>
      <c r="AN443" t="s">
        <v>4285</v>
      </c>
      <c r="AO443" t="s">
        <v>74</v>
      </c>
      <c r="AP443" t="s">
        <v>8966</v>
      </c>
      <c r="AQ443" t="s">
        <v>74</v>
      </c>
      <c r="AR443" t="s">
        <v>8967</v>
      </c>
      <c r="AS443" t="s">
        <v>8968</v>
      </c>
      <c r="AT443" t="s">
        <v>7663</v>
      </c>
      <c r="AU443">
        <v>2020</v>
      </c>
      <c r="AV443">
        <v>12</v>
      </c>
      <c r="AW443">
        <v>6</v>
      </c>
      <c r="AX443" t="s">
        <v>74</v>
      </c>
      <c r="AY443" t="s">
        <v>74</v>
      </c>
      <c r="AZ443" t="s">
        <v>74</v>
      </c>
      <c r="BA443" t="s">
        <v>74</v>
      </c>
      <c r="BB443" t="s">
        <v>74</v>
      </c>
      <c r="BC443" t="s">
        <v>74</v>
      </c>
      <c r="BD443">
        <v>1707</v>
      </c>
      <c r="BE443" t="s">
        <v>8969</v>
      </c>
      <c r="BF443" t="str">
        <f>HYPERLINK("http://dx.doi.org/10.3390/w12061707","http://dx.doi.org/10.3390/w12061707")</f>
        <v>http://dx.doi.org/10.3390/w12061707</v>
      </c>
      <c r="BG443" t="s">
        <v>74</v>
      </c>
      <c r="BH443" t="s">
        <v>74</v>
      </c>
      <c r="BI443">
        <v>14</v>
      </c>
      <c r="BJ443" t="s">
        <v>8970</v>
      </c>
      <c r="BK443" t="s">
        <v>102</v>
      </c>
      <c r="BL443" t="s">
        <v>8971</v>
      </c>
      <c r="BM443" t="s">
        <v>8972</v>
      </c>
      <c r="BN443" t="s">
        <v>74</v>
      </c>
      <c r="BO443" t="s">
        <v>105</v>
      </c>
      <c r="BP443" t="s">
        <v>74</v>
      </c>
      <c r="BQ443" t="s">
        <v>74</v>
      </c>
      <c r="BR443" t="s">
        <v>106</v>
      </c>
      <c r="BS443" t="s">
        <v>8973</v>
      </c>
      <c r="BT443" t="str">
        <f>HYPERLINK("https%3A%2F%2Fwww.webofscience.com%2Fwos%2Fwoscc%2Ffull-record%2FWOS:000549444300001","View Full Record in Web of Science")</f>
        <v>View Full Record in Web of Science</v>
      </c>
    </row>
    <row r="444" spans="1:72" x14ac:dyDescent="0.15">
      <c r="A444" t="s">
        <v>72</v>
      </c>
      <c r="B444" t="s">
        <v>8974</v>
      </c>
      <c r="C444" t="s">
        <v>74</v>
      </c>
      <c r="D444" t="s">
        <v>74</v>
      </c>
      <c r="E444" t="s">
        <v>74</v>
      </c>
      <c r="F444" t="s">
        <v>8975</v>
      </c>
      <c r="G444" t="s">
        <v>74</v>
      </c>
      <c r="H444" t="s">
        <v>74</v>
      </c>
      <c r="I444" t="s">
        <v>8976</v>
      </c>
      <c r="J444" t="s">
        <v>8977</v>
      </c>
      <c r="K444" t="s">
        <v>74</v>
      </c>
      <c r="L444" t="s">
        <v>74</v>
      </c>
      <c r="M444" t="s">
        <v>78</v>
      </c>
      <c r="N444" t="s">
        <v>79</v>
      </c>
      <c r="O444" t="s">
        <v>74</v>
      </c>
      <c r="P444" t="s">
        <v>74</v>
      </c>
      <c r="Q444" t="s">
        <v>74</v>
      </c>
      <c r="R444" t="s">
        <v>74</v>
      </c>
      <c r="S444" t="s">
        <v>74</v>
      </c>
      <c r="T444" t="s">
        <v>8978</v>
      </c>
      <c r="U444" t="s">
        <v>8979</v>
      </c>
      <c r="V444" t="s">
        <v>8980</v>
      </c>
      <c r="W444" t="s">
        <v>8981</v>
      </c>
      <c r="X444" t="s">
        <v>74</v>
      </c>
      <c r="Y444" t="s">
        <v>8982</v>
      </c>
      <c r="Z444" t="s">
        <v>8983</v>
      </c>
      <c r="AA444" t="s">
        <v>8984</v>
      </c>
      <c r="AB444" t="s">
        <v>74</v>
      </c>
      <c r="AC444" t="s">
        <v>74</v>
      </c>
      <c r="AD444" t="s">
        <v>74</v>
      </c>
      <c r="AE444" t="s">
        <v>74</v>
      </c>
      <c r="AF444" t="s">
        <v>74</v>
      </c>
      <c r="AG444">
        <v>34</v>
      </c>
      <c r="AH444">
        <v>2</v>
      </c>
      <c r="AI444">
        <v>2</v>
      </c>
      <c r="AJ444">
        <v>0</v>
      </c>
      <c r="AK444">
        <v>7</v>
      </c>
      <c r="AL444" t="s">
        <v>8977</v>
      </c>
      <c r="AM444" t="s">
        <v>8985</v>
      </c>
      <c r="AN444" t="s">
        <v>8986</v>
      </c>
      <c r="AO444" t="s">
        <v>8987</v>
      </c>
      <c r="AP444" t="s">
        <v>8988</v>
      </c>
      <c r="AQ444" t="s">
        <v>74</v>
      </c>
      <c r="AR444" t="s">
        <v>8989</v>
      </c>
      <c r="AS444" t="s">
        <v>8990</v>
      </c>
      <c r="AT444" t="s">
        <v>7663</v>
      </c>
      <c r="AU444">
        <v>2020</v>
      </c>
      <c r="AV444">
        <v>13</v>
      </c>
      <c r="AW444">
        <v>6</v>
      </c>
      <c r="AX444" t="s">
        <v>74</v>
      </c>
      <c r="AY444" t="s">
        <v>74</v>
      </c>
      <c r="AZ444" t="s">
        <v>74</v>
      </c>
      <c r="BA444" t="s">
        <v>74</v>
      </c>
      <c r="BB444">
        <v>1167</v>
      </c>
      <c r="BC444">
        <v>1173</v>
      </c>
      <c r="BD444" t="s">
        <v>74</v>
      </c>
      <c r="BE444" t="s">
        <v>8991</v>
      </c>
      <c r="BF444" t="str">
        <f>HYPERLINK("http://dx.doi.org/10.14202/vetworld.2020.1167-1173","http://dx.doi.org/10.14202/vetworld.2020.1167-1173")</f>
        <v>http://dx.doi.org/10.14202/vetworld.2020.1167-1173</v>
      </c>
      <c r="BG444" t="s">
        <v>74</v>
      </c>
      <c r="BH444" t="s">
        <v>74</v>
      </c>
      <c r="BI444">
        <v>7</v>
      </c>
      <c r="BJ444" t="s">
        <v>8992</v>
      </c>
      <c r="BK444" t="s">
        <v>3838</v>
      </c>
      <c r="BL444" t="s">
        <v>8993</v>
      </c>
      <c r="BM444" t="s">
        <v>8994</v>
      </c>
      <c r="BN444">
        <v>32801569</v>
      </c>
      <c r="BO444" t="s">
        <v>161</v>
      </c>
      <c r="BP444" t="s">
        <v>74</v>
      </c>
      <c r="BQ444" t="s">
        <v>74</v>
      </c>
      <c r="BR444" t="s">
        <v>106</v>
      </c>
      <c r="BS444" t="s">
        <v>8995</v>
      </c>
      <c r="BT444" t="str">
        <f>HYPERLINK("https%3A%2F%2Fwww.webofscience.com%2Fwos%2Fwoscc%2Ffull-record%2FWOS:000548269100021","View Full Record in Web of Science")</f>
        <v>View Full Record in Web of Science</v>
      </c>
    </row>
    <row r="445" spans="1:72" x14ac:dyDescent="0.15">
      <c r="A445" t="s">
        <v>72</v>
      </c>
      <c r="B445" t="s">
        <v>8996</v>
      </c>
      <c r="C445" t="s">
        <v>74</v>
      </c>
      <c r="D445" t="s">
        <v>74</v>
      </c>
      <c r="E445" t="s">
        <v>74</v>
      </c>
      <c r="F445" t="s">
        <v>8997</v>
      </c>
      <c r="G445" t="s">
        <v>74</v>
      </c>
      <c r="H445" t="s">
        <v>74</v>
      </c>
      <c r="I445" t="s">
        <v>8998</v>
      </c>
      <c r="J445" t="s">
        <v>8999</v>
      </c>
      <c r="K445" t="s">
        <v>74</v>
      </c>
      <c r="L445" t="s">
        <v>74</v>
      </c>
      <c r="M445" t="s">
        <v>78</v>
      </c>
      <c r="N445" t="s">
        <v>79</v>
      </c>
      <c r="O445" t="s">
        <v>74</v>
      </c>
      <c r="P445" t="s">
        <v>74</v>
      </c>
      <c r="Q445" t="s">
        <v>74</v>
      </c>
      <c r="R445" t="s">
        <v>74</v>
      </c>
      <c r="S445" t="s">
        <v>74</v>
      </c>
      <c r="T445" t="s">
        <v>9000</v>
      </c>
      <c r="U445" t="s">
        <v>9001</v>
      </c>
      <c r="V445" t="s">
        <v>9002</v>
      </c>
      <c r="W445" t="s">
        <v>9003</v>
      </c>
      <c r="X445" t="s">
        <v>9004</v>
      </c>
      <c r="Y445" t="s">
        <v>9005</v>
      </c>
      <c r="Z445" t="s">
        <v>9006</v>
      </c>
      <c r="AA445" t="s">
        <v>9007</v>
      </c>
      <c r="AB445" t="s">
        <v>9008</v>
      </c>
      <c r="AC445" t="s">
        <v>9009</v>
      </c>
      <c r="AD445" t="s">
        <v>9010</v>
      </c>
      <c r="AE445" t="s">
        <v>9011</v>
      </c>
      <c r="AF445" t="s">
        <v>74</v>
      </c>
      <c r="AG445">
        <v>73</v>
      </c>
      <c r="AH445">
        <v>18</v>
      </c>
      <c r="AI445">
        <v>20</v>
      </c>
      <c r="AJ445">
        <v>2</v>
      </c>
      <c r="AK445">
        <v>36</v>
      </c>
      <c r="AL445" t="s">
        <v>151</v>
      </c>
      <c r="AM445" t="s">
        <v>152</v>
      </c>
      <c r="AN445" t="s">
        <v>153</v>
      </c>
      <c r="AO445" t="s">
        <v>9012</v>
      </c>
      <c r="AP445" t="s">
        <v>9013</v>
      </c>
      <c r="AQ445" t="s">
        <v>74</v>
      </c>
      <c r="AR445" t="s">
        <v>9014</v>
      </c>
      <c r="AS445" t="s">
        <v>9015</v>
      </c>
      <c r="AT445" t="s">
        <v>7663</v>
      </c>
      <c r="AU445">
        <v>2020</v>
      </c>
      <c r="AV445">
        <v>125</v>
      </c>
      <c r="AW445">
        <v>6</v>
      </c>
      <c r="AX445" t="s">
        <v>74</v>
      </c>
      <c r="AY445" t="s">
        <v>74</v>
      </c>
      <c r="AZ445" t="s">
        <v>74</v>
      </c>
      <c r="BA445" t="s">
        <v>74</v>
      </c>
      <c r="BB445" t="s">
        <v>74</v>
      </c>
      <c r="BC445" t="s">
        <v>74</v>
      </c>
      <c r="BD445" t="s">
        <v>9016</v>
      </c>
      <c r="BE445" t="s">
        <v>9017</v>
      </c>
      <c r="BF445" t="str">
        <f>HYPERLINK("http://dx.doi.org/10.1029/2019JG005570","http://dx.doi.org/10.1029/2019JG005570")</f>
        <v>http://dx.doi.org/10.1029/2019JG005570</v>
      </c>
      <c r="BG445" t="s">
        <v>74</v>
      </c>
      <c r="BH445" t="s">
        <v>74</v>
      </c>
      <c r="BI445">
        <v>15</v>
      </c>
      <c r="BJ445" t="s">
        <v>8179</v>
      </c>
      <c r="BK445" t="s">
        <v>102</v>
      </c>
      <c r="BL445" t="s">
        <v>1904</v>
      </c>
      <c r="BM445" t="s">
        <v>9018</v>
      </c>
      <c r="BN445" t="s">
        <v>74</v>
      </c>
      <c r="BO445" t="s">
        <v>74</v>
      </c>
      <c r="BP445" t="s">
        <v>74</v>
      </c>
      <c r="BQ445" t="s">
        <v>74</v>
      </c>
      <c r="BR445" t="s">
        <v>106</v>
      </c>
      <c r="BS445" t="s">
        <v>9019</v>
      </c>
      <c r="BT445" t="str">
        <f>HYPERLINK("https%3A%2F%2Fwww.webofscience.com%2Fwos%2Fwoscc%2Ffull-record%2FWOS:000545943100008","View Full Record in Web of Science")</f>
        <v>View Full Record in Web of Science</v>
      </c>
    </row>
    <row r="446" spans="1:72" x14ac:dyDescent="0.15">
      <c r="A446" t="s">
        <v>72</v>
      </c>
      <c r="B446" t="s">
        <v>9020</v>
      </c>
      <c r="C446" t="s">
        <v>74</v>
      </c>
      <c r="D446" t="s">
        <v>74</v>
      </c>
      <c r="E446" t="s">
        <v>74</v>
      </c>
      <c r="F446" t="s">
        <v>9021</v>
      </c>
      <c r="G446" t="s">
        <v>74</v>
      </c>
      <c r="H446" t="s">
        <v>74</v>
      </c>
      <c r="I446" t="s">
        <v>9022</v>
      </c>
      <c r="J446" t="s">
        <v>9023</v>
      </c>
      <c r="K446" t="s">
        <v>74</v>
      </c>
      <c r="L446" t="s">
        <v>74</v>
      </c>
      <c r="M446" t="s">
        <v>78</v>
      </c>
      <c r="N446" t="s">
        <v>79</v>
      </c>
      <c r="O446" t="s">
        <v>74</v>
      </c>
      <c r="P446" t="s">
        <v>74</v>
      </c>
      <c r="Q446" t="s">
        <v>74</v>
      </c>
      <c r="R446" t="s">
        <v>74</v>
      </c>
      <c r="S446" t="s">
        <v>74</v>
      </c>
      <c r="T446" t="s">
        <v>74</v>
      </c>
      <c r="U446" t="s">
        <v>9024</v>
      </c>
      <c r="V446" t="s">
        <v>9025</v>
      </c>
      <c r="W446" t="s">
        <v>9026</v>
      </c>
      <c r="X446" t="s">
        <v>9027</v>
      </c>
      <c r="Y446" t="s">
        <v>9028</v>
      </c>
      <c r="Z446" t="s">
        <v>9029</v>
      </c>
      <c r="AA446" t="s">
        <v>9030</v>
      </c>
      <c r="AB446" t="s">
        <v>9031</v>
      </c>
      <c r="AC446" t="s">
        <v>9032</v>
      </c>
      <c r="AD446" t="s">
        <v>9033</v>
      </c>
      <c r="AE446" t="s">
        <v>9034</v>
      </c>
      <c r="AF446" t="s">
        <v>74</v>
      </c>
      <c r="AG446">
        <v>42</v>
      </c>
      <c r="AH446">
        <v>41</v>
      </c>
      <c r="AI446">
        <v>41</v>
      </c>
      <c r="AJ446">
        <v>2</v>
      </c>
      <c r="AK446">
        <v>18</v>
      </c>
      <c r="AL446" t="s">
        <v>151</v>
      </c>
      <c r="AM446" t="s">
        <v>152</v>
      </c>
      <c r="AN446" t="s">
        <v>153</v>
      </c>
      <c r="AO446" t="s">
        <v>74</v>
      </c>
      <c r="AP446" t="s">
        <v>9035</v>
      </c>
      <c r="AQ446" t="s">
        <v>74</v>
      </c>
      <c r="AR446" t="s">
        <v>9036</v>
      </c>
      <c r="AS446" t="s">
        <v>9037</v>
      </c>
      <c r="AT446" t="s">
        <v>7663</v>
      </c>
      <c r="AU446">
        <v>2020</v>
      </c>
      <c r="AV446">
        <v>7</v>
      </c>
      <c r="AW446">
        <v>6</v>
      </c>
      <c r="AX446" t="s">
        <v>74</v>
      </c>
      <c r="AY446" t="s">
        <v>74</v>
      </c>
      <c r="AZ446" t="s">
        <v>74</v>
      </c>
      <c r="BA446" t="s">
        <v>74</v>
      </c>
      <c r="BB446" t="s">
        <v>74</v>
      </c>
      <c r="BC446" t="s">
        <v>74</v>
      </c>
      <c r="BD446" t="s">
        <v>9038</v>
      </c>
      <c r="BE446" t="s">
        <v>9039</v>
      </c>
      <c r="BF446" t="str">
        <f>HYPERLINK("http://dx.doi.org/10.1029/2019EA001065","http://dx.doi.org/10.1029/2019EA001065")</f>
        <v>http://dx.doi.org/10.1029/2019EA001065</v>
      </c>
      <c r="BG446" t="s">
        <v>74</v>
      </c>
      <c r="BH446" t="s">
        <v>74</v>
      </c>
      <c r="BI446">
        <v>12</v>
      </c>
      <c r="BJ446" t="s">
        <v>9040</v>
      </c>
      <c r="BK446" t="s">
        <v>102</v>
      </c>
      <c r="BL446" t="s">
        <v>9041</v>
      </c>
      <c r="BM446" t="s">
        <v>9042</v>
      </c>
      <c r="BN446" t="s">
        <v>74</v>
      </c>
      <c r="BO446" t="s">
        <v>2974</v>
      </c>
      <c r="BP446" t="s">
        <v>74</v>
      </c>
      <c r="BQ446" t="s">
        <v>74</v>
      </c>
      <c r="BR446" t="s">
        <v>106</v>
      </c>
      <c r="BS446" t="s">
        <v>9043</v>
      </c>
      <c r="BT446" t="str">
        <f>HYPERLINK("https%3A%2F%2Fwww.webofscience.com%2Fwos%2Fwoscc%2Ffull-record%2FWOS:000545722200003","View Full Record in Web of Science")</f>
        <v>View Full Record in Web of Science</v>
      </c>
    </row>
    <row r="447" spans="1:72" x14ac:dyDescent="0.15">
      <c r="A447" t="s">
        <v>72</v>
      </c>
      <c r="B447" t="s">
        <v>9044</v>
      </c>
      <c r="C447" t="s">
        <v>74</v>
      </c>
      <c r="D447" t="s">
        <v>74</v>
      </c>
      <c r="E447" t="s">
        <v>74</v>
      </c>
      <c r="F447" t="s">
        <v>9045</v>
      </c>
      <c r="G447" t="s">
        <v>74</v>
      </c>
      <c r="H447" t="s">
        <v>74</v>
      </c>
      <c r="I447" t="s">
        <v>9046</v>
      </c>
      <c r="J447" t="s">
        <v>4451</v>
      </c>
      <c r="K447" t="s">
        <v>74</v>
      </c>
      <c r="L447" t="s">
        <v>74</v>
      </c>
      <c r="M447" t="s">
        <v>78</v>
      </c>
      <c r="N447" t="s">
        <v>79</v>
      </c>
      <c r="O447" t="s">
        <v>74</v>
      </c>
      <c r="P447" t="s">
        <v>74</v>
      </c>
      <c r="Q447" t="s">
        <v>74</v>
      </c>
      <c r="R447" t="s">
        <v>74</v>
      </c>
      <c r="S447" t="s">
        <v>74</v>
      </c>
      <c r="T447" t="s">
        <v>9047</v>
      </c>
      <c r="U447" t="s">
        <v>9048</v>
      </c>
      <c r="V447" t="s">
        <v>9049</v>
      </c>
      <c r="W447" t="s">
        <v>9050</v>
      </c>
      <c r="X447" t="s">
        <v>9051</v>
      </c>
      <c r="Y447" t="s">
        <v>9052</v>
      </c>
      <c r="Z447" t="s">
        <v>9053</v>
      </c>
      <c r="AA447" t="s">
        <v>9054</v>
      </c>
      <c r="AB447" t="s">
        <v>9055</v>
      </c>
      <c r="AC447" t="s">
        <v>9056</v>
      </c>
      <c r="AD447" t="s">
        <v>9057</v>
      </c>
      <c r="AE447" t="s">
        <v>9058</v>
      </c>
      <c r="AF447" t="s">
        <v>74</v>
      </c>
      <c r="AG447">
        <v>75</v>
      </c>
      <c r="AH447">
        <v>10</v>
      </c>
      <c r="AI447">
        <v>10</v>
      </c>
      <c r="AJ447">
        <v>1</v>
      </c>
      <c r="AK447">
        <v>8</v>
      </c>
      <c r="AL447" t="s">
        <v>151</v>
      </c>
      <c r="AM447" t="s">
        <v>152</v>
      </c>
      <c r="AN447" t="s">
        <v>153</v>
      </c>
      <c r="AO447" t="s">
        <v>4463</v>
      </c>
      <c r="AP447" t="s">
        <v>4464</v>
      </c>
      <c r="AQ447" t="s">
        <v>74</v>
      </c>
      <c r="AR447" t="s">
        <v>4465</v>
      </c>
      <c r="AS447" t="s">
        <v>4466</v>
      </c>
      <c r="AT447" t="s">
        <v>7663</v>
      </c>
      <c r="AU447">
        <v>2020</v>
      </c>
      <c r="AV447">
        <v>34</v>
      </c>
      <c r="AW447">
        <v>6</v>
      </c>
      <c r="AX447" t="s">
        <v>74</v>
      </c>
      <c r="AY447" t="s">
        <v>74</v>
      </c>
      <c r="AZ447" t="s">
        <v>74</v>
      </c>
      <c r="BA447" t="s">
        <v>74</v>
      </c>
      <c r="BB447" t="s">
        <v>74</v>
      </c>
      <c r="BC447" t="s">
        <v>74</v>
      </c>
      <c r="BD447" t="s">
        <v>9059</v>
      </c>
      <c r="BE447" t="s">
        <v>9060</v>
      </c>
      <c r="BF447" t="str">
        <f>HYPERLINK("http://dx.doi.org/10.1029/2019GB006385","http://dx.doi.org/10.1029/2019GB006385")</f>
        <v>http://dx.doi.org/10.1029/2019GB006385</v>
      </c>
      <c r="BG447" t="s">
        <v>74</v>
      </c>
      <c r="BH447" t="s">
        <v>74</v>
      </c>
      <c r="BI447">
        <v>21</v>
      </c>
      <c r="BJ447" t="s">
        <v>3953</v>
      </c>
      <c r="BK447" t="s">
        <v>102</v>
      </c>
      <c r="BL447" t="s">
        <v>3954</v>
      </c>
      <c r="BM447" t="s">
        <v>9061</v>
      </c>
      <c r="BN447" t="s">
        <v>74</v>
      </c>
      <c r="BO447" t="s">
        <v>133</v>
      </c>
      <c r="BP447" t="s">
        <v>74</v>
      </c>
      <c r="BQ447" t="s">
        <v>74</v>
      </c>
      <c r="BR447" t="s">
        <v>106</v>
      </c>
      <c r="BS447" t="s">
        <v>9062</v>
      </c>
      <c r="BT447" t="str">
        <f>HYPERLINK("https%3A%2F%2Fwww.webofscience.com%2Fwos%2Fwoscc%2Ffull-record%2FWOS:000545764500001","View Full Record in Web of Science")</f>
        <v>View Full Record in Web of Science</v>
      </c>
    </row>
    <row r="448" spans="1:72" x14ac:dyDescent="0.15">
      <c r="A448" t="s">
        <v>72</v>
      </c>
      <c r="B448" t="s">
        <v>9044</v>
      </c>
      <c r="C448" t="s">
        <v>74</v>
      </c>
      <c r="D448" t="s">
        <v>74</v>
      </c>
      <c r="E448" t="s">
        <v>74</v>
      </c>
      <c r="F448" t="s">
        <v>9045</v>
      </c>
      <c r="G448" t="s">
        <v>74</v>
      </c>
      <c r="H448" t="s">
        <v>74</v>
      </c>
      <c r="I448" t="s">
        <v>9063</v>
      </c>
      <c r="J448" t="s">
        <v>4451</v>
      </c>
      <c r="K448" t="s">
        <v>74</v>
      </c>
      <c r="L448" t="s">
        <v>74</v>
      </c>
      <c r="M448" t="s">
        <v>78</v>
      </c>
      <c r="N448" t="s">
        <v>79</v>
      </c>
      <c r="O448" t="s">
        <v>74</v>
      </c>
      <c r="P448" t="s">
        <v>74</v>
      </c>
      <c r="Q448" t="s">
        <v>74</v>
      </c>
      <c r="R448" t="s">
        <v>74</v>
      </c>
      <c r="S448" t="s">
        <v>74</v>
      </c>
      <c r="T448" t="s">
        <v>9064</v>
      </c>
      <c r="U448" t="s">
        <v>9065</v>
      </c>
      <c r="V448" t="s">
        <v>9066</v>
      </c>
      <c r="W448" t="s">
        <v>9067</v>
      </c>
      <c r="X448" t="s">
        <v>9051</v>
      </c>
      <c r="Y448" t="s">
        <v>9052</v>
      </c>
      <c r="Z448" t="s">
        <v>9053</v>
      </c>
      <c r="AA448" t="s">
        <v>9068</v>
      </c>
      <c r="AB448" t="s">
        <v>9069</v>
      </c>
      <c r="AC448" t="s">
        <v>9070</v>
      </c>
      <c r="AD448" t="s">
        <v>9071</v>
      </c>
      <c r="AE448" t="s">
        <v>9072</v>
      </c>
      <c r="AF448" t="s">
        <v>74</v>
      </c>
      <c r="AG448">
        <v>81</v>
      </c>
      <c r="AH448">
        <v>13</v>
      </c>
      <c r="AI448">
        <v>14</v>
      </c>
      <c r="AJ448">
        <v>1</v>
      </c>
      <c r="AK448">
        <v>7</v>
      </c>
      <c r="AL448" t="s">
        <v>151</v>
      </c>
      <c r="AM448" t="s">
        <v>152</v>
      </c>
      <c r="AN448" t="s">
        <v>153</v>
      </c>
      <c r="AO448" t="s">
        <v>4463</v>
      </c>
      <c r="AP448" t="s">
        <v>4464</v>
      </c>
      <c r="AQ448" t="s">
        <v>74</v>
      </c>
      <c r="AR448" t="s">
        <v>4465</v>
      </c>
      <c r="AS448" t="s">
        <v>4466</v>
      </c>
      <c r="AT448" t="s">
        <v>7663</v>
      </c>
      <c r="AU448">
        <v>2020</v>
      </c>
      <c r="AV448">
        <v>34</v>
      </c>
      <c r="AW448">
        <v>6</v>
      </c>
      <c r="AX448" t="s">
        <v>74</v>
      </c>
      <c r="AY448" t="s">
        <v>74</v>
      </c>
      <c r="AZ448" t="s">
        <v>74</v>
      </c>
      <c r="BA448" t="s">
        <v>74</v>
      </c>
      <c r="BB448" t="s">
        <v>74</v>
      </c>
      <c r="BC448" t="s">
        <v>74</v>
      </c>
      <c r="BD448" t="s">
        <v>9073</v>
      </c>
      <c r="BE448" t="s">
        <v>9074</v>
      </c>
      <c r="BF448" t="str">
        <f>HYPERLINK("http://dx.doi.org/10.1029/2019GB006380","http://dx.doi.org/10.1029/2019GB006380")</f>
        <v>http://dx.doi.org/10.1029/2019GB006380</v>
      </c>
      <c r="BG448" t="s">
        <v>74</v>
      </c>
      <c r="BH448" t="s">
        <v>74</v>
      </c>
      <c r="BI448">
        <v>19</v>
      </c>
      <c r="BJ448" t="s">
        <v>3953</v>
      </c>
      <c r="BK448" t="s">
        <v>102</v>
      </c>
      <c r="BL448" t="s">
        <v>3954</v>
      </c>
      <c r="BM448" t="s">
        <v>9061</v>
      </c>
      <c r="BN448" t="s">
        <v>74</v>
      </c>
      <c r="BO448" t="s">
        <v>133</v>
      </c>
      <c r="BP448" t="s">
        <v>74</v>
      </c>
      <c r="BQ448" t="s">
        <v>74</v>
      </c>
      <c r="BR448" t="s">
        <v>106</v>
      </c>
      <c r="BS448" t="s">
        <v>9075</v>
      </c>
      <c r="BT448" t="str">
        <f>HYPERLINK("https%3A%2F%2Fwww.webofscience.com%2Fwos%2Fwoscc%2Ffull-record%2FWOS:000545764500005","View Full Record in Web of Science")</f>
        <v>View Full Record in Web of Science</v>
      </c>
    </row>
    <row r="449" spans="1:72" x14ac:dyDescent="0.15">
      <c r="A449" t="s">
        <v>72</v>
      </c>
      <c r="B449" t="s">
        <v>9076</v>
      </c>
      <c r="C449" t="s">
        <v>74</v>
      </c>
      <c r="D449" t="s">
        <v>74</v>
      </c>
      <c r="E449" t="s">
        <v>74</v>
      </c>
      <c r="F449" t="s">
        <v>9077</v>
      </c>
      <c r="G449" t="s">
        <v>74</v>
      </c>
      <c r="H449" t="s">
        <v>74</v>
      </c>
      <c r="I449" t="s">
        <v>9078</v>
      </c>
      <c r="J449" t="s">
        <v>9079</v>
      </c>
      <c r="K449" t="s">
        <v>74</v>
      </c>
      <c r="L449" t="s">
        <v>74</v>
      </c>
      <c r="M449" t="s">
        <v>78</v>
      </c>
      <c r="N449" t="s">
        <v>79</v>
      </c>
      <c r="O449" t="s">
        <v>74</v>
      </c>
      <c r="P449" t="s">
        <v>74</v>
      </c>
      <c r="Q449" t="s">
        <v>74</v>
      </c>
      <c r="R449" t="s">
        <v>74</v>
      </c>
      <c r="S449" t="s">
        <v>74</v>
      </c>
      <c r="T449" t="s">
        <v>9080</v>
      </c>
      <c r="U449" t="s">
        <v>9081</v>
      </c>
      <c r="V449" t="s">
        <v>9082</v>
      </c>
      <c r="W449" t="s">
        <v>9083</v>
      </c>
      <c r="X449" t="s">
        <v>9084</v>
      </c>
      <c r="Y449" t="s">
        <v>9085</v>
      </c>
      <c r="Z449" t="s">
        <v>9086</v>
      </c>
      <c r="AA449" t="s">
        <v>9087</v>
      </c>
      <c r="AB449" t="s">
        <v>9088</v>
      </c>
      <c r="AC449" t="s">
        <v>9089</v>
      </c>
      <c r="AD449" t="s">
        <v>9090</v>
      </c>
      <c r="AE449" t="s">
        <v>9091</v>
      </c>
      <c r="AF449" t="s">
        <v>74</v>
      </c>
      <c r="AG449">
        <v>66</v>
      </c>
      <c r="AH449">
        <v>6</v>
      </c>
      <c r="AI449">
        <v>6</v>
      </c>
      <c r="AJ449">
        <v>0</v>
      </c>
      <c r="AK449">
        <v>4</v>
      </c>
      <c r="AL449" t="s">
        <v>151</v>
      </c>
      <c r="AM449" t="s">
        <v>152</v>
      </c>
      <c r="AN449" t="s">
        <v>153</v>
      </c>
      <c r="AO449" t="s">
        <v>74</v>
      </c>
      <c r="AP449" t="s">
        <v>9092</v>
      </c>
      <c r="AQ449" t="s">
        <v>74</v>
      </c>
      <c r="AR449" t="s">
        <v>9093</v>
      </c>
      <c r="AS449" t="s">
        <v>9094</v>
      </c>
      <c r="AT449" t="s">
        <v>7663</v>
      </c>
      <c r="AU449">
        <v>2020</v>
      </c>
      <c r="AV449">
        <v>18</v>
      </c>
      <c r="AW449">
        <v>6</v>
      </c>
      <c r="AX449" t="s">
        <v>74</v>
      </c>
      <c r="AY449" t="s">
        <v>74</v>
      </c>
      <c r="AZ449" t="s">
        <v>74</v>
      </c>
      <c r="BA449" t="s">
        <v>74</v>
      </c>
      <c r="BB449" t="s">
        <v>74</v>
      </c>
      <c r="BC449" t="s">
        <v>74</v>
      </c>
      <c r="BD449" t="s">
        <v>9095</v>
      </c>
      <c r="BE449" t="s">
        <v>9096</v>
      </c>
      <c r="BF449" t="str">
        <f>HYPERLINK("http://dx.doi.org/10.1029/2019SW002378","http://dx.doi.org/10.1029/2019SW002378")</f>
        <v>http://dx.doi.org/10.1029/2019SW002378</v>
      </c>
      <c r="BG449" t="s">
        <v>74</v>
      </c>
      <c r="BH449" t="s">
        <v>74</v>
      </c>
      <c r="BI449">
        <v>19</v>
      </c>
      <c r="BJ449" t="s">
        <v>9097</v>
      </c>
      <c r="BK449" t="s">
        <v>102</v>
      </c>
      <c r="BL449" t="s">
        <v>9097</v>
      </c>
      <c r="BM449" t="s">
        <v>9098</v>
      </c>
      <c r="BN449" t="s">
        <v>74</v>
      </c>
      <c r="BO449" t="s">
        <v>1988</v>
      </c>
      <c r="BP449" t="s">
        <v>74</v>
      </c>
      <c r="BQ449" t="s">
        <v>74</v>
      </c>
      <c r="BR449" t="s">
        <v>106</v>
      </c>
      <c r="BS449" t="s">
        <v>9099</v>
      </c>
      <c r="BT449" t="str">
        <f>HYPERLINK("https%3A%2F%2Fwww.webofscience.com%2Fwos%2Fwoscc%2Ffull-record%2FWOS:000545698500005","View Full Record in Web of Science")</f>
        <v>View Full Record in Web of Science</v>
      </c>
    </row>
    <row r="450" spans="1:72" x14ac:dyDescent="0.15">
      <c r="A450" t="s">
        <v>72</v>
      </c>
      <c r="B450" t="s">
        <v>9100</v>
      </c>
      <c r="C450" t="s">
        <v>74</v>
      </c>
      <c r="D450" t="s">
        <v>74</v>
      </c>
      <c r="E450" t="s">
        <v>74</v>
      </c>
      <c r="F450" t="s">
        <v>9101</v>
      </c>
      <c r="G450" t="s">
        <v>74</v>
      </c>
      <c r="H450" t="s">
        <v>74</v>
      </c>
      <c r="I450" t="s">
        <v>9102</v>
      </c>
      <c r="J450" t="s">
        <v>4367</v>
      </c>
      <c r="K450" t="s">
        <v>74</v>
      </c>
      <c r="L450" t="s">
        <v>74</v>
      </c>
      <c r="M450" t="s">
        <v>78</v>
      </c>
      <c r="N450" t="s">
        <v>79</v>
      </c>
      <c r="O450" t="s">
        <v>74</v>
      </c>
      <c r="P450" t="s">
        <v>74</v>
      </c>
      <c r="Q450" t="s">
        <v>74</v>
      </c>
      <c r="R450" t="s">
        <v>74</v>
      </c>
      <c r="S450" t="s">
        <v>74</v>
      </c>
      <c r="T450" t="s">
        <v>9103</v>
      </c>
      <c r="U450" t="s">
        <v>9104</v>
      </c>
      <c r="V450" t="s">
        <v>9105</v>
      </c>
      <c r="W450" t="s">
        <v>9106</v>
      </c>
      <c r="X450" t="s">
        <v>9107</v>
      </c>
      <c r="Y450" t="s">
        <v>9108</v>
      </c>
      <c r="Z450" t="s">
        <v>9109</v>
      </c>
      <c r="AA450" t="s">
        <v>9110</v>
      </c>
      <c r="AB450" t="s">
        <v>9111</v>
      </c>
      <c r="AC450" t="s">
        <v>9112</v>
      </c>
      <c r="AD450" t="s">
        <v>9112</v>
      </c>
      <c r="AE450" t="s">
        <v>9113</v>
      </c>
      <c r="AF450" t="s">
        <v>74</v>
      </c>
      <c r="AG450">
        <v>47</v>
      </c>
      <c r="AH450">
        <v>10</v>
      </c>
      <c r="AI450">
        <v>11</v>
      </c>
      <c r="AJ450">
        <v>1</v>
      </c>
      <c r="AK450">
        <v>18</v>
      </c>
      <c r="AL450" t="s">
        <v>151</v>
      </c>
      <c r="AM450" t="s">
        <v>152</v>
      </c>
      <c r="AN450" t="s">
        <v>153</v>
      </c>
      <c r="AO450" t="s">
        <v>4380</v>
      </c>
      <c r="AP450" t="s">
        <v>4381</v>
      </c>
      <c r="AQ450" t="s">
        <v>74</v>
      </c>
      <c r="AR450" t="s">
        <v>4382</v>
      </c>
      <c r="AS450" t="s">
        <v>4383</v>
      </c>
      <c r="AT450" t="s">
        <v>7663</v>
      </c>
      <c r="AU450">
        <v>2020</v>
      </c>
      <c r="AV450">
        <v>125</v>
      </c>
      <c r="AW450">
        <v>6</v>
      </c>
      <c r="AX450" t="s">
        <v>74</v>
      </c>
      <c r="AY450" t="s">
        <v>74</v>
      </c>
      <c r="AZ450" t="s">
        <v>74</v>
      </c>
      <c r="BA450" t="s">
        <v>74</v>
      </c>
      <c r="BB450" t="s">
        <v>74</v>
      </c>
      <c r="BC450" t="s">
        <v>74</v>
      </c>
      <c r="BD450" t="s">
        <v>9114</v>
      </c>
      <c r="BE450" t="s">
        <v>9115</v>
      </c>
      <c r="BF450" t="str">
        <f>HYPERLINK("http://dx.doi.org/10.1029/2019JA027677","http://dx.doi.org/10.1029/2019JA027677")</f>
        <v>http://dx.doi.org/10.1029/2019JA027677</v>
      </c>
      <c r="BG450" t="s">
        <v>74</v>
      </c>
      <c r="BH450" t="s">
        <v>74</v>
      </c>
      <c r="BI450">
        <v>23</v>
      </c>
      <c r="BJ450" t="s">
        <v>774</v>
      </c>
      <c r="BK450" t="s">
        <v>102</v>
      </c>
      <c r="BL450" t="s">
        <v>774</v>
      </c>
      <c r="BM450" t="s">
        <v>9116</v>
      </c>
      <c r="BN450" t="s">
        <v>74</v>
      </c>
      <c r="BO450" t="s">
        <v>294</v>
      </c>
      <c r="BP450" t="s">
        <v>74</v>
      </c>
      <c r="BQ450" t="s">
        <v>74</v>
      </c>
      <c r="BR450" t="s">
        <v>106</v>
      </c>
      <c r="BS450" t="s">
        <v>9117</v>
      </c>
      <c r="BT450" t="str">
        <f>HYPERLINK("https%3A%2F%2Fwww.webofscience.com%2Fwos%2Fwoscc%2Ffull-record%2FWOS:000545696000034","View Full Record in Web of Science")</f>
        <v>View Full Record in Web of Science</v>
      </c>
    </row>
    <row r="451" spans="1:72" x14ac:dyDescent="0.15">
      <c r="A451" t="s">
        <v>72</v>
      </c>
      <c r="B451" t="s">
        <v>9118</v>
      </c>
      <c r="C451" t="s">
        <v>74</v>
      </c>
      <c r="D451" t="s">
        <v>74</v>
      </c>
      <c r="E451" t="s">
        <v>74</v>
      </c>
      <c r="F451" t="s">
        <v>9119</v>
      </c>
      <c r="G451" t="s">
        <v>74</v>
      </c>
      <c r="H451" t="s">
        <v>74</v>
      </c>
      <c r="I451" t="s">
        <v>9120</v>
      </c>
      <c r="J451" t="s">
        <v>4367</v>
      </c>
      <c r="K451" t="s">
        <v>74</v>
      </c>
      <c r="L451" t="s">
        <v>74</v>
      </c>
      <c r="M451" t="s">
        <v>78</v>
      </c>
      <c r="N451" t="s">
        <v>79</v>
      </c>
      <c r="O451" t="s">
        <v>74</v>
      </c>
      <c r="P451" t="s">
        <v>74</v>
      </c>
      <c r="Q451" t="s">
        <v>74</v>
      </c>
      <c r="R451" t="s">
        <v>74</v>
      </c>
      <c r="S451" t="s">
        <v>74</v>
      </c>
      <c r="T451" t="s">
        <v>74</v>
      </c>
      <c r="U451" t="s">
        <v>9121</v>
      </c>
      <c r="V451" t="s">
        <v>9122</v>
      </c>
      <c r="W451" t="s">
        <v>9123</v>
      </c>
      <c r="X451" t="s">
        <v>9124</v>
      </c>
      <c r="Y451" t="s">
        <v>9125</v>
      </c>
      <c r="Z451" t="s">
        <v>9126</v>
      </c>
      <c r="AA451" t="s">
        <v>9127</v>
      </c>
      <c r="AB451" t="s">
        <v>9128</v>
      </c>
      <c r="AC451" t="s">
        <v>9129</v>
      </c>
      <c r="AD451" t="s">
        <v>9130</v>
      </c>
      <c r="AE451" t="s">
        <v>9131</v>
      </c>
      <c r="AF451" t="s">
        <v>74</v>
      </c>
      <c r="AG451">
        <v>75</v>
      </c>
      <c r="AH451">
        <v>23</v>
      </c>
      <c r="AI451">
        <v>24</v>
      </c>
      <c r="AJ451">
        <v>1</v>
      </c>
      <c r="AK451">
        <v>16</v>
      </c>
      <c r="AL451" t="s">
        <v>151</v>
      </c>
      <c r="AM451" t="s">
        <v>152</v>
      </c>
      <c r="AN451" t="s">
        <v>153</v>
      </c>
      <c r="AO451" t="s">
        <v>4380</v>
      </c>
      <c r="AP451" t="s">
        <v>4381</v>
      </c>
      <c r="AQ451" t="s">
        <v>74</v>
      </c>
      <c r="AR451" t="s">
        <v>4382</v>
      </c>
      <c r="AS451" t="s">
        <v>4383</v>
      </c>
      <c r="AT451" t="s">
        <v>7663</v>
      </c>
      <c r="AU451">
        <v>2020</v>
      </c>
      <c r="AV451">
        <v>125</v>
      </c>
      <c r="AW451">
        <v>6</v>
      </c>
      <c r="AX451" t="s">
        <v>74</v>
      </c>
      <c r="AY451" t="s">
        <v>74</v>
      </c>
      <c r="AZ451" t="s">
        <v>74</v>
      </c>
      <c r="BA451" t="s">
        <v>74</v>
      </c>
      <c r="BB451" t="s">
        <v>74</v>
      </c>
      <c r="BC451" t="s">
        <v>74</v>
      </c>
      <c r="BD451" t="s">
        <v>9132</v>
      </c>
      <c r="BE451" t="s">
        <v>9133</v>
      </c>
      <c r="BF451" t="str">
        <f>HYPERLINK("http://dx.doi.org/10.1029/2019JA026736","http://dx.doi.org/10.1029/2019JA026736")</f>
        <v>http://dx.doi.org/10.1029/2019JA026736</v>
      </c>
      <c r="BG451" t="s">
        <v>74</v>
      </c>
      <c r="BH451" t="s">
        <v>74</v>
      </c>
      <c r="BI451">
        <v>16</v>
      </c>
      <c r="BJ451" t="s">
        <v>774</v>
      </c>
      <c r="BK451" t="s">
        <v>102</v>
      </c>
      <c r="BL451" t="s">
        <v>774</v>
      </c>
      <c r="BM451" t="s">
        <v>9116</v>
      </c>
      <c r="BN451" t="s">
        <v>74</v>
      </c>
      <c r="BO451" t="s">
        <v>74</v>
      </c>
      <c r="BP451" t="s">
        <v>74</v>
      </c>
      <c r="BQ451" t="s">
        <v>74</v>
      </c>
      <c r="BR451" t="s">
        <v>106</v>
      </c>
      <c r="BS451" t="s">
        <v>9134</v>
      </c>
      <c r="BT451" t="str">
        <f>HYPERLINK("https%3A%2F%2Fwww.webofscience.com%2Fwos%2Fwoscc%2Ffull-record%2FWOS:000545696000025","View Full Record in Web of Science")</f>
        <v>View Full Record in Web of Science</v>
      </c>
    </row>
    <row r="452" spans="1:72" x14ac:dyDescent="0.15">
      <c r="A452" t="s">
        <v>72</v>
      </c>
      <c r="B452" t="s">
        <v>9135</v>
      </c>
      <c r="C452" t="s">
        <v>74</v>
      </c>
      <c r="D452" t="s">
        <v>74</v>
      </c>
      <c r="E452" t="s">
        <v>74</v>
      </c>
      <c r="F452" t="s">
        <v>9136</v>
      </c>
      <c r="G452" t="s">
        <v>74</v>
      </c>
      <c r="H452" t="s">
        <v>74</v>
      </c>
      <c r="I452" t="s">
        <v>9137</v>
      </c>
      <c r="J452" t="s">
        <v>4493</v>
      </c>
      <c r="K452" t="s">
        <v>74</v>
      </c>
      <c r="L452" t="s">
        <v>74</v>
      </c>
      <c r="M452" t="s">
        <v>78</v>
      </c>
      <c r="N452" t="s">
        <v>79</v>
      </c>
      <c r="O452" t="s">
        <v>74</v>
      </c>
      <c r="P452" t="s">
        <v>74</v>
      </c>
      <c r="Q452" t="s">
        <v>74</v>
      </c>
      <c r="R452" t="s">
        <v>74</v>
      </c>
      <c r="S452" t="s">
        <v>74</v>
      </c>
      <c r="T452" t="s">
        <v>74</v>
      </c>
      <c r="U452" t="s">
        <v>9138</v>
      </c>
      <c r="V452" t="s">
        <v>9139</v>
      </c>
      <c r="W452" t="s">
        <v>9140</v>
      </c>
      <c r="X452" t="s">
        <v>9141</v>
      </c>
      <c r="Y452" t="s">
        <v>9142</v>
      </c>
      <c r="Z452" t="s">
        <v>9143</v>
      </c>
      <c r="AA452" t="s">
        <v>9144</v>
      </c>
      <c r="AB452" t="s">
        <v>9145</v>
      </c>
      <c r="AC452" t="s">
        <v>9146</v>
      </c>
      <c r="AD452" t="s">
        <v>9147</v>
      </c>
      <c r="AE452" t="s">
        <v>9148</v>
      </c>
      <c r="AF452" t="s">
        <v>74</v>
      </c>
      <c r="AG452">
        <v>123</v>
      </c>
      <c r="AH452">
        <v>5</v>
      </c>
      <c r="AI452">
        <v>6</v>
      </c>
      <c r="AJ452">
        <v>1</v>
      </c>
      <c r="AK452">
        <v>17</v>
      </c>
      <c r="AL452" t="s">
        <v>151</v>
      </c>
      <c r="AM452" t="s">
        <v>152</v>
      </c>
      <c r="AN452" t="s">
        <v>153</v>
      </c>
      <c r="AO452" t="s">
        <v>4506</v>
      </c>
      <c r="AP452" t="s">
        <v>4507</v>
      </c>
      <c r="AQ452" t="s">
        <v>74</v>
      </c>
      <c r="AR452" t="s">
        <v>4508</v>
      </c>
      <c r="AS452" t="s">
        <v>4509</v>
      </c>
      <c r="AT452" t="s">
        <v>7663</v>
      </c>
      <c r="AU452">
        <v>2020</v>
      </c>
      <c r="AV452">
        <v>35</v>
      </c>
      <c r="AW452">
        <v>6</v>
      </c>
      <c r="AX452" t="s">
        <v>74</v>
      </c>
      <c r="AY452" t="s">
        <v>74</v>
      </c>
      <c r="AZ452" t="s">
        <v>74</v>
      </c>
      <c r="BA452" t="s">
        <v>74</v>
      </c>
      <c r="BB452" t="s">
        <v>74</v>
      </c>
      <c r="BC452" t="s">
        <v>74</v>
      </c>
      <c r="BD452" t="s">
        <v>9149</v>
      </c>
      <c r="BE452" t="s">
        <v>9150</v>
      </c>
      <c r="BF452" t="str">
        <f>HYPERLINK("http://dx.doi.org/10.1029/2019PA003811","http://dx.doi.org/10.1029/2019PA003811")</f>
        <v>http://dx.doi.org/10.1029/2019PA003811</v>
      </c>
      <c r="BG452" t="s">
        <v>74</v>
      </c>
      <c r="BH452" t="s">
        <v>74</v>
      </c>
      <c r="BI452">
        <v>14</v>
      </c>
      <c r="BJ452" t="s">
        <v>4512</v>
      </c>
      <c r="BK452" t="s">
        <v>102</v>
      </c>
      <c r="BL452" t="s">
        <v>4513</v>
      </c>
      <c r="BM452" t="s">
        <v>9151</v>
      </c>
      <c r="BN452" t="s">
        <v>74</v>
      </c>
      <c r="BO452" t="s">
        <v>6176</v>
      </c>
      <c r="BP452" t="s">
        <v>74</v>
      </c>
      <c r="BQ452" t="s">
        <v>74</v>
      </c>
      <c r="BR452" t="s">
        <v>106</v>
      </c>
      <c r="BS452" t="s">
        <v>9152</v>
      </c>
      <c r="BT452" t="str">
        <f>HYPERLINK("https%3A%2F%2Fwww.webofscience.com%2Fwos%2Fwoscc%2Ffull-record%2FWOS:000545646500004","View Full Record in Web of Science")</f>
        <v>View Full Record in Web of Science</v>
      </c>
    </row>
    <row r="453" spans="1:72" x14ac:dyDescent="0.15">
      <c r="A453" t="s">
        <v>72</v>
      </c>
      <c r="B453" t="s">
        <v>9153</v>
      </c>
      <c r="C453" t="s">
        <v>74</v>
      </c>
      <c r="D453" t="s">
        <v>74</v>
      </c>
      <c r="E453" t="s">
        <v>74</v>
      </c>
      <c r="F453" t="s">
        <v>9154</v>
      </c>
      <c r="G453" t="s">
        <v>74</v>
      </c>
      <c r="H453" t="s">
        <v>74</v>
      </c>
      <c r="I453" t="s">
        <v>9155</v>
      </c>
      <c r="J453" t="s">
        <v>4493</v>
      </c>
      <c r="K453" t="s">
        <v>74</v>
      </c>
      <c r="L453" t="s">
        <v>74</v>
      </c>
      <c r="M453" t="s">
        <v>78</v>
      </c>
      <c r="N453" t="s">
        <v>79</v>
      </c>
      <c r="O453" t="s">
        <v>74</v>
      </c>
      <c r="P453" t="s">
        <v>74</v>
      </c>
      <c r="Q453" t="s">
        <v>74</v>
      </c>
      <c r="R453" t="s">
        <v>74</v>
      </c>
      <c r="S453" t="s">
        <v>74</v>
      </c>
      <c r="T453" t="s">
        <v>9156</v>
      </c>
      <c r="U453" t="s">
        <v>9157</v>
      </c>
      <c r="V453" t="s">
        <v>9158</v>
      </c>
      <c r="W453" t="s">
        <v>9159</v>
      </c>
      <c r="X453" t="s">
        <v>9160</v>
      </c>
      <c r="Y453" t="s">
        <v>9161</v>
      </c>
      <c r="Z453" t="s">
        <v>9162</v>
      </c>
      <c r="AA453" t="s">
        <v>74</v>
      </c>
      <c r="AB453" t="s">
        <v>9163</v>
      </c>
      <c r="AC453" t="s">
        <v>9164</v>
      </c>
      <c r="AD453" t="s">
        <v>9165</v>
      </c>
      <c r="AE453" t="s">
        <v>9166</v>
      </c>
      <c r="AF453" t="s">
        <v>74</v>
      </c>
      <c r="AG453">
        <v>94</v>
      </c>
      <c r="AH453">
        <v>9</v>
      </c>
      <c r="AI453">
        <v>9</v>
      </c>
      <c r="AJ453">
        <v>1</v>
      </c>
      <c r="AK453">
        <v>13</v>
      </c>
      <c r="AL453" t="s">
        <v>151</v>
      </c>
      <c r="AM453" t="s">
        <v>152</v>
      </c>
      <c r="AN453" t="s">
        <v>153</v>
      </c>
      <c r="AO453" t="s">
        <v>4506</v>
      </c>
      <c r="AP453" t="s">
        <v>4507</v>
      </c>
      <c r="AQ453" t="s">
        <v>74</v>
      </c>
      <c r="AR453" t="s">
        <v>4508</v>
      </c>
      <c r="AS453" t="s">
        <v>4509</v>
      </c>
      <c r="AT453" t="s">
        <v>7663</v>
      </c>
      <c r="AU453">
        <v>2020</v>
      </c>
      <c r="AV453">
        <v>35</v>
      </c>
      <c r="AW453">
        <v>6</v>
      </c>
      <c r="AX453" t="s">
        <v>74</v>
      </c>
      <c r="AY453" t="s">
        <v>74</v>
      </c>
      <c r="AZ453" t="s">
        <v>74</v>
      </c>
      <c r="BA453" t="s">
        <v>74</v>
      </c>
      <c r="BB453" t="s">
        <v>74</v>
      </c>
      <c r="BC453" t="s">
        <v>74</v>
      </c>
      <c r="BD453" t="s">
        <v>9167</v>
      </c>
      <c r="BE453" t="s">
        <v>9168</v>
      </c>
      <c r="BF453" t="str">
        <f>HYPERLINK("http://dx.doi.org/10.1029/2019PA003801","http://dx.doi.org/10.1029/2019PA003801")</f>
        <v>http://dx.doi.org/10.1029/2019PA003801</v>
      </c>
      <c r="BG453" t="s">
        <v>74</v>
      </c>
      <c r="BH453" t="s">
        <v>74</v>
      </c>
      <c r="BI453">
        <v>19</v>
      </c>
      <c r="BJ453" t="s">
        <v>4512</v>
      </c>
      <c r="BK453" t="s">
        <v>102</v>
      </c>
      <c r="BL453" t="s">
        <v>4513</v>
      </c>
      <c r="BM453" t="s">
        <v>9151</v>
      </c>
      <c r="BN453" t="s">
        <v>74</v>
      </c>
      <c r="BO453" t="s">
        <v>133</v>
      </c>
      <c r="BP453" t="s">
        <v>74</v>
      </c>
      <c r="BQ453" t="s">
        <v>74</v>
      </c>
      <c r="BR453" t="s">
        <v>106</v>
      </c>
      <c r="BS453" t="s">
        <v>9169</v>
      </c>
      <c r="BT453" t="str">
        <f>HYPERLINK("https%3A%2F%2Fwww.webofscience.com%2Fwos%2Fwoscc%2Ffull-record%2FWOS:000545646500007","View Full Record in Web of Science")</f>
        <v>View Full Record in Web of Science</v>
      </c>
    </row>
    <row r="454" spans="1:72" x14ac:dyDescent="0.15">
      <c r="A454" t="s">
        <v>72</v>
      </c>
      <c r="B454" t="s">
        <v>9170</v>
      </c>
      <c r="C454" t="s">
        <v>74</v>
      </c>
      <c r="D454" t="s">
        <v>74</v>
      </c>
      <c r="E454" t="s">
        <v>74</v>
      </c>
      <c r="F454" t="s">
        <v>9171</v>
      </c>
      <c r="G454" t="s">
        <v>74</v>
      </c>
      <c r="H454" t="s">
        <v>74</v>
      </c>
      <c r="I454" t="s">
        <v>9172</v>
      </c>
      <c r="J454" t="s">
        <v>9173</v>
      </c>
      <c r="K454" t="s">
        <v>74</v>
      </c>
      <c r="L454" t="s">
        <v>74</v>
      </c>
      <c r="M454" t="s">
        <v>78</v>
      </c>
      <c r="N454" t="s">
        <v>79</v>
      </c>
      <c r="O454" t="s">
        <v>74</v>
      </c>
      <c r="P454" t="s">
        <v>74</v>
      </c>
      <c r="Q454" t="s">
        <v>74</v>
      </c>
      <c r="R454" t="s">
        <v>74</v>
      </c>
      <c r="S454" t="s">
        <v>74</v>
      </c>
      <c r="T454" t="s">
        <v>9174</v>
      </c>
      <c r="U454" t="s">
        <v>9175</v>
      </c>
      <c r="V454" t="s">
        <v>9176</v>
      </c>
      <c r="W454" t="s">
        <v>9177</v>
      </c>
      <c r="X454" t="s">
        <v>2323</v>
      </c>
      <c r="Y454" t="s">
        <v>9178</v>
      </c>
      <c r="Z454" t="s">
        <v>9179</v>
      </c>
      <c r="AA454" t="s">
        <v>9180</v>
      </c>
      <c r="AB454" t="s">
        <v>74</v>
      </c>
      <c r="AC454" t="s">
        <v>9181</v>
      </c>
      <c r="AD454" t="s">
        <v>9182</v>
      </c>
      <c r="AE454" t="s">
        <v>9183</v>
      </c>
      <c r="AF454" t="s">
        <v>74</v>
      </c>
      <c r="AG454">
        <v>131</v>
      </c>
      <c r="AH454">
        <v>13</v>
      </c>
      <c r="AI454">
        <v>15</v>
      </c>
      <c r="AJ454">
        <v>0</v>
      </c>
      <c r="AK454">
        <v>8</v>
      </c>
      <c r="AL454" t="s">
        <v>9184</v>
      </c>
      <c r="AM454" t="s">
        <v>9185</v>
      </c>
      <c r="AN454" t="s">
        <v>9186</v>
      </c>
      <c r="AO454" t="s">
        <v>9187</v>
      </c>
      <c r="AP454" t="s">
        <v>74</v>
      </c>
      <c r="AQ454" t="s">
        <v>74</v>
      </c>
      <c r="AR454" t="s">
        <v>9188</v>
      </c>
      <c r="AS454" t="s">
        <v>9189</v>
      </c>
      <c r="AT454" t="s">
        <v>7663</v>
      </c>
      <c r="AU454">
        <v>2020</v>
      </c>
      <c r="AV454">
        <v>14</v>
      </c>
      <c r="AW454">
        <v>2</v>
      </c>
      <c r="AX454" t="s">
        <v>74</v>
      </c>
      <c r="AY454" t="s">
        <v>74</v>
      </c>
      <c r="AZ454" t="s">
        <v>74</v>
      </c>
      <c r="BA454" t="s">
        <v>74</v>
      </c>
      <c r="BB454">
        <v>605</v>
      </c>
      <c r="BC454">
        <v>634</v>
      </c>
      <c r="BD454" t="s">
        <v>74</v>
      </c>
      <c r="BE454" t="s">
        <v>9190</v>
      </c>
      <c r="BF454" t="str">
        <f>HYPERLINK("http://dx.doi.org/10.1214/19-AOAS1305","http://dx.doi.org/10.1214/19-AOAS1305")</f>
        <v>http://dx.doi.org/10.1214/19-AOAS1305</v>
      </c>
      <c r="BG454" t="s">
        <v>74</v>
      </c>
      <c r="BH454" t="s">
        <v>74</v>
      </c>
      <c r="BI454">
        <v>30</v>
      </c>
      <c r="BJ454" t="s">
        <v>9191</v>
      </c>
      <c r="BK454" t="s">
        <v>102</v>
      </c>
      <c r="BL454" t="s">
        <v>9192</v>
      </c>
      <c r="BM454" t="s">
        <v>9193</v>
      </c>
      <c r="BN454" t="s">
        <v>74</v>
      </c>
      <c r="BO454" t="s">
        <v>9194</v>
      </c>
      <c r="BP454" t="s">
        <v>74</v>
      </c>
      <c r="BQ454" t="s">
        <v>74</v>
      </c>
      <c r="BR454" t="s">
        <v>106</v>
      </c>
      <c r="BS454" t="s">
        <v>9195</v>
      </c>
      <c r="BT454" t="str">
        <f>HYPERLINK("https%3A%2F%2Fwww.webofscience.com%2Fwos%2Fwoscc%2Ffull-record%2FWOS:000545338700005","View Full Record in Web of Science")</f>
        <v>View Full Record in Web of Science</v>
      </c>
    </row>
    <row r="455" spans="1:72" x14ac:dyDescent="0.15">
      <c r="A455" t="s">
        <v>72</v>
      </c>
      <c r="B455" t="s">
        <v>9196</v>
      </c>
      <c r="C455" t="s">
        <v>74</v>
      </c>
      <c r="D455" t="s">
        <v>74</v>
      </c>
      <c r="E455" t="s">
        <v>74</v>
      </c>
      <c r="F455" t="s">
        <v>9197</v>
      </c>
      <c r="G455" t="s">
        <v>74</v>
      </c>
      <c r="H455" t="s">
        <v>74</v>
      </c>
      <c r="I455" t="s">
        <v>9198</v>
      </c>
      <c r="J455" t="s">
        <v>9173</v>
      </c>
      <c r="K455" t="s">
        <v>74</v>
      </c>
      <c r="L455" t="s">
        <v>74</v>
      </c>
      <c r="M455" t="s">
        <v>78</v>
      </c>
      <c r="N455" t="s">
        <v>79</v>
      </c>
      <c r="O455" t="s">
        <v>74</v>
      </c>
      <c r="P455" t="s">
        <v>74</v>
      </c>
      <c r="Q455" t="s">
        <v>74</v>
      </c>
      <c r="R455" t="s">
        <v>74</v>
      </c>
      <c r="S455" t="s">
        <v>74</v>
      </c>
      <c r="T455" t="s">
        <v>9199</v>
      </c>
      <c r="U455" t="s">
        <v>9200</v>
      </c>
      <c r="V455" t="s">
        <v>9201</v>
      </c>
      <c r="W455" t="s">
        <v>9202</v>
      </c>
      <c r="X455" t="s">
        <v>9203</v>
      </c>
      <c r="Y455" t="s">
        <v>9204</v>
      </c>
      <c r="Z455" t="s">
        <v>9205</v>
      </c>
      <c r="AA455" t="s">
        <v>74</v>
      </c>
      <c r="AB455" t="s">
        <v>74</v>
      </c>
      <c r="AC455" t="s">
        <v>9206</v>
      </c>
      <c r="AD455" t="s">
        <v>9207</v>
      </c>
      <c r="AE455" t="s">
        <v>9208</v>
      </c>
      <c r="AF455" t="s">
        <v>74</v>
      </c>
      <c r="AG455">
        <v>49</v>
      </c>
      <c r="AH455">
        <v>5</v>
      </c>
      <c r="AI455">
        <v>5</v>
      </c>
      <c r="AJ455">
        <v>2</v>
      </c>
      <c r="AK455">
        <v>23</v>
      </c>
      <c r="AL455" t="s">
        <v>9209</v>
      </c>
      <c r="AM455" t="s">
        <v>9185</v>
      </c>
      <c r="AN455" t="s">
        <v>9186</v>
      </c>
      <c r="AO455" t="s">
        <v>9187</v>
      </c>
      <c r="AP455" t="s">
        <v>9210</v>
      </c>
      <c r="AQ455" t="s">
        <v>74</v>
      </c>
      <c r="AR455" t="s">
        <v>9188</v>
      </c>
      <c r="AS455" t="s">
        <v>9189</v>
      </c>
      <c r="AT455" t="s">
        <v>7663</v>
      </c>
      <c r="AU455">
        <v>2020</v>
      </c>
      <c r="AV455">
        <v>14</v>
      </c>
      <c r="AW455">
        <v>2</v>
      </c>
      <c r="AX455" t="s">
        <v>74</v>
      </c>
      <c r="AY455" t="s">
        <v>74</v>
      </c>
      <c r="AZ455" t="s">
        <v>74</v>
      </c>
      <c r="BA455" t="s">
        <v>74</v>
      </c>
      <c r="BB455">
        <v>872</v>
      </c>
      <c r="BC455">
        <v>904</v>
      </c>
      <c r="BD455" t="s">
        <v>74</v>
      </c>
      <c r="BE455" t="s">
        <v>9211</v>
      </c>
      <c r="BF455" t="str">
        <f>HYPERLINK("http://dx.doi.org/10.1214/20-AOAS1331","http://dx.doi.org/10.1214/20-AOAS1331")</f>
        <v>http://dx.doi.org/10.1214/20-AOAS1331</v>
      </c>
      <c r="BG455" t="s">
        <v>74</v>
      </c>
      <c r="BH455" t="s">
        <v>74</v>
      </c>
      <c r="BI455">
        <v>33</v>
      </c>
      <c r="BJ455" t="s">
        <v>9191</v>
      </c>
      <c r="BK455" t="s">
        <v>102</v>
      </c>
      <c r="BL455" t="s">
        <v>9192</v>
      </c>
      <c r="BM455" t="s">
        <v>9193</v>
      </c>
      <c r="BN455" t="s">
        <v>74</v>
      </c>
      <c r="BO455" t="s">
        <v>3041</v>
      </c>
      <c r="BP455" t="s">
        <v>74</v>
      </c>
      <c r="BQ455" t="s">
        <v>74</v>
      </c>
      <c r="BR455" t="s">
        <v>106</v>
      </c>
      <c r="BS455" t="s">
        <v>9212</v>
      </c>
      <c r="BT455" t="str">
        <f>HYPERLINK("https%3A%2F%2Fwww.webofscience.com%2Fwos%2Fwoscc%2Ffull-record%2FWOS:000545338700016","View Full Record in Web of Science")</f>
        <v>View Full Record in Web of Science</v>
      </c>
    </row>
    <row r="456" spans="1:72" x14ac:dyDescent="0.15">
      <c r="A456" t="s">
        <v>72</v>
      </c>
      <c r="B456" t="s">
        <v>9213</v>
      </c>
      <c r="C456" t="s">
        <v>74</v>
      </c>
      <c r="D456" t="s">
        <v>74</v>
      </c>
      <c r="E456" t="s">
        <v>74</v>
      </c>
      <c r="F456" t="s">
        <v>9214</v>
      </c>
      <c r="G456" t="s">
        <v>74</v>
      </c>
      <c r="H456" t="s">
        <v>74</v>
      </c>
      <c r="I456" t="s">
        <v>9215</v>
      </c>
      <c r="J456" t="s">
        <v>9216</v>
      </c>
      <c r="K456" t="s">
        <v>74</v>
      </c>
      <c r="L456" t="s">
        <v>74</v>
      </c>
      <c r="M456" t="s">
        <v>78</v>
      </c>
      <c r="N456" t="s">
        <v>79</v>
      </c>
      <c r="O456" t="s">
        <v>74</v>
      </c>
      <c r="P456" t="s">
        <v>74</v>
      </c>
      <c r="Q456" t="s">
        <v>74</v>
      </c>
      <c r="R456" t="s">
        <v>74</v>
      </c>
      <c r="S456" t="s">
        <v>74</v>
      </c>
      <c r="T456" t="s">
        <v>9217</v>
      </c>
      <c r="U456" t="s">
        <v>9218</v>
      </c>
      <c r="V456" t="s">
        <v>9219</v>
      </c>
      <c r="W456" t="s">
        <v>9220</v>
      </c>
      <c r="X456" t="s">
        <v>7487</v>
      </c>
      <c r="Y456" t="s">
        <v>9221</v>
      </c>
      <c r="Z456" t="s">
        <v>74</v>
      </c>
      <c r="AA456" t="s">
        <v>9222</v>
      </c>
      <c r="AB456" t="s">
        <v>9223</v>
      </c>
      <c r="AC456" t="s">
        <v>9224</v>
      </c>
      <c r="AD456" t="s">
        <v>9225</v>
      </c>
      <c r="AE456" t="s">
        <v>9226</v>
      </c>
      <c r="AF456" t="s">
        <v>74</v>
      </c>
      <c r="AG456">
        <v>45</v>
      </c>
      <c r="AH456">
        <v>3</v>
      </c>
      <c r="AI456">
        <v>5</v>
      </c>
      <c r="AJ456">
        <v>1</v>
      </c>
      <c r="AK456">
        <v>5</v>
      </c>
      <c r="AL456" t="s">
        <v>9227</v>
      </c>
      <c r="AM456" t="s">
        <v>9228</v>
      </c>
      <c r="AN456" t="s">
        <v>9229</v>
      </c>
      <c r="AO456" t="s">
        <v>9230</v>
      </c>
      <c r="AP456" t="s">
        <v>74</v>
      </c>
      <c r="AQ456" t="s">
        <v>74</v>
      </c>
      <c r="AR456" t="s">
        <v>9231</v>
      </c>
      <c r="AS456" t="s">
        <v>9232</v>
      </c>
      <c r="AT456" t="s">
        <v>7663</v>
      </c>
      <c r="AU456">
        <v>2020</v>
      </c>
      <c r="AV456">
        <v>25</v>
      </c>
      <c r="AW456">
        <v>2</v>
      </c>
      <c r="AX456" t="s">
        <v>74</v>
      </c>
      <c r="AY456" t="s">
        <v>74</v>
      </c>
      <c r="AZ456" t="s">
        <v>74</v>
      </c>
      <c r="BA456" t="s">
        <v>74</v>
      </c>
      <c r="BB456" t="s">
        <v>74</v>
      </c>
      <c r="BC456" t="s">
        <v>74</v>
      </c>
      <c r="BD456">
        <v>22</v>
      </c>
      <c r="BE456" t="s">
        <v>9233</v>
      </c>
      <c r="BF456" t="str">
        <f>HYPERLINK("http://dx.doi.org/10.5751/ES-11602-250222","http://dx.doi.org/10.5751/ES-11602-250222")</f>
        <v>http://dx.doi.org/10.5751/ES-11602-250222</v>
      </c>
      <c r="BG456" t="s">
        <v>74</v>
      </c>
      <c r="BH456" t="s">
        <v>74</v>
      </c>
      <c r="BI456">
        <v>16</v>
      </c>
      <c r="BJ456" t="s">
        <v>9234</v>
      </c>
      <c r="BK456" t="s">
        <v>925</v>
      </c>
      <c r="BL456" t="s">
        <v>103</v>
      </c>
      <c r="BM456" t="s">
        <v>9235</v>
      </c>
      <c r="BN456" t="s">
        <v>74</v>
      </c>
      <c r="BO456" t="s">
        <v>161</v>
      </c>
      <c r="BP456" t="s">
        <v>74</v>
      </c>
      <c r="BQ456" t="s">
        <v>74</v>
      </c>
      <c r="BR456" t="s">
        <v>106</v>
      </c>
      <c r="BS456" t="s">
        <v>9236</v>
      </c>
      <c r="BT456" t="str">
        <f>HYPERLINK("https%3A%2F%2Fwww.webofscience.com%2Fwos%2Fwoscc%2Ffull-record%2FWOS:000545036900026","View Full Record in Web of Science")</f>
        <v>View Full Record in Web of Science</v>
      </c>
    </row>
    <row r="457" spans="1:72" x14ac:dyDescent="0.15">
      <c r="A457" t="s">
        <v>72</v>
      </c>
      <c r="B457" t="s">
        <v>9237</v>
      </c>
      <c r="C457" t="s">
        <v>74</v>
      </c>
      <c r="D457" t="s">
        <v>74</v>
      </c>
      <c r="E457" t="s">
        <v>74</v>
      </c>
      <c r="F457" t="s">
        <v>9238</v>
      </c>
      <c r="G457" t="s">
        <v>74</v>
      </c>
      <c r="H457" t="s">
        <v>74</v>
      </c>
      <c r="I457" t="s">
        <v>9239</v>
      </c>
      <c r="J457" t="s">
        <v>9240</v>
      </c>
      <c r="K457" t="s">
        <v>74</v>
      </c>
      <c r="L457" t="s">
        <v>74</v>
      </c>
      <c r="M457" t="s">
        <v>78</v>
      </c>
      <c r="N457" t="s">
        <v>79</v>
      </c>
      <c r="O457" t="s">
        <v>74</v>
      </c>
      <c r="P457" t="s">
        <v>74</v>
      </c>
      <c r="Q457" t="s">
        <v>74</v>
      </c>
      <c r="R457" t="s">
        <v>74</v>
      </c>
      <c r="S457" t="s">
        <v>74</v>
      </c>
      <c r="T457" t="s">
        <v>74</v>
      </c>
      <c r="U457" t="s">
        <v>9241</v>
      </c>
      <c r="V457" t="s">
        <v>9242</v>
      </c>
      <c r="W457" t="s">
        <v>9243</v>
      </c>
      <c r="X457" t="s">
        <v>9244</v>
      </c>
      <c r="Y457" t="s">
        <v>9245</v>
      </c>
      <c r="Z457" t="s">
        <v>9246</v>
      </c>
      <c r="AA457" t="s">
        <v>9247</v>
      </c>
      <c r="AB457" t="s">
        <v>9248</v>
      </c>
      <c r="AC457" t="s">
        <v>9249</v>
      </c>
      <c r="AD457" t="s">
        <v>9250</v>
      </c>
      <c r="AE457" t="s">
        <v>9251</v>
      </c>
      <c r="AF457" t="s">
        <v>74</v>
      </c>
      <c r="AG457">
        <v>56</v>
      </c>
      <c r="AH457">
        <v>4</v>
      </c>
      <c r="AI457">
        <v>6</v>
      </c>
      <c r="AJ457">
        <v>0</v>
      </c>
      <c r="AK457">
        <v>7</v>
      </c>
      <c r="AL457" t="s">
        <v>398</v>
      </c>
      <c r="AM457" t="s">
        <v>399</v>
      </c>
      <c r="AN457" t="s">
        <v>400</v>
      </c>
      <c r="AO457" t="s">
        <v>9252</v>
      </c>
      <c r="AP457" t="s">
        <v>9253</v>
      </c>
      <c r="AQ457" t="s">
        <v>74</v>
      </c>
      <c r="AR457" t="s">
        <v>9254</v>
      </c>
      <c r="AS457" t="s">
        <v>9255</v>
      </c>
      <c r="AT457" t="s">
        <v>7663</v>
      </c>
      <c r="AU457">
        <v>2020</v>
      </c>
      <c r="AV457">
        <v>86</v>
      </c>
      <c r="AW457" t="s">
        <v>74</v>
      </c>
      <c r="AX457" t="s">
        <v>74</v>
      </c>
      <c r="AY457" t="s">
        <v>74</v>
      </c>
      <c r="AZ457" t="s">
        <v>74</v>
      </c>
      <c r="BA457" t="s">
        <v>74</v>
      </c>
      <c r="BB457">
        <v>67</v>
      </c>
      <c r="BC457" t="s">
        <v>1244</v>
      </c>
      <c r="BD457" t="s">
        <v>74</v>
      </c>
      <c r="BE457" t="s">
        <v>9256</v>
      </c>
      <c r="BF457" t="str">
        <f>HYPERLINK("http://dx.doi.org/10.1016/j.exphem.2020.05.003","http://dx.doi.org/10.1016/j.exphem.2020.05.003")</f>
        <v>http://dx.doi.org/10.1016/j.exphem.2020.05.003</v>
      </c>
      <c r="BG457" t="s">
        <v>74</v>
      </c>
      <c r="BH457" t="s">
        <v>74</v>
      </c>
      <c r="BI457">
        <v>13</v>
      </c>
      <c r="BJ457" t="s">
        <v>9257</v>
      </c>
      <c r="BK457" t="s">
        <v>102</v>
      </c>
      <c r="BL457" t="s">
        <v>9258</v>
      </c>
      <c r="BM457" t="s">
        <v>9259</v>
      </c>
      <c r="BN457">
        <v>32422231</v>
      </c>
      <c r="BO457" t="s">
        <v>189</v>
      </c>
      <c r="BP457" t="s">
        <v>74</v>
      </c>
      <c r="BQ457" t="s">
        <v>74</v>
      </c>
      <c r="BR457" t="s">
        <v>106</v>
      </c>
      <c r="BS457" t="s">
        <v>9260</v>
      </c>
      <c r="BT457" t="str">
        <f>HYPERLINK("https%3A%2F%2Fwww.webofscience.com%2Fwos%2Fwoscc%2Ffull-record%2FWOS:000545691900007","View Full Record in Web of Science")</f>
        <v>View Full Record in Web of Science</v>
      </c>
    </row>
    <row r="458" spans="1:72" x14ac:dyDescent="0.15">
      <c r="A458" t="s">
        <v>72</v>
      </c>
      <c r="B458" t="s">
        <v>9261</v>
      </c>
      <c r="C458" t="s">
        <v>74</v>
      </c>
      <c r="D458" t="s">
        <v>74</v>
      </c>
      <c r="E458" t="s">
        <v>74</v>
      </c>
      <c r="F458" t="s">
        <v>9262</v>
      </c>
      <c r="G458" t="s">
        <v>74</v>
      </c>
      <c r="H458" t="s">
        <v>74</v>
      </c>
      <c r="I458" t="s">
        <v>9263</v>
      </c>
      <c r="J458" t="s">
        <v>77</v>
      </c>
      <c r="K458" t="s">
        <v>74</v>
      </c>
      <c r="L458" t="s">
        <v>74</v>
      </c>
      <c r="M458" t="s">
        <v>78</v>
      </c>
      <c r="N458" t="s">
        <v>79</v>
      </c>
      <c r="O458" t="s">
        <v>74</v>
      </c>
      <c r="P458" t="s">
        <v>74</v>
      </c>
      <c r="Q458" t="s">
        <v>74</v>
      </c>
      <c r="R458" t="s">
        <v>74</v>
      </c>
      <c r="S458" t="s">
        <v>74</v>
      </c>
      <c r="T458" t="s">
        <v>9264</v>
      </c>
      <c r="U458" t="s">
        <v>9265</v>
      </c>
      <c r="V458" t="s">
        <v>9266</v>
      </c>
      <c r="W458" t="s">
        <v>9267</v>
      </c>
      <c r="X458" t="s">
        <v>9268</v>
      </c>
      <c r="Y458" t="s">
        <v>9269</v>
      </c>
      <c r="Z458" t="s">
        <v>9270</v>
      </c>
      <c r="AA458" t="s">
        <v>74</v>
      </c>
      <c r="AB458" t="s">
        <v>74</v>
      </c>
      <c r="AC458" t="s">
        <v>9271</v>
      </c>
      <c r="AD458" t="s">
        <v>9271</v>
      </c>
      <c r="AE458" t="s">
        <v>9272</v>
      </c>
      <c r="AF458" t="s">
        <v>74</v>
      </c>
      <c r="AG458">
        <v>60</v>
      </c>
      <c r="AH458">
        <v>26</v>
      </c>
      <c r="AI458">
        <v>29</v>
      </c>
      <c r="AJ458">
        <v>5</v>
      </c>
      <c r="AK458">
        <v>68</v>
      </c>
      <c r="AL458" t="s">
        <v>92</v>
      </c>
      <c r="AM458" t="s">
        <v>93</v>
      </c>
      <c r="AN458" t="s">
        <v>94</v>
      </c>
      <c r="AO458" t="s">
        <v>95</v>
      </c>
      <c r="AP458" t="s">
        <v>96</v>
      </c>
      <c r="AQ458" t="s">
        <v>74</v>
      </c>
      <c r="AR458" t="s">
        <v>97</v>
      </c>
      <c r="AS458" t="s">
        <v>98</v>
      </c>
      <c r="AT458" t="s">
        <v>7663</v>
      </c>
      <c r="AU458">
        <v>2020</v>
      </c>
      <c r="AV458">
        <v>139</v>
      </c>
      <c r="AW458" t="s">
        <v>74</v>
      </c>
      <c r="AX458" t="s">
        <v>74</v>
      </c>
      <c r="AY458" t="s">
        <v>74</v>
      </c>
      <c r="AZ458" t="s">
        <v>74</v>
      </c>
      <c r="BA458" t="s">
        <v>74</v>
      </c>
      <c r="BB458" t="s">
        <v>74</v>
      </c>
      <c r="BC458" t="s">
        <v>74</v>
      </c>
      <c r="BD458">
        <v>105704</v>
      </c>
      <c r="BE458" t="s">
        <v>9273</v>
      </c>
      <c r="BF458" t="str">
        <f>HYPERLINK("http://dx.doi.org/10.1016/j.envint.2020.105704","http://dx.doi.org/10.1016/j.envint.2020.105704")</f>
        <v>http://dx.doi.org/10.1016/j.envint.2020.105704</v>
      </c>
      <c r="BG458" t="s">
        <v>74</v>
      </c>
      <c r="BH458" t="s">
        <v>74</v>
      </c>
      <c r="BI458">
        <v>6</v>
      </c>
      <c r="BJ458" t="s">
        <v>101</v>
      </c>
      <c r="BK458" t="s">
        <v>102</v>
      </c>
      <c r="BL458" t="s">
        <v>103</v>
      </c>
      <c r="BM458" t="s">
        <v>9274</v>
      </c>
      <c r="BN458">
        <v>32278194</v>
      </c>
      <c r="BO458" t="s">
        <v>105</v>
      </c>
      <c r="BP458" t="s">
        <v>74</v>
      </c>
      <c r="BQ458" t="s">
        <v>74</v>
      </c>
      <c r="BR458" t="s">
        <v>106</v>
      </c>
      <c r="BS458" t="s">
        <v>9275</v>
      </c>
      <c r="BT458" t="str">
        <f>HYPERLINK("https%3A%2F%2Fwww.webofscience.com%2Fwos%2Fwoscc%2Ffull-record%2FWOS:000544885700009","View Full Record in Web of Science")</f>
        <v>View Full Record in Web of Science</v>
      </c>
    </row>
    <row r="459" spans="1:72" x14ac:dyDescent="0.15">
      <c r="A459" t="s">
        <v>72</v>
      </c>
      <c r="B459" t="s">
        <v>9276</v>
      </c>
      <c r="C459" t="s">
        <v>74</v>
      </c>
      <c r="D459" t="s">
        <v>74</v>
      </c>
      <c r="E459" t="s">
        <v>74</v>
      </c>
      <c r="F459" t="s">
        <v>9277</v>
      </c>
      <c r="G459" t="s">
        <v>74</v>
      </c>
      <c r="H459" t="s">
        <v>74</v>
      </c>
      <c r="I459" t="s">
        <v>9278</v>
      </c>
      <c r="J459" t="s">
        <v>4343</v>
      </c>
      <c r="K459" t="s">
        <v>74</v>
      </c>
      <c r="L459" t="s">
        <v>74</v>
      </c>
      <c r="M459" t="s">
        <v>78</v>
      </c>
      <c r="N459" t="s">
        <v>79</v>
      </c>
      <c r="O459" t="s">
        <v>74</v>
      </c>
      <c r="P459" t="s">
        <v>74</v>
      </c>
      <c r="Q459" t="s">
        <v>74</v>
      </c>
      <c r="R459" t="s">
        <v>74</v>
      </c>
      <c r="S459" t="s">
        <v>74</v>
      </c>
      <c r="T459" t="s">
        <v>9279</v>
      </c>
      <c r="U459" t="s">
        <v>9280</v>
      </c>
      <c r="V459" t="s">
        <v>9281</v>
      </c>
      <c r="W459" t="s">
        <v>9282</v>
      </c>
      <c r="X459" t="s">
        <v>9283</v>
      </c>
      <c r="Y459" t="s">
        <v>9284</v>
      </c>
      <c r="Z459" t="s">
        <v>9285</v>
      </c>
      <c r="AA459" t="s">
        <v>9286</v>
      </c>
      <c r="AB459" t="s">
        <v>9287</v>
      </c>
      <c r="AC459" t="s">
        <v>9288</v>
      </c>
      <c r="AD459" t="s">
        <v>9289</v>
      </c>
      <c r="AE459" t="s">
        <v>9290</v>
      </c>
      <c r="AF459" t="s">
        <v>74</v>
      </c>
      <c r="AG459">
        <v>57</v>
      </c>
      <c r="AH459">
        <v>11</v>
      </c>
      <c r="AI459">
        <v>13</v>
      </c>
      <c r="AJ459">
        <v>4</v>
      </c>
      <c r="AK459">
        <v>25</v>
      </c>
      <c r="AL459" t="s">
        <v>4283</v>
      </c>
      <c r="AM459" t="s">
        <v>4284</v>
      </c>
      <c r="AN459" t="s">
        <v>4285</v>
      </c>
      <c r="AO459" t="s">
        <v>74</v>
      </c>
      <c r="AP459" t="s">
        <v>4356</v>
      </c>
      <c r="AQ459" t="s">
        <v>74</v>
      </c>
      <c r="AR459" t="s">
        <v>4357</v>
      </c>
      <c r="AS459" t="s">
        <v>4358</v>
      </c>
      <c r="AT459" t="s">
        <v>7663</v>
      </c>
      <c r="AU459">
        <v>2020</v>
      </c>
      <c r="AV459">
        <v>12</v>
      </c>
      <c r="AW459">
        <v>11</v>
      </c>
      <c r="AX459" t="s">
        <v>74</v>
      </c>
      <c r="AY459" t="s">
        <v>74</v>
      </c>
      <c r="AZ459" t="s">
        <v>74</v>
      </c>
      <c r="BA459" t="s">
        <v>74</v>
      </c>
      <c r="BB459" t="s">
        <v>74</v>
      </c>
      <c r="BC459" t="s">
        <v>74</v>
      </c>
      <c r="BD459">
        <v>1809</v>
      </c>
      <c r="BE459" t="s">
        <v>9291</v>
      </c>
      <c r="BF459" t="str">
        <f>HYPERLINK("http://dx.doi.org/10.3390/rs12111809","http://dx.doi.org/10.3390/rs12111809")</f>
        <v>http://dx.doi.org/10.3390/rs12111809</v>
      </c>
      <c r="BG459" t="s">
        <v>74</v>
      </c>
      <c r="BH459" t="s">
        <v>74</v>
      </c>
      <c r="BI459">
        <v>18</v>
      </c>
      <c r="BJ459" t="s">
        <v>4360</v>
      </c>
      <c r="BK459" t="s">
        <v>102</v>
      </c>
      <c r="BL459" t="s">
        <v>4361</v>
      </c>
      <c r="BM459" t="s">
        <v>9292</v>
      </c>
      <c r="BN459" t="s">
        <v>74</v>
      </c>
      <c r="BO459" t="s">
        <v>105</v>
      </c>
      <c r="BP459" t="s">
        <v>74</v>
      </c>
      <c r="BQ459" t="s">
        <v>74</v>
      </c>
      <c r="BR459" t="s">
        <v>106</v>
      </c>
      <c r="BS459" t="s">
        <v>9293</v>
      </c>
      <c r="BT459" t="str">
        <f>HYPERLINK("https%3A%2F%2Fwww.webofscience.com%2Fwos%2Fwoscc%2Ffull-record%2FWOS:000543397000114","View Full Record in Web of Science")</f>
        <v>View Full Record in Web of Science</v>
      </c>
    </row>
    <row r="460" spans="1:72" x14ac:dyDescent="0.15">
      <c r="A460" t="s">
        <v>72</v>
      </c>
      <c r="B460" t="s">
        <v>9294</v>
      </c>
      <c r="C460" t="s">
        <v>74</v>
      </c>
      <c r="D460" t="s">
        <v>74</v>
      </c>
      <c r="E460" t="s">
        <v>74</v>
      </c>
      <c r="F460" t="s">
        <v>9295</v>
      </c>
      <c r="G460" t="s">
        <v>74</v>
      </c>
      <c r="H460" t="s">
        <v>74</v>
      </c>
      <c r="I460" t="s">
        <v>9296</v>
      </c>
      <c r="J460" t="s">
        <v>9297</v>
      </c>
      <c r="K460" t="s">
        <v>74</v>
      </c>
      <c r="L460" t="s">
        <v>74</v>
      </c>
      <c r="M460" t="s">
        <v>78</v>
      </c>
      <c r="N460" t="s">
        <v>79</v>
      </c>
      <c r="O460" t="s">
        <v>74</v>
      </c>
      <c r="P460" t="s">
        <v>74</v>
      </c>
      <c r="Q460" t="s">
        <v>74</v>
      </c>
      <c r="R460" t="s">
        <v>74</v>
      </c>
      <c r="S460" t="s">
        <v>74</v>
      </c>
      <c r="T460" t="s">
        <v>74</v>
      </c>
      <c r="U460" t="s">
        <v>9298</v>
      </c>
      <c r="V460" t="s">
        <v>9299</v>
      </c>
      <c r="W460" t="s">
        <v>9300</v>
      </c>
      <c r="X460" t="s">
        <v>9301</v>
      </c>
      <c r="Y460" t="s">
        <v>9302</v>
      </c>
      <c r="Z460" t="s">
        <v>9303</v>
      </c>
      <c r="AA460" t="s">
        <v>74</v>
      </c>
      <c r="AB460" t="s">
        <v>9304</v>
      </c>
      <c r="AC460" t="s">
        <v>9305</v>
      </c>
      <c r="AD460" t="s">
        <v>9306</v>
      </c>
      <c r="AE460" t="s">
        <v>9307</v>
      </c>
      <c r="AF460" t="s">
        <v>74</v>
      </c>
      <c r="AG460">
        <v>43</v>
      </c>
      <c r="AH460">
        <v>32</v>
      </c>
      <c r="AI460">
        <v>33</v>
      </c>
      <c r="AJ460">
        <v>1</v>
      </c>
      <c r="AK460">
        <v>24</v>
      </c>
      <c r="AL460" t="s">
        <v>6607</v>
      </c>
      <c r="AM460" t="s">
        <v>152</v>
      </c>
      <c r="AN460" t="s">
        <v>6608</v>
      </c>
      <c r="AO460" t="s">
        <v>9308</v>
      </c>
      <c r="AP460" t="s">
        <v>74</v>
      </c>
      <c r="AQ460" t="s">
        <v>74</v>
      </c>
      <c r="AR460" t="s">
        <v>9309</v>
      </c>
      <c r="AS460" t="s">
        <v>9310</v>
      </c>
      <c r="AT460" t="s">
        <v>7663</v>
      </c>
      <c r="AU460">
        <v>2020</v>
      </c>
      <c r="AV460">
        <v>6</v>
      </c>
      <c r="AW460">
        <v>26</v>
      </c>
      <c r="AX460" t="s">
        <v>74</v>
      </c>
      <c r="AY460" t="s">
        <v>74</v>
      </c>
      <c r="AZ460" t="s">
        <v>74</v>
      </c>
      <c r="BA460" t="s">
        <v>74</v>
      </c>
      <c r="BB460" t="s">
        <v>74</v>
      </c>
      <c r="BC460" t="s">
        <v>74</v>
      </c>
      <c r="BD460" t="s">
        <v>9311</v>
      </c>
      <c r="BE460" t="s">
        <v>9312</v>
      </c>
      <c r="BF460" t="str">
        <f>HYPERLINK("http://dx.doi.org/10.1126/sciadv.aba4828","http://dx.doi.org/10.1126/sciadv.aba4828")</f>
        <v>http://dx.doi.org/10.1126/sciadv.aba4828</v>
      </c>
      <c r="BG460" t="s">
        <v>74</v>
      </c>
      <c r="BH460" t="s">
        <v>74</v>
      </c>
      <c r="BI460">
        <v>8</v>
      </c>
      <c r="BJ460" t="s">
        <v>1125</v>
      </c>
      <c r="BK460" t="s">
        <v>102</v>
      </c>
      <c r="BL460" t="s">
        <v>1126</v>
      </c>
      <c r="BM460" t="s">
        <v>9313</v>
      </c>
      <c r="BN460">
        <v>32637612</v>
      </c>
      <c r="BO460" t="s">
        <v>1778</v>
      </c>
      <c r="BP460" t="s">
        <v>74</v>
      </c>
      <c r="BQ460" t="s">
        <v>74</v>
      </c>
      <c r="BR460" t="s">
        <v>106</v>
      </c>
      <c r="BS460" t="s">
        <v>9314</v>
      </c>
      <c r="BT460" t="str">
        <f>HYPERLINK("https%3A%2F%2Fwww.webofscience.com%2Fwos%2Fwoscc%2Ffull-record%2FWOS:000543504100026","View Full Record in Web of Science")</f>
        <v>View Full Record in Web of Science</v>
      </c>
    </row>
    <row r="461" spans="1:72" x14ac:dyDescent="0.15">
      <c r="A461" t="s">
        <v>72</v>
      </c>
      <c r="B461" t="s">
        <v>9315</v>
      </c>
      <c r="C461" t="s">
        <v>74</v>
      </c>
      <c r="D461" t="s">
        <v>74</v>
      </c>
      <c r="E461" t="s">
        <v>74</v>
      </c>
      <c r="F461" t="s">
        <v>9316</v>
      </c>
      <c r="G461" t="s">
        <v>74</v>
      </c>
      <c r="H461" t="s">
        <v>74</v>
      </c>
      <c r="I461" t="s">
        <v>9317</v>
      </c>
      <c r="J461" t="s">
        <v>4705</v>
      </c>
      <c r="K461" t="s">
        <v>74</v>
      </c>
      <c r="L461" t="s">
        <v>74</v>
      </c>
      <c r="M461" t="s">
        <v>78</v>
      </c>
      <c r="N461" t="s">
        <v>79</v>
      </c>
      <c r="O461" t="s">
        <v>74</v>
      </c>
      <c r="P461" t="s">
        <v>74</v>
      </c>
      <c r="Q461" t="s">
        <v>74</v>
      </c>
      <c r="R461" t="s">
        <v>74</v>
      </c>
      <c r="S461" t="s">
        <v>74</v>
      </c>
      <c r="T461" t="s">
        <v>9318</v>
      </c>
      <c r="U461" t="s">
        <v>9319</v>
      </c>
      <c r="V461" t="s">
        <v>9320</v>
      </c>
      <c r="W461" t="s">
        <v>9321</v>
      </c>
      <c r="X461" t="s">
        <v>9322</v>
      </c>
      <c r="Y461" t="s">
        <v>9323</v>
      </c>
      <c r="Z461" t="s">
        <v>9324</v>
      </c>
      <c r="AA461" t="s">
        <v>74</v>
      </c>
      <c r="AB461" t="s">
        <v>9325</v>
      </c>
      <c r="AC461" t="s">
        <v>9326</v>
      </c>
      <c r="AD461" t="s">
        <v>9327</v>
      </c>
      <c r="AE461" t="s">
        <v>9328</v>
      </c>
      <c r="AF461" t="s">
        <v>74</v>
      </c>
      <c r="AG461">
        <v>134</v>
      </c>
      <c r="AH461">
        <v>20</v>
      </c>
      <c r="AI461">
        <v>20</v>
      </c>
      <c r="AJ461">
        <v>2</v>
      </c>
      <c r="AK461">
        <v>13</v>
      </c>
      <c r="AL461" t="s">
        <v>4718</v>
      </c>
      <c r="AM461" t="s">
        <v>4719</v>
      </c>
      <c r="AN461" t="s">
        <v>4720</v>
      </c>
      <c r="AO461" t="s">
        <v>4721</v>
      </c>
      <c r="AP461" t="s">
        <v>4722</v>
      </c>
      <c r="AQ461" t="s">
        <v>74</v>
      </c>
      <c r="AR461" t="s">
        <v>4723</v>
      </c>
      <c r="AS461" t="s">
        <v>4724</v>
      </c>
      <c r="AT461" t="s">
        <v>7663</v>
      </c>
      <c r="AU461">
        <v>2020</v>
      </c>
      <c r="AV461">
        <v>896</v>
      </c>
      <c r="AW461">
        <v>2</v>
      </c>
      <c r="AX461" t="s">
        <v>74</v>
      </c>
      <c r="AY461" t="s">
        <v>74</v>
      </c>
      <c r="AZ461" t="s">
        <v>74</v>
      </c>
      <c r="BA461" t="s">
        <v>74</v>
      </c>
      <c r="BB461" t="s">
        <v>74</v>
      </c>
      <c r="BC461" t="s">
        <v>74</v>
      </c>
      <c r="BD461">
        <v>103</v>
      </c>
      <c r="BE461" t="s">
        <v>9329</v>
      </c>
      <c r="BF461" t="str">
        <f>HYPERLINK("http://dx.doi.org/10.3847/1538-4357/ab91ab","http://dx.doi.org/10.3847/1538-4357/ab91ab")</f>
        <v>http://dx.doi.org/10.3847/1538-4357/ab91ab</v>
      </c>
      <c r="BG461" t="s">
        <v>74</v>
      </c>
      <c r="BH461" t="s">
        <v>74</v>
      </c>
      <c r="BI461">
        <v>26</v>
      </c>
      <c r="BJ461" t="s">
        <v>774</v>
      </c>
      <c r="BK461" t="s">
        <v>102</v>
      </c>
      <c r="BL461" t="s">
        <v>774</v>
      </c>
      <c r="BM461" t="s">
        <v>9330</v>
      </c>
      <c r="BN461" t="s">
        <v>74</v>
      </c>
      <c r="BO461" t="s">
        <v>9331</v>
      </c>
      <c r="BP461" t="s">
        <v>74</v>
      </c>
      <c r="BQ461" t="s">
        <v>74</v>
      </c>
      <c r="BR461" t="s">
        <v>106</v>
      </c>
      <c r="BS461" t="s">
        <v>9332</v>
      </c>
      <c r="BT461" t="str">
        <f>HYPERLINK("https%3A%2F%2Fwww.webofscience.com%2Fwos%2Fwoscc%2Ffull-record%2FWOS:000543357900001","View Full Record in Web of Science")</f>
        <v>View Full Record in Web of Science</v>
      </c>
    </row>
    <row r="462" spans="1:72" x14ac:dyDescent="0.15">
      <c r="A462" t="s">
        <v>72</v>
      </c>
      <c r="B462" t="s">
        <v>9333</v>
      </c>
      <c r="C462" t="s">
        <v>74</v>
      </c>
      <c r="D462" t="s">
        <v>74</v>
      </c>
      <c r="E462" t="s">
        <v>74</v>
      </c>
      <c r="F462" t="s">
        <v>9334</v>
      </c>
      <c r="G462" t="s">
        <v>74</v>
      </c>
      <c r="H462" t="s">
        <v>74</v>
      </c>
      <c r="I462" t="s">
        <v>9335</v>
      </c>
      <c r="J462" t="s">
        <v>9336</v>
      </c>
      <c r="K462" t="s">
        <v>74</v>
      </c>
      <c r="L462" t="s">
        <v>74</v>
      </c>
      <c r="M462" t="s">
        <v>78</v>
      </c>
      <c r="N462" t="s">
        <v>79</v>
      </c>
      <c r="O462" t="s">
        <v>74</v>
      </c>
      <c r="P462" t="s">
        <v>74</v>
      </c>
      <c r="Q462" t="s">
        <v>74</v>
      </c>
      <c r="R462" t="s">
        <v>74</v>
      </c>
      <c r="S462" t="s">
        <v>74</v>
      </c>
      <c r="T462" t="s">
        <v>9337</v>
      </c>
      <c r="U462" t="s">
        <v>9338</v>
      </c>
      <c r="V462" t="s">
        <v>9339</v>
      </c>
      <c r="W462" t="s">
        <v>9340</v>
      </c>
      <c r="X462" t="s">
        <v>9341</v>
      </c>
      <c r="Y462" t="s">
        <v>9342</v>
      </c>
      <c r="Z462" t="s">
        <v>9343</v>
      </c>
      <c r="AA462" t="s">
        <v>9344</v>
      </c>
      <c r="AB462" t="s">
        <v>9345</v>
      </c>
      <c r="AC462" t="s">
        <v>74</v>
      </c>
      <c r="AD462" t="s">
        <v>74</v>
      </c>
      <c r="AE462" t="s">
        <v>74</v>
      </c>
      <c r="AF462" t="s">
        <v>74</v>
      </c>
      <c r="AG462">
        <v>76</v>
      </c>
      <c r="AH462">
        <v>9</v>
      </c>
      <c r="AI462">
        <v>9</v>
      </c>
      <c r="AJ462">
        <v>1</v>
      </c>
      <c r="AK462">
        <v>14</v>
      </c>
      <c r="AL462" t="s">
        <v>578</v>
      </c>
      <c r="AM462" t="s">
        <v>93</v>
      </c>
      <c r="AN462" t="s">
        <v>579</v>
      </c>
      <c r="AO462" t="s">
        <v>9346</v>
      </c>
      <c r="AP462" t="s">
        <v>9347</v>
      </c>
      <c r="AQ462" t="s">
        <v>74</v>
      </c>
      <c r="AR462" t="s">
        <v>9348</v>
      </c>
      <c r="AS462" t="s">
        <v>9349</v>
      </c>
      <c r="AT462" t="s">
        <v>7663</v>
      </c>
      <c r="AU462">
        <v>2020</v>
      </c>
      <c r="AV462">
        <v>119</v>
      </c>
      <c r="AW462" t="s">
        <v>74</v>
      </c>
      <c r="AX462" t="s">
        <v>74</v>
      </c>
      <c r="AY462" t="s">
        <v>74</v>
      </c>
      <c r="AZ462" t="s">
        <v>74</v>
      </c>
      <c r="BA462" t="s">
        <v>74</v>
      </c>
      <c r="BB462" t="s">
        <v>74</v>
      </c>
      <c r="BC462" t="s">
        <v>74</v>
      </c>
      <c r="BD462">
        <v>102216</v>
      </c>
      <c r="BE462" t="s">
        <v>9350</v>
      </c>
      <c r="BF462" t="str">
        <f>HYPERLINK("http://dx.doi.org/10.1016/j.apgeog.2020.102216","http://dx.doi.org/10.1016/j.apgeog.2020.102216")</f>
        <v>http://dx.doi.org/10.1016/j.apgeog.2020.102216</v>
      </c>
      <c r="BG462" t="s">
        <v>74</v>
      </c>
      <c r="BH462" t="s">
        <v>74</v>
      </c>
      <c r="BI462">
        <v>13</v>
      </c>
      <c r="BJ462" t="s">
        <v>5831</v>
      </c>
      <c r="BK462" t="s">
        <v>607</v>
      </c>
      <c r="BL462" t="s">
        <v>5831</v>
      </c>
      <c r="BM462" t="s">
        <v>9351</v>
      </c>
      <c r="BN462" t="s">
        <v>74</v>
      </c>
      <c r="BO462" t="s">
        <v>74</v>
      </c>
      <c r="BP462" t="s">
        <v>74</v>
      </c>
      <c r="BQ462" t="s">
        <v>74</v>
      </c>
      <c r="BR462" t="s">
        <v>106</v>
      </c>
      <c r="BS462" t="s">
        <v>9352</v>
      </c>
      <c r="BT462" t="str">
        <f>HYPERLINK("https%3A%2F%2Fwww.webofscience.com%2Fwos%2Fwoscc%2Ffull-record%2FWOS:000541867800001","View Full Record in Web of Science")</f>
        <v>View Full Record in Web of Science</v>
      </c>
    </row>
    <row r="463" spans="1:72" x14ac:dyDescent="0.15">
      <c r="A463" t="s">
        <v>72</v>
      </c>
      <c r="B463" t="s">
        <v>9353</v>
      </c>
      <c r="C463" t="s">
        <v>74</v>
      </c>
      <c r="D463" t="s">
        <v>74</v>
      </c>
      <c r="E463" t="s">
        <v>74</v>
      </c>
      <c r="F463" t="s">
        <v>9354</v>
      </c>
      <c r="G463" t="s">
        <v>74</v>
      </c>
      <c r="H463" t="s">
        <v>74</v>
      </c>
      <c r="I463" t="s">
        <v>9355</v>
      </c>
      <c r="J463" t="s">
        <v>9356</v>
      </c>
      <c r="K463" t="s">
        <v>74</v>
      </c>
      <c r="L463" t="s">
        <v>74</v>
      </c>
      <c r="M463" t="s">
        <v>78</v>
      </c>
      <c r="N463" t="s">
        <v>1040</v>
      </c>
      <c r="O463" t="s">
        <v>74</v>
      </c>
      <c r="P463" t="s">
        <v>74</v>
      </c>
      <c r="Q463" t="s">
        <v>74</v>
      </c>
      <c r="R463" t="s">
        <v>74</v>
      </c>
      <c r="S463" t="s">
        <v>74</v>
      </c>
      <c r="T463" t="s">
        <v>9357</v>
      </c>
      <c r="U463" t="s">
        <v>74</v>
      </c>
      <c r="V463" t="s">
        <v>9358</v>
      </c>
      <c r="W463" t="s">
        <v>9359</v>
      </c>
      <c r="X463" t="s">
        <v>9360</v>
      </c>
      <c r="Y463" t="s">
        <v>9361</v>
      </c>
      <c r="Z463" t="s">
        <v>9362</v>
      </c>
      <c r="AA463" t="s">
        <v>9363</v>
      </c>
      <c r="AB463" t="s">
        <v>9364</v>
      </c>
      <c r="AC463" t="s">
        <v>9365</v>
      </c>
      <c r="AD463" t="s">
        <v>9366</v>
      </c>
      <c r="AE463" t="s">
        <v>9367</v>
      </c>
      <c r="AF463" t="s">
        <v>74</v>
      </c>
      <c r="AG463">
        <v>12</v>
      </c>
      <c r="AH463">
        <v>1</v>
      </c>
      <c r="AI463">
        <v>1</v>
      </c>
      <c r="AJ463">
        <v>0</v>
      </c>
      <c r="AK463">
        <v>3</v>
      </c>
      <c r="AL463" t="s">
        <v>284</v>
      </c>
      <c r="AM463" t="s">
        <v>285</v>
      </c>
      <c r="AN463" t="s">
        <v>286</v>
      </c>
      <c r="AO463" t="s">
        <v>9368</v>
      </c>
      <c r="AP463" t="s">
        <v>74</v>
      </c>
      <c r="AQ463" t="s">
        <v>74</v>
      </c>
      <c r="AR463" t="s">
        <v>9369</v>
      </c>
      <c r="AS463" t="s">
        <v>9370</v>
      </c>
      <c r="AT463" t="s">
        <v>7663</v>
      </c>
      <c r="AU463">
        <v>2020</v>
      </c>
      <c r="AV463">
        <v>30</v>
      </c>
      <c r="AW463" t="s">
        <v>74</v>
      </c>
      <c r="AX463" t="s">
        <v>74</v>
      </c>
      <c r="AY463" t="s">
        <v>74</v>
      </c>
      <c r="AZ463" t="s">
        <v>74</v>
      </c>
      <c r="BA463" t="s">
        <v>74</v>
      </c>
      <c r="BB463" t="s">
        <v>74</v>
      </c>
      <c r="BC463" t="s">
        <v>74</v>
      </c>
      <c r="BD463">
        <v>105438</v>
      </c>
      <c r="BE463" t="s">
        <v>9371</v>
      </c>
      <c r="BF463" t="str">
        <f>HYPERLINK("http://dx.doi.org/10.1016/j.dib.2020.105438","http://dx.doi.org/10.1016/j.dib.2020.105438")</f>
        <v>http://dx.doi.org/10.1016/j.dib.2020.105438</v>
      </c>
      <c r="BG463" t="s">
        <v>74</v>
      </c>
      <c r="BH463" t="s">
        <v>74</v>
      </c>
      <c r="BI463">
        <v>12</v>
      </c>
      <c r="BJ463" t="s">
        <v>1125</v>
      </c>
      <c r="BK463" t="s">
        <v>3838</v>
      </c>
      <c r="BL463" t="s">
        <v>1126</v>
      </c>
      <c r="BM463" t="s">
        <v>9372</v>
      </c>
      <c r="BN463">
        <v>32292806</v>
      </c>
      <c r="BO463" t="s">
        <v>1778</v>
      </c>
      <c r="BP463" t="s">
        <v>74</v>
      </c>
      <c r="BQ463" t="s">
        <v>74</v>
      </c>
      <c r="BR463" t="s">
        <v>106</v>
      </c>
      <c r="BS463" t="s">
        <v>9373</v>
      </c>
      <c r="BT463" t="str">
        <f>HYPERLINK("https%3A%2F%2Fwww.webofscience.com%2Fwos%2Fwoscc%2Ffull-record%2FWOS:000541973900037","View Full Record in Web of Science")</f>
        <v>View Full Record in Web of Science</v>
      </c>
    </row>
    <row r="464" spans="1:72" x14ac:dyDescent="0.15">
      <c r="A464" t="s">
        <v>72</v>
      </c>
      <c r="B464" t="s">
        <v>9374</v>
      </c>
      <c r="C464" t="s">
        <v>74</v>
      </c>
      <c r="D464" t="s">
        <v>74</v>
      </c>
      <c r="E464" t="s">
        <v>74</v>
      </c>
      <c r="F464" t="s">
        <v>9375</v>
      </c>
      <c r="G464" t="s">
        <v>74</v>
      </c>
      <c r="H464" t="s">
        <v>74</v>
      </c>
      <c r="I464" t="s">
        <v>9376</v>
      </c>
      <c r="J464" t="s">
        <v>9377</v>
      </c>
      <c r="K464" t="s">
        <v>74</v>
      </c>
      <c r="L464" t="s">
        <v>74</v>
      </c>
      <c r="M464" t="s">
        <v>78</v>
      </c>
      <c r="N464" t="s">
        <v>79</v>
      </c>
      <c r="O464" t="s">
        <v>74</v>
      </c>
      <c r="P464" t="s">
        <v>74</v>
      </c>
      <c r="Q464" t="s">
        <v>74</v>
      </c>
      <c r="R464" t="s">
        <v>74</v>
      </c>
      <c r="S464" t="s">
        <v>74</v>
      </c>
      <c r="T464" t="s">
        <v>74</v>
      </c>
      <c r="U464" t="s">
        <v>9378</v>
      </c>
      <c r="V464" t="s">
        <v>9379</v>
      </c>
      <c r="W464" t="s">
        <v>9380</v>
      </c>
      <c r="X464" t="s">
        <v>9381</v>
      </c>
      <c r="Y464" t="s">
        <v>9382</v>
      </c>
      <c r="Z464" t="s">
        <v>9383</v>
      </c>
      <c r="AA464" t="s">
        <v>9384</v>
      </c>
      <c r="AB464" t="s">
        <v>9385</v>
      </c>
      <c r="AC464" t="s">
        <v>9386</v>
      </c>
      <c r="AD464" t="s">
        <v>9387</v>
      </c>
      <c r="AE464" t="s">
        <v>9388</v>
      </c>
      <c r="AF464" t="s">
        <v>74</v>
      </c>
      <c r="AG464">
        <v>48</v>
      </c>
      <c r="AH464">
        <v>15</v>
      </c>
      <c r="AI464">
        <v>16</v>
      </c>
      <c r="AJ464">
        <v>4</v>
      </c>
      <c r="AK464">
        <v>29</v>
      </c>
      <c r="AL464" t="s">
        <v>9389</v>
      </c>
      <c r="AM464" t="s">
        <v>1744</v>
      </c>
      <c r="AN464" t="s">
        <v>9390</v>
      </c>
      <c r="AO464" t="s">
        <v>74</v>
      </c>
      <c r="AP464" t="s">
        <v>9391</v>
      </c>
      <c r="AQ464" t="s">
        <v>74</v>
      </c>
      <c r="AR464" t="s">
        <v>9392</v>
      </c>
      <c r="AS464" t="s">
        <v>9393</v>
      </c>
      <c r="AT464" t="s">
        <v>9394</v>
      </c>
      <c r="AU464">
        <v>2020</v>
      </c>
      <c r="AV464">
        <v>10</v>
      </c>
      <c r="AW464">
        <v>35</v>
      </c>
      <c r="AX464" t="s">
        <v>74</v>
      </c>
      <c r="AY464" t="s">
        <v>74</v>
      </c>
      <c r="AZ464" t="s">
        <v>74</v>
      </c>
      <c r="BA464" t="s">
        <v>74</v>
      </c>
      <c r="BB464">
        <v>20738</v>
      </c>
      <c r="BC464">
        <v>20744</v>
      </c>
      <c r="BD464" t="s">
        <v>74</v>
      </c>
      <c r="BE464" t="s">
        <v>9395</v>
      </c>
      <c r="BF464" t="str">
        <f>HYPERLINK("http://dx.doi.org/10.1039/d0ra03529g","http://dx.doi.org/10.1039/d0ra03529g")</f>
        <v>http://dx.doi.org/10.1039/d0ra03529g</v>
      </c>
      <c r="BG464" t="s">
        <v>74</v>
      </c>
      <c r="BH464" t="s">
        <v>74</v>
      </c>
      <c r="BI464">
        <v>7</v>
      </c>
      <c r="BJ464" t="s">
        <v>6305</v>
      </c>
      <c r="BK464" t="s">
        <v>102</v>
      </c>
      <c r="BL464" t="s">
        <v>3680</v>
      </c>
      <c r="BM464" t="s">
        <v>9396</v>
      </c>
      <c r="BN464">
        <v>35517746</v>
      </c>
      <c r="BO464" t="s">
        <v>161</v>
      </c>
      <c r="BP464" t="s">
        <v>74</v>
      </c>
      <c r="BQ464" t="s">
        <v>74</v>
      </c>
      <c r="BR464" t="s">
        <v>106</v>
      </c>
      <c r="BS464" t="s">
        <v>9397</v>
      </c>
      <c r="BT464" t="str">
        <f>HYPERLINK("https%3A%2F%2Fwww.webofscience.com%2Fwos%2Fwoscc%2Ffull-record%2FWOS:000540547000036","View Full Record in Web of Science")</f>
        <v>View Full Record in Web of Science</v>
      </c>
    </row>
    <row r="465" spans="1:72" x14ac:dyDescent="0.15">
      <c r="A465" t="s">
        <v>72</v>
      </c>
      <c r="B465" t="s">
        <v>9398</v>
      </c>
      <c r="C465" t="s">
        <v>74</v>
      </c>
      <c r="D465" t="s">
        <v>74</v>
      </c>
      <c r="E465" t="s">
        <v>74</v>
      </c>
      <c r="F465" t="s">
        <v>9399</v>
      </c>
      <c r="G465" t="s">
        <v>74</v>
      </c>
      <c r="H465" t="s">
        <v>74</v>
      </c>
      <c r="I465" t="s">
        <v>9400</v>
      </c>
      <c r="J465" t="s">
        <v>9297</v>
      </c>
      <c r="K465" t="s">
        <v>74</v>
      </c>
      <c r="L465" t="s">
        <v>74</v>
      </c>
      <c r="M465" t="s">
        <v>78</v>
      </c>
      <c r="N465" t="s">
        <v>79</v>
      </c>
      <c r="O465" t="s">
        <v>74</v>
      </c>
      <c r="P465" t="s">
        <v>74</v>
      </c>
      <c r="Q465" t="s">
        <v>74</v>
      </c>
      <c r="R465" t="s">
        <v>74</v>
      </c>
      <c r="S465" t="s">
        <v>74</v>
      </c>
      <c r="T465" t="s">
        <v>74</v>
      </c>
      <c r="U465" t="s">
        <v>9401</v>
      </c>
      <c r="V465" t="s">
        <v>9402</v>
      </c>
      <c r="W465" t="s">
        <v>9403</v>
      </c>
      <c r="X465" t="s">
        <v>9404</v>
      </c>
      <c r="Y465" t="s">
        <v>9405</v>
      </c>
      <c r="Z465" t="s">
        <v>9406</v>
      </c>
      <c r="AA465" t="s">
        <v>9407</v>
      </c>
      <c r="AB465" t="s">
        <v>9408</v>
      </c>
      <c r="AC465" t="s">
        <v>9409</v>
      </c>
      <c r="AD465" t="s">
        <v>9410</v>
      </c>
      <c r="AE465" t="s">
        <v>9411</v>
      </c>
      <c r="AF465" t="s">
        <v>74</v>
      </c>
      <c r="AG465">
        <v>42</v>
      </c>
      <c r="AH465">
        <v>20</v>
      </c>
      <c r="AI465">
        <v>21</v>
      </c>
      <c r="AJ465">
        <v>1</v>
      </c>
      <c r="AK465">
        <v>17</v>
      </c>
      <c r="AL465" t="s">
        <v>6607</v>
      </c>
      <c r="AM465" t="s">
        <v>152</v>
      </c>
      <c r="AN465" t="s">
        <v>6608</v>
      </c>
      <c r="AO465" t="s">
        <v>9308</v>
      </c>
      <c r="AP465" t="s">
        <v>74</v>
      </c>
      <c r="AQ465" t="s">
        <v>74</v>
      </c>
      <c r="AR465" t="s">
        <v>9309</v>
      </c>
      <c r="AS465" t="s">
        <v>9310</v>
      </c>
      <c r="AT465" t="s">
        <v>7663</v>
      </c>
      <c r="AU465">
        <v>2020</v>
      </c>
      <c r="AV465">
        <v>6</v>
      </c>
      <c r="AW465">
        <v>24</v>
      </c>
      <c r="AX465" t="s">
        <v>74</v>
      </c>
      <c r="AY465" t="s">
        <v>74</v>
      </c>
      <c r="AZ465" t="s">
        <v>74</v>
      </c>
      <c r="BA465" t="s">
        <v>74</v>
      </c>
      <c r="BB465" t="s">
        <v>74</v>
      </c>
      <c r="BC465" t="s">
        <v>74</v>
      </c>
      <c r="BD465" t="s">
        <v>9412</v>
      </c>
      <c r="BE465" t="s">
        <v>9413</v>
      </c>
      <c r="BF465" t="str">
        <f>HYPERLINK("http://dx.doi.org/10.1126/sciadv.aaz1490","http://dx.doi.org/10.1126/sciadv.aaz1490")</f>
        <v>http://dx.doi.org/10.1126/sciadv.aaz1490</v>
      </c>
      <c r="BG465" t="s">
        <v>74</v>
      </c>
      <c r="BH465" t="s">
        <v>74</v>
      </c>
      <c r="BI465">
        <v>8</v>
      </c>
      <c r="BJ465" t="s">
        <v>1125</v>
      </c>
      <c r="BK465" t="s">
        <v>102</v>
      </c>
      <c r="BL465" t="s">
        <v>1126</v>
      </c>
      <c r="BM465" t="s">
        <v>9414</v>
      </c>
      <c r="BN465">
        <v>32582849</v>
      </c>
      <c r="BO465" t="s">
        <v>294</v>
      </c>
      <c r="BP465" t="s">
        <v>74</v>
      </c>
      <c r="BQ465" t="s">
        <v>74</v>
      </c>
      <c r="BR465" t="s">
        <v>106</v>
      </c>
      <c r="BS465" t="s">
        <v>9415</v>
      </c>
      <c r="BT465" t="str">
        <f>HYPERLINK("https%3A%2F%2Fwww.webofscience.com%2Fwos%2Fwoscc%2Ffull-record%2FWOS:000542291800015","View Full Record in Web of Science")</f>
        <v>View Full Record in Web of Science</v>
      </c>
    </row>
    <row r="466" spans="1:72" x14ac:dyDescent="0.15">
      <c r="A466" t="s">
        <v>72</v>
      </c>
      <c r="B466" t="s">
        <v>9416</v>
      </c>
      <c r="C466" t="s">
        <v>74</v>
      </c>
      <c r="D466" t="s">
        <v>74</v>
      </c>
      <c r="E466" t="s">
        <v>74</v>
      </c>
      <c r="F466" t="s">
        <v>9417</v>
      </c>
      <c r="G466" t="s">
        <v>74</v>
      </c>
      <c r="H466" t="s">
        <v>74</v>
      </c>
      <c r="I466" t="s">
        <v>9418</v>
      </c>
      <c r="J466" t="s">
        <v>9419</v>
      </c>
      <c r="K466" t="s">
        <v>74</v>
      </c>
      <c r="L466" t="s">
        <v>74</v>
      </c>
      <c r="M466" t="s">
        <v>78</v>
      </c>
      <c r="N466" t="s">
        <v>245</v>
      </c>
      <c r="O466" t="s">
        <v>74</v>
      </c>
      <c r="P466" t="s">
        <v>74</v>
      </c>
      <c r="Q466" t="s">
        <v>74</v>
      </c>
      <c r="R466" t="s">
        <v>74</v>
      </c>
      <c r="S466" t="s">
        <v>74</v>
      </c>
      <c r="T466" t="s">
        <v>9420</v>
      </c>
      <c r="U466" t="s">
        <v>9421</v>
      </c>
      <c r="V466" t="s">
        <v>9422</v>
      </c>
      <c r="W466" t="s">
        <v>9423</v>
      </c>
      <c r="X466" t="s">
        <v>3708</v>
      </c>
      <c r="Y466" t="s">
        <v>9424</v>
      </c>
      <c r="Z466" t="s">
        <v>1166</v>
      </c>
      <c r="AA466" t="s">
        <v>9425</v>
      </c>
      <c r="AB466" t="s">
        <v>9426</v>
      </c>
      <c r="AC466" t="s">
        <v>9427</v>
      </c>
      <c r="AD466" t="s">
        <v>9428</v>
      </c>
      <c r="AE466" t="s">
        <v>9429</v>
      </c>
      <c r="AF466" t="s">
        <v>74</v>
      </c>
      <c r="AG466">
        <v>171</v>
      </c>
      <c r="AH466">
        <v>51</v>
      </c>
      <c r="AI466">
        <v>54</v>
      </c>
      <c r="AJ466">
        <v>11</v>
      </c>
      <c r="AK466">
        <v>70</v>
      </c>
      <c r="AL466" t="s">
        <v>9430</v>
      </c>
      <c r="AM466" t="s">
        <v>1744</v>
      </c>
      <c r="AN466" t="s">
        <v>9431</v>
      </c>
      <c r="AO466" t="s">
        <v>9432</v>
      </c>
      <c r="AP466" t="s">
        <v>9433</v>
      </c>
      <c r="AQ466" t="s">
        <v>74</v>
      </c>
      <c r="AR466" t="s">
        <v>9434</v>
      </c>
      <c r="AS466" t="s">
        <v>9435</v>
      </c>
      <c r="AT466" t="s">
        <v>7663</v>
      </c>
      <c r="AU466">
        <v>2020</v>
      </c>
      <c r="AV466">
        <v>223</v>
      </c>
      <c r="AW466">
        <v>11</v>
      </c>
      <c r="AX466" t="s">
        <v>74</v>
      </c>
      <c r="AY466" t="s">
        <v>74</v>
      </c>
      <c r="AZ466" t="s">
        <v>74</v>
      </c>
      <c r="BA466" t="s">
        <v>74</v>
      </c>
      <c r="BB466" t="s">
        <v>74</v>
      </c>
      <c r="BC466" t="s">
        <v>74</v>
      </c>
      <c r="BD466" t="s">
        <v>9436</v>
      </c>
      <c r="BE466" t="s">
        <v>9437</v>
      </c>
      <c r="BF466" t="str">
        <f>HYPERLINK("http://dx.doi.org/10.1242/jeb.206961","http://dx.doi.org/10.1242/jeb.206961")</f>
        <v>http://dx.doi.org/10.1242/jeb.206961</v>
      </c>
      <c r="BG466" t="s">
        <v>74</v>
      </c>
      <c r="BH466" t="s">
        <v>74</v>
      </c>
      <c r="BI466">
        <v>13</v>
      </c>
      <c r="BJ466" t="s">
        <v>1178</v>
      </c>
      <c r="BK466" t="s">
        <v>102</v>
      </c>
      <c r="BL466" t="s">
        <v>1179</v>
      </c>
      <c r="BM466" t="s">
        <v>9438</v>
      </c>
      <c r="BN466">
        <v>32471885</v>
      </c>
      <c r="BO466" t="s">
        <v>560</v>
      </c>
      <c r="BP466" t="s">
        <v>74</v>
      </c>
      <c r="BQ466" t="s">
        <v>74</v>
      </c>
      <c r="BR466" t="s">
        <v>106</v>
      </c>
      <c r="BS466" t="s">
        <v>9439</v>
      </c>
      <c r="BT466" t="str">
        <f>HYPERLINK("https%3A%2F%2Fwww.webofscience.com%2Fwos%2Fwoscc%2Ffull-record%2FWOS:000541848100001","View Full Record in Web of Science")</f>
        <v>View Full Record in Web of Science</v>
      </c>
    </row>
    <row r="467" spans="1:72" x14ac:dyDescent="0.15">
      <c r="A467" t="s">
        <v>72</v>
      </c>
      <c r="B467" t="s">
        <v>9440</v>
      </c>
      <c r="C467" t="s">
        <v>74</v>
      </c>
      <c r="D467" t="s">
        <v>74</v>
      </c>
      <c r="E467" t="s">
        <v>74</v>
      </c>
      <c r="F467" t="s">
        <v>9441</v>
      </c>
      <c r="G467" t="s">
        <v>74</v>
      </c>
      <c r="H467" t="s">
        <v>74</v>
      </c>
      <c r="I467" t="s">
        <v>9442</v>
      </c>
      <c r="J467" t="s">
        <v>4731</v>
      </c>
      <c r="K467" t="s">
        <v>74</v>
      </c>
      <c r="L467" t="s">
        <v>74</v>
      </c>
      <c r="M467" t="s">
        <v>78</v>
      </c>
      <c r="N467" t="s">
        <v>79</v>
      </c>
      <c r="O467" t="s">
        <v>74</v>
      </c>
      <c r="P467" t="s">
        <v>74</v>
      </c>
      <c r="Q467" t="s">
        <v>74</v>
      </c>
      <c r="R467" t="s">
        <v>74</v>
      </c>
      <c r="S467" t="s">
        <v>74</v>
      </c>
      <c r="T467" t="s">
        <v>74</v>
      </c>
      <c r="U467" t="s">
        <v>9443</v>
      </c>
      <c r="V467" t="s">
        <v>9444</v>
      </c>
      <c r="W467" t="s">
        <v>9445</v>
      </c>
      <c r="X467" t="s">
        <v>9446</v>
      </c>
      <c r="Y467" t="s">
        <v>9447</v>
      </c>
      <c r="Z467" t="s">
        <v>9448</v>
      </c>
      <c r="AA467" t="s">
        <v>9449</v>
      </c>
      <c r="AB467" t="s">
        <v>9450</v>
      </c>
      <c r="AC467" t="s">
        <v>9451</v>
      </c>
      <c r="AD467" t="s">
        <v>9452</v>
      </c>
      <c r="AE467" t="s">
        <v>9453</v>
      </c>
      <c r="AF467" t="s">
        <v>74</v>
      </c>
      <c r="AG467">
        <v>82</v>
      </c>
      <c r="AH467">
        <v>22</v>
      </c>
      <c r="AI467">
        <v>23</v>
      </c>
      <c r="AJ467">
        <v>1</v>
      </c>
      <c r="AK467">
        <v>10</v>
      </c>
      <c r="AL467" t="s">
        <v>8311</v>
      </c>
      <c r="AM467" t="s">
        <v>8312</v>
      </c>
      <c r="AN467" t="s">
        <v>8313</v>
      </c>
      <c r="AO467" t="s">
        <v>4744</v>
      </c>
      <c r="AP467" t="s">
        <v>4745</v>
      </c>
      <c r="AQ467" t="s">
        <v>74</v>
      </c>
      <c r="AR467" t="s">
        <v>4746</v>
      </c>
      <c r="AS467" t="s">
        <v>4747</v>
      </c>
      <c r="AT467" t="s">
        <v>7663</v>
      </c>
      <c r="AU467">
        <v>2020</v>
      </c>
      <c r="AV467">
        <v>183</v>
      </c>
      <c r="AW467">
        <v>2</v>
      </c>
      <c r="AX467" t="s">
        <v>74</v>
      </c>
      <c r="AY467" t="s">
        <v>74</v>
      </c>
      <c r="AZ467" t="s">
        <v>74</v>
      </c>
      <c r="BA467" t="s">
        <v>74</v>
      </c>
      <c r="BB467">
        <v>588</v>
      </c>
      <c r="BC467">
        <v>601</v>
      </c>
      <c r="BD467" t="s">
        <v>74</v>
      </c>
      <c r="BE467" t="s">
        <v>9454</v>
      </c>
      <c r="BF467" t="str">
        <f>HYPERLINK("http://dx.doi.org/10.1104/pp.19.01280","http://dx.doi.org/10.1104/pp.19.01280")</f>
        <v>http://dx.doi.org/10.1104/pp.19.01280</v>
      </c>
      <c r="BG467" t="s">
        <v>74</v>
      </c>
      <c r="BH467" t="s">
        <v>74</v>
      </c>
      <c r="BI467">
        <v>14</v>
      </c>
      <c r="BJ467" t="s">
        <v>1635</v>
      </c>
      <c r="BK467" t="s">
        <v>102</v>
      </c>
      <c r="BL467" t="s">
        <v>1635</v>
      </c>
      <c r="BM467" t="s">
        <v>8315</v>
      </c>
      <c r="BN467">
        <v>32229607</v>
      </c>
      <c r="BO467" t="s">
        <v>343</v>
      </c>
      <c r="BP467" t="s">
        <v>74</v>
      </c>
      <c r="BQ467" t="s">
        <v>74</v>
      </c>
      <c r="BR467" t="s">
        <v>106</v>
      </c>
      <c r="BS467" t="s">
        <v>9455</v>
      </c>
      <c r="BT467" t="str">
        <f>HYPERLINK("https%3A%2F%2Fwww.webofscience.com%2Fwos%2Fwoscc%2Ffull-record%2FWOS:000541865100029","View Full Record in Web of Science")</f>
        <v>View Full Record in Web of Science</v>
      </c>
    </row>
    <row r="468" spans="1:72" x14ac:dyDescent="0.15">
      <c r="A468" t="s">
        <v>72</v>
      </c>
      <c r="B468" t="s">
        <v>9456</v>
      </c>
      <c r="C468" t="s">
        <v>74</v>
      </c>
      <c r="D468" t="s">
        <v>74</v>
      </c>
      <c r="E468" t="s">
        <v>74</v>
      </c>
      <c r="F468" t="s">
        <v>9457</v>
      </c>
      <c r="G468" t="s">
        <v>74</v>
      </c>
      <c r="H468" t="s">
        <v>74</v>
      </c>
      <c r="I468" t="s">
        <v>9458</v>
      </c>
      <c r="J468" t="s">
        <v>9459</v>
      </c>
      <c r="K468" t="s">
        <v>74</v>
      </c>
      <c r="L468" t="s">
        <v>74</v>
      </c>
      <c r="M468" t="s">
        <v>78</v>
      </c>
      <c r="N468" t="s">
        <v>79</v>
      </c>
      <c r="O468" t="s">
        <v>74</v>
      </c>
      <c r="P468" t="s">
        <v>74</v>
      </c>
      <c r="Q468" t="s">
        <v>74</v>
      </c>
      <c r="R468" t="s">
        <v>74</v>
      </c>
      <c r="S468" t="s">
        <v>74</v>
      </c>
      <c r="T468" t="s">
        <v>74</v>
      </c>
      <c r="U468" t="s">
        <v>9460</v>
      </c>
      <c r="V468" t="s">
        <v>74</v>
      </c>
      <c r="W468" t="s">
        <v>9461</v>
      </c>
      <c r="X468" t="s">
        <v>9462</v>
      </c>
      <c r="Y468" t="s">
        <v>9463</v>
      </c>
      <c r="Z468" t="s">
        <v>9464</v>
      </c>
      <c r="AA468" t="s">
        <v>9465</v>
      </c>
      <c r="AB468" t="s">
        <v>9466</v>
      </c>
      <c r="AC468" t="s">
        <v>9467</v>
      </c>
      <c r="AD468" t="s">
        <v>9467</v>
      </c>
      <c r="AE468" t="s">
        <v>9468</v>
      </c>
      <c r="AF468" t="s">
        <v>74</v>
      </c>
      <c r="AG468">
        <v>84</v>
      </c>
      <c r="AH468">
        <v>4</v>
      </c>
      <c r="AI468">
        <v>4</v>
      </c>
      <c r="AJ468">
        <v>0</v>
      </c>
      <c r="AK468">
        <v>7</v>
      </c>
      <c r="AL468" t="s">
        <v>284</v>
      </c>
      <c r="AM468" t="s">
        <v>285</v>
      </c>
      <c r="AN468" t="s">
        <v>286</v>
      </c>
      <c r="AO468" t="s">
        <v>9469</v>
      </c>
      <c r="AP468" t="s">
        <v>9470</v>
      </c>
      <c r="AQ468" t="s">
        <v>74</v>
      </c>
      <c r="AR468" t="s">
        <v>9471</v>
      </c>
      <c r="AS468" t="s">
        <v>9472</v>
      </c>
      <c r="AT468" t="s">
        <v>7663</v>
      </c>
      <c r="AU468">
        <v>2020</v>
      </c>
      <c r="AV468">
        <v>24</v>
      </c>
      <c r="AW468" t="s">
        <v>74</v>
      </c>
      <c r="AX468" t="s">
        <v>74</v>
      </c>
      <c r="AY468" t="s">
        <v>74</v>
      </c>
      <c r="AZ468" t="s">
        <v>74</v>
      </c>
      <c r="BA468" t="s">
        <v>74</v>
      </c>
      <c r="BB468" t="s">
        <v>74</v>
      </c>
      <c r="BC468" t="s">
        <v>74</v>
      </c>
      <c r="BD468">
        <v>100520</v>
      </c>
      <c r="BE468" t="s">
        <v>9473</v>
      </c>
      <c r="BF468" t="str">
        <f>HYPERLINK("http://dx.doi.org/10.1016/j.polar.2020.100520","http://dx.doi.org/10.1016/j.polar.2020.100520")</f>
        <v>http://dx.doi.org/10.1016/j.polar.2020.100520</v>
      </c>
      <c r="BG468" t="s">
        <v>74</v>
      </c>
      <c r="BH468" t="s">
        <v>74</v>
      </c>
      <c r="BI468">
        <v>11</v>
      </c>
      <c r="BJ468" t="s">
        <v>1903</v>
      </c>
      <c r="BK468" t="s">
        <v>102</v>
      </c>
      <c r="BL468" t="s">
        <v>1904</v>
      </c>
      <c r="BM468" t="s">
        <v>9474</v>
      </c>
      <c r="BN468" t="s">
        <v>74</v>
      </c>
      <c r="BO468" t="s">
        <v>448</v>
      </c>
      <c r="BP468" t="s">
        <v>74</v>
      </c>
      <c r="BQ468" t="s">
        <v>74</v>
      </c>
      <c r="BR468" t="s">
        <v>106</v>
      </c>
      <c r="BS468" t="s">
        <v>9475</v>
      </c>
      <c r="BT468" t="str">
        <f>HYPERLINK("https%3A%2F%2Fwww.webofscience.com%2Fwos%2Fwoscc%2Ffull-record%2FWOS:000541017300013","View Full Record in Web of Science")</f>
        <v>View Full Record in Web of Science</v>
      </c>
    </row>
    <row r="469" spans="1:72" x14ac:dyDescent="0.15">
      <c r="A469" t="s">
        <v>72</v>
      </c>
      <c r="B469" t="s">
        <v>9476</v>
      </c>
      <c r="C469" t="s">
        <v>74</v>
      </c>
      <c r="D469" t="s">
        <v>74</v>
      </c>
      <c r="E469" t="s">
        <v>74</v>
      </c>
      <c r="F469" t="s">
        <v>9477</v>
      </c>
      <c r="G469" t="s">
        <v>74</v>
      </c>
      <c r="H469" t="s">
        <v>74</v>
      </c>
      <c r="I469" t="s">
        <v>9478</v>
      </c>
      <c r="J469" t="s">
        <v>9459</v>
      </c>
      <c r="K469" t="s">
        <v>74</v>
      </c>
      <c r="L469" t="s">
        <v>74</v>
      </c>
      <c r="M469" t="s">
        <v>78</v>
      </c>
      <c r="N469" t="s">
        <v>79</v>
      </c>
      <c r="O469" t="s">
        <v>74</v>
      </c>
      <c r="P469" t="s">
        <v>74</v>
      </c>
      <c r="Q469" t="s">
        <v>74</v>
      </c>
      <c r="R469" t="s">
        <v>74</v>
      </c>
      <c r="S469" t="s">
        <v>74</v>
      </c>
      <c r="T469" t="s">
        <v>74</v>
      </c>
      <c r="U469" t="s">
        <v>9479</v>
      </c>
      <c r="V469" t="s">
        <v>74</v>
      </c>
      <c r="W469" t="s">
        <v>9480</v>
      </c>
      <c r="X469" t="s">
        <v>9481</v>
      </c>
      <c r="Y469" t="s">
        <v>9482</v>
      </c>
      <c r="Z469" t="s">
        <v>9483</v>
      </c>
      <c r="AA469" t="s">
        <v>74</v>
      </c>
      <c r="AB469" t="s">
        <v>9484</v>
      </c>
      <c r="AC469" t="s">
        <v>9485</v>
      </c>
      <c r="AD469" t="s">
        <v>9485</v>
      </c>
      <c r="AE469" t="s">
        <v>9486</v>
      </c>
      <c r="AF469" t="s">
        <v>74</v>
      </c>
      <c r="AG469">
        <v>48</v>
      </c>
      <c r="AH469">
        <v>2</v>
      </c>
      <c r="AI469">
        <v>2</v>
      </c>
      <c r="AJ469">
        <v>0</v>
      </c>
      <c r="AK469">
        <v>3</v>
      </c>
      <c r="AL469" t="s">
        <v>284</v>
      </c>
      <c r="AM469" t="s">
        <v>285</v>
      </c>
      <c r="AN469" t="s">
        <v>286</v>
      </c>
      <c r="AO469" t="s">
        <v>9469</v>
      </c>
      <c r="AP469" t="s">
        <v>9470</v>
      </c>
      <c r="AQ469" t="s">
        <v>74</v>
      </c>
      <c r="AR469" t="s">
        <v>9471</v>
      </c>
      <c r="AS469" t="s">
        <v>9472</v>
      </c>
      <c r="AT469" t="s">
        <v>7663</v>
      </c>
      <c r="AU469">
        <v>2020</v>
      </c>
      <c r="AV469">
        <v>24</v>
      </c>
      <c r="AW469" t="s">
        <v>74</v>
      </c>
      <c r="AX469" t="s">
        <v>74</v>
      </c>
      <c r="AY469" t="s">
        <v>74</v>
      </c>
      <c r="AZ469" t="s">
        <v>74</v>
      </c>
      <c r="BA469" t="s">
        <v>74</v>
      </c>
      <c r="BB469" t="s">
        <v>74</v>
      </c>
      <c r="BC469" t="s">
        <v>74</v>
      </c>
      <c r="BD469">
        <v>100526</v>
      </c>
      <c r="BE469" t="s">
        <v>9487</v>
      </c>
      <c r="BF469" t="str">
        <f>HYPERLINK("http://dx.doi.org/10.1016/j.polar.2020.100526","http://dx.doi.org/10.1016/j.polar.2020.100526")</f>
        <v>http://dx.doi.org/10.1016/j.polar.2020.100526</v>
      </c>
      <c r="BG469" t="s">
        <v>74</v>
      </c>
      <c r="BH469" t="s">
        <v>74</v>
      </c>
      <c r="BI469">
        <v>11</v>
      </c>
      <c r="BJ469" t="s">
        <v>1903</v>
      </c>
      <c r="BK469" t="s">
        <v>102</v>
      </c>
      <c r="BL469" t="s">
        <v>1904</v>
      </c>
      <c r="BM469" t="s">
        <v>9474</v>
      </c>
      <c r="BN469" t="s">
        <v>74</v>
      </c>
      <c r="BO469" t="s">
        <v>74</v>
      </c>
      <c r="BP469" t="s">
        <v>74</v>
      </c>
      <c r="BQ469" t="s">
        <v>74</v>
      </c>
      <c r="BR469" t="s">
        <v>106</v>
      </c>
      <c r="BS469" t="s">
        <v>9488</v>
      </c>
      <c r="BT469" t="str">
        <f>HYPERLINK("https%3A%2F%2Fwww.webofscience.com%2Fwos%2Fwoscc%2Ffull-record%2FWOS:000541017300003","View Full Record in Web of Science")</f>
        <v>View Full Record in Web of Science</v>
      </c>
    </row>
    <row r="470" spans="1:72" x14ac:dyDescent="0.15">
      <c r="A470" t="s">
        <v>72</v>
      </c>
      <c r="B470" t="s">
        <v>9489</v>
      </c>
      <c r="C470" t="s">
        <v>74</v>
      </c>
      <c r="D470" t="s">
        <v>74</v>
      </c>
      <c r="E470" t="s">
        <v>74</v>
      </c>
      <c r="F470" t="s">
        <v>9490</v>
      </c>
      <c r="G470" t="s">
        <v>74</v>
      </c>
      <c r="H470" t="s">
        <v>74</v>
      </c>
      <c r="I470" t="s">
        <v>9491</v>
      </c>
      <c r="J470" t="s">
        <v>9459</v>
      </c>
      <c r="K470" t="s">
        <v>74</v>
      </c>
      <c r="L470" t="s">
        <v>74</v>
      </c>
      <c r="M470" t="s">
        <v>78</v>
      </c>
      <c r="N470" t="s">
        <v>9492</v>
      </c>
      <c r="O470" t="s">
        <v>9493</v>
      </c>
      <c r="P470" t="s">
        <v>9494</v>
      </c>
      <c r="Q470" t="s">
        <v>9495</v>
      </c>
      <c r="R470" t="s">
        <v>74</v>
      </c>
      <c r="S470" t="s">
        <v>74</v>
      </c>
      <c r="T470" t="s">
        <v>74</v>
      </c>
      <c r="U470" t="s">
        <v>74</v>
      </c>
      <c r="V470" t="s">
        <v>74</v>
      </c>
      <c r="W470" t="s">
        <v>9496</v>
      </c>
      <c r="X470" t="s">
        <v>9497</v>
      </c>
      <c r="Y470" t="s">
        <v>9498</v>
      </c>
      <c r="Z470" t="s">
        <v>9499</v>
      </c>
      <c r="AA470" t="s">
        <v>74</v>
      </c>
      <c r="AB470" t="s">
        <v>74</v>
      </c>
      <c r="AC470" t="s">
        <v>9500</v>
      </c>
      <c r="AD470" t="s">
        <v>9501</v>
      </c>
      <c r="AE470" t="s">
        <v>9502</v>
      </c>
      <c r="AF470" t="s">
        <v>74</v>
      </c>
      <c r="AG470">
        <v>51</v>
      </c>
      <c r="AH470">
        <v>0</v>
      </c>
      <c r="AI470">
        <v>0</v>
      </c>
      <c r="AJ470">
        <v>0</v>
      </c>
      <c r="AK470">
        <v>5</v>
      </c>
      <c r="AL470" t="s">
        <v>284</v>
      </c>
      <c r="AM470" t="s">
        <v>285</v>
      </c>
      <c r="AN470" t="s">
        <v>286</v>
      </c>
      <c r="AO470" t="s">
        <v>9469</v>
      </c>
      <c r="AP470" t="s">
        <v>9470</v>
      </c>
      <c r="AQ470" t="s">
        <v>74</v>
      </c>
      <c r="AR470" t="s">
        <v>9471</v>
      </c>
      <c r="AS470" t="s">
        <v>9472</v>
      </c>
      <c r="AT470" t="s">
        <v>7663</v>
      </c>
      <c r="AU470">
        <v>2020</v>
      </c>
      <c r="AV470">
        <v>24</v>
      </c>
      <c r="AW470" t="s">
        <v>74</v>
      </c>
      <c r="AX470" t="s">
        <v>74</v>
      </c>
      <c r="AY470" t="s">
        <v>74</v>
      </c>
      <c r="AZ470" t="s">
        <v>74</v>
      </c>
      <c r="BA470" t="s">
        <v>74</v>
      </c>
      <c r="BB470" t="s">
        <v>74</v>
      </c>
      <c r="BC470" t="s">
        <v>74</v>
      </c>
      <c r="BD470">
        <v>100527</v>
      </c>
      <c r="BE470" t="s">
        <v>9503</v>
      </c>
      <c r="BF470" t="str">
        <f>HYPERLINK("http://dx.doi.org/10.1016/j.polar.2020.100527","http://dx.doi.org/10.1016/j.polar.2020.100527")</f>
        <v>http://dx.doi.org/10.1016/j.polar.2020.100527</v>
      </c>
      <c r="BG470" t="s">
        <v>74</v>
      </c>
      <c r="BH470" t="s">
        <v>74</v>
      </c>
      <c r="BI470">
        <v>10</v>
      </c>
      <c r="BJ470" t="s">
        <v>1903</v>
      </c>
      <c r="BK470" t="s">
        <v>9504</v>
      </c>
      <c r="BL470" t="s">
        <v>1904</v>
      </c>
      <c r="BM470" t="s">
        <v>9474</v>
      </c>
      <c r="BN470" t="s">
        <v>74</v>
      </c>
      <c r="BO470" t="s">
        <v>74</v>
      </c>
      <c r="BP470" t="s">
        <v>74</v>
      </c>
      <c r="BQ470" t="s">
        <v>74</v>
      </c>
      <c r="BR470" t="s">
        <v>106</v>
      </c>
      <c r="BS470" t="s">
        <v>9505</v>
      </c>
      <c r="BT470" t="str">
        <f>HYPERLINK("https%3A%2F%2Fwww.webofscience.com%2Fwos%2Fwoscc%2Ffull-record%2FWOS:000541017300007","View Full Record in Web of Science")</f>
        <v>View Full Record in Web of Science</v>
      </c>
    </row>
    <row r="471" spans="1:72" x14ac:dyDescent="0.15">
      <c r="A471" t="s">
        <v>72</v>
      </c>
      <c r="B471" t="s">
        <v>9506</v>
      </c>
      <c r="C471" t="s">
        <v>74</v>
      </c>
      <c r="D471" t="s">
        <v>74</v>
      </c>
      <c r="E471" t="s">
        <v>74</v>
      </c>
      <c r="F471" t="s">
        <v>9507</v>
      </c>
      <c r="G471" t="s">
        <v>74</v>
      </c>
      <c r="H471" t="s">
        <v>74</v>
      </c>
      <c r="I471" t="s">
        <v>9508</v>
      </c>
      <c r="J471" t="s">
        <v>9509</v>
      </c>
      <c r="K471" t="s">
        <v>74</v>
      </c>
      <c r="L471" t="s">
        <v>74</v>
      </c>
      <c r="M471" t="s">
        <v>78</v>
      </c>
      <c r="N471" t="s">
        <v>79</v>
      </c>
      <c r="O471" t="s">
        <v>74</v>
      </c>
      <c r="P471" t="s">
        <v>74</v>
      </c>
      <c r="Q471" t="s">
        <v>74</v>
      </c>
      <c r="R471" t="s">
        <v>74</v>
      </c>
      <c r="S471" t="s">
        <v>74</v>
      </c>
      <c r="T471" t="s">
        <v>9510</v>
      </c>
      <c r="U471" t="s">
        <v>9511</v>
      </c>
      <c r="V471" t="s">
        <v>9512</v>
      </c>
      <c r="W471" t="s">
        <v>9513</v>
      </c>
      <c r="X471" t="s">
        <v>9514</v>
      </c>
      <c r="Y471" t="s">
        <v>9515</v>
      </c>
      <c r="Z471" t="s">
        <v>9516</v>
      </c>
      <c r="AA471" t="s">
        <v>9517</v>
      </c>
      <c r="AB471" t="s">
        <v>9518</v>
      </c>
      <c r="AC471" t="s">
        <v>9519</v>
      </c>
      <c r="AD471" t="s">
        <v>9520</v>
      </c>
      <c r="AE471" t="s">
        <v>74</v>
      </c>
      <c r="AF471" t="s">
        <v>74</v>
      </c>
      <c r="AG471">
        <v>67</v>
      </c>
      <c r="AH471">
        <v>4</v>
      </c>
      <c r="AI471">
        <v>4</v>
      </c>
      <c r="AJ471">
        <v>3</v>
      </c>
      <c r="AK471">
        <v>20</v>
      </c>
      <c r="AL471" t="s">
        <v>994</v>
      </c>
      <c r="AM471" t="s">
        <v>995</v>
      </c>
      <c r="AN471" t="s">
        <v>996</v>
      </c>
      <c r="AO471" t="s">
        <v>9521</v>
      </c>
      <c r="AP471" t="s">
        <v>9522</v>
      </c>
      <c r="AQ471" t="s">
        <v>74</v>
      </c>
      <c r="AR471" t="s">
        <v>9523</v>
      </c>
      <c r="AS471" t="s">
        <v>9524</v>
      </c>
      <c r="AT471" t="s">
        <v>7663</v>
      </c>
      <c r="AU471">
        <v>2020</v>
      </c>
      <c r="AV471">
        <v>40</v>
      </c>
      <c r="AW471">
        <v>6</v>
      </c>
      <c r="AX471" t="s">
        <v>74</v>
      </c>
      <c r="AY471" t="s">
        <v>74</v>
      </c>
      <c r="AZ471" t="s">
        <v>74</v>
      </c>
      <c r="BA471" t="s">
        <v>74</v>
      </c>
      <c r="BB471">
        <v>1258</v>
      </c>
      <c r="BC471">
        <v>1278</v>
      </c>
      <c r="BD471" t="s">
        <v>74</v>
      </c>
      <c r="BE471" t="s">
        <v>9525</v>
      </c>
      <c r="BF471" t="str">
        <f>HYPERLINK("http://dx.doi.org/10.1111/risa.13467","http://dx.doi.org/10.1111/risa.13467")</f>
        <v>http://dx.doi.org/10.1111/risa.13467</v>
      </c>
      <c r="BG471" t="s">
        <v>74</v>
      </c>
      <c r="BH471" t="s">
        <v>74</v>
      </c>
      <c r="BI471">
        <v>21</v>
      </c>
      <c r="BJ471" t="s">
        <v>9526</v>
      </c>
      <c r="BK471" t="s">
        <v>925</v>
      </c>
      <c r="BL471" t="s">
        <v>9527</v>
      </c>
      <c r="BM471" t="s">
        <v>9528</v>
      </c>
      <c r="BN471">
        <v>32144834</v>
      </c>
      <c r="BO471" t="s">
        <v>491</v>
      </c>
      <c r="BP471" t="s">
        <v>74</v>
      </c>
      <c r="BQ471" t="s">
        <v>74</v>
      </c>
      <c r="BR471" t="s">
        <v>106</v>
      </c>
      <c r="BS471" t="s">
        <v>9529</v>
      </c>
      <c r="BT471" t="str">
        <f>HYPERLINK("https%3A%2F%2Fwww.webofscience.com%2Fwos%2Fwoscc%2Ffull-record%2FWOS:000541229400012","View Full Record in Web of Science")</f>
        <v>View Full Record in Web of Science</v>
      </c>
    </row>
    <row r="472" spans="1:72" x14ac:dyDescent="0.15">
      <c r="A472" t="s">
        <v>72</v>
      </c>
      <c r="B472" t="s">
        <v>9530</v>
      </c>
      <c r="C472" t="s">
        <v>74</v>
      </c>
      <c r="D472" t="s">
        <v>74</v>
      </c>
      <c r="E472" t="s">
        <v>74</v>
      </c>
      <c r="F472" t="s">
        <v>9531</v>
      </c>
      <c r="G472" t="s">
        <v>74</v>
      </c>
      <c r="H472" t="s">
        <v>74</v>
      </c>
      <c r="I472" t="s">
        <v>9532</v>
      </c>
      <c r="J472" t="s">
        <v>9533</v>
      </c>
      <c r="K472" t="s">
        <v>74</v>
      </c>
      <c r="L472" t="s">
        <v>74</v>
      </c>
      <c r="M472" t="s">
        <v>78</v>
      </c>
      <c r="N472" t="s">
        <v>9492</v>
      </c>
      <c r="O472" t="s">
        <v>9534</v>
      </c>
      <c r="P472" t="s">
        <v>9535</v>
      </c>
      <c r="Q472" t="s">
        <v>9536</v>
      </c>
      <c r="R472" t="s">
        <v>74</v>
      </c>
      <c r="S472" t="s">
        <v>74</v>
      </c>
      <c r="T472" t="s">
        <v>74</v>
      </c>
      <c r="U472" t="s">
        <v>9537</v>
      </c>
      <c r="V472" t="s">
        <v>9538</v>
      </c>
      <c r="W472" t="s">
        <v>9539</v>
      </c>
      <c r="X472" t="s">
        <v>9540</v>
      </c>
      <c r="Y472" t="s">
        <v>9541</v>
      </c>
      <c r="Z472" t="s">
        <v>9542</v>
      </c>
      <c r="AA472" t="s">
        <v>9543</v>
      </c>
      <c r="AB472" t="s">
        <v>9544</v>
      </c>
      <c r="AC472" t="s">
        <v>9545</v>
      </c>
      <c r="AD472" t="s">
        <v>9546</v>
      </c>
      <c r="AE472" t="s">
        <v>9547</v>
      </c>
      <c r="AF472" t="s">
        <v>74</v>
      </c>
      <c r="AG472">
        <v>31</v>
      </c>
      <c r="AH472">
        <v>4</v>
      </c>
      <c r="AI472">
        <v>4</v>
      </c>
      <c r="AJ472">
        <v>0</v>
      </c>
      <c r="AK472">
        <v>6</v>
      </c>
      <c r="AL472" t="s">
        <v>9548</v>
      </c>
      <c r="AM472" t="s">
        <v>4767</v>
      </c>
      <c r="AN472" t="s">
        <v>9549</v>
      </c>
      <c r="AO472" t="s">
        <v>9550</v>
      </c>
      <c r="AP472" t="s">
        <v>9551</v>
      </c>
      <c r="AQ472" t="s">
        <v>74</v>
      </c>
      <c r="AR472" t="s">
        <v>9533</v>
      </c>
      <c r="AS472" t="s">
        <v>9552</v>
      </c>
      <c r="AT472" t="s">
        <v>7663</v>
      </c>
      <c r="AU472">
        <v>2020</v>
      </c>
      <c r="AV472">
        <v>93</v>
      </c>
      <c r="AW472" t="s">
        <v>9553</v>
      </c>
      <c r="AX472" t="s">
        <v>74</v>
      </c>
      <c r="AY472" t="s">
        <v>74</v>
      </c>
      <c r="AZ472" t="s">
        <v>2622</v>
      </c>
      <c r="BA472" t="s">
        <v>74</v>
      </c>
      <c r="BB472">
        <v>275</v>
      </c>
      <c r="BC472">
        <v>281</v>
      </c>
      <c r="BD472" t="s">
        <v>74</v>
      </c>
      <c r="BE472" t="s">
        <v>9554</v>
      </c>
      <c r="BF472" t="str">
        <f>HYPERLINK("http://dx.doi.org/10.1163/15685403-00003992","http://dx.doi.org/10.1163/15685403-00003992")</f>
        <v>http://dx.doi.org/10.1163/15685403-00003992</v>
      </c>
      <c r="BG472" t="s">
        <v>74</v>
      </c>
      <c r="BH472" t="s">
        <v>74</v>
      </c>
      <c r="BI472">
        <v>7</v>
      </c>
      <c r="BJ472" t="s">
        <v>1680</v>
      </c>
      <c r="BK472" t="s">
        <v>9555</v>
      </c>
      <c r="BL472" t="s">
        <v>1680</v>
      </c>
      <c r="BM472" t="s">
        <v>9556</v>
      </c>
      <c r="BN472" t="s">
        <v>74</v>
      </c>
      <c r="BO472" t="s">
        <v>74</v>
      </c>
      <c r="BP472" t="s">
        <v>74</v>
      </c>
      <c r="BQ472" t="s">
        <v>74</v>
      </c>
      <c r="BR472" t="s">
        <v>106</v>
      </c>
      <c r="BS472" t="s">
        <v>9557</v>
      </c>
      <c r="BT472" t="str">
        <f>HYPERLINK("https%3A%2F%2Fwww.webofscience.com%2Fwos%2Fwoscc%2Ffull-record%2FWOS:000540781400004","View Full Record in Web of Science")</f>
        <v>View Full Record in Web of Science</v>
      </c>
    </row>
    <row r="473" spans="1:72" x14ac:dyDescent="0.15">
      <c r="A473" t="s">
        <v>72</v>
      </c>
      <c r="B473" t="s">
        <v>9558</v>
      </c>
      <c r="C473" t="s">
        <v>74</v>
      </c>
      <c r="D473" t="s">
        <v>74</v>
      </c>
      <c r="E473" t="s">
        <v>74</v>
      </c>
      <c r="F473" t="s">
        <v>9559</v>
      </c>
      <c r="G473" t="s">
        <v>74</v>
      </c>
      <c r="H473" t="s">
        <v>74</v>
      </c>
      <c r="I473" t="s">
        <v>9560</v>
      </c>
      <c r="J473" t="s">
        <v>9561</v>
      </c>
      <c r="K473" t="s">
        <v>74</v>
      </c>
      <c r="L473" t="s">
        <v>74</v>
      </c>
      <c r="M473" t="s">
        <v>78</v>
      </c>
      <c r="N473" t="s">
        <v>79</v>
      </c>
      <c r="O473" t="s">
        <v>74</v>
      </c>
      <c r="P473" t="s">
        <v>74</v>
      </c>
      <c r="Q473" t="s">
        <v>74</v>
      </c>
      <c r="R473" t="s">
        <v>74</v>
      </c>
      <c r="S473" t="s">
        <v>74</v>
      </c>
      <c r="T473" t="s">
        <v>9562</v>
      </c>
      <c r="U473" t="s">
        <v>9563</v>
      </c>
      <c r="V473" t="s">
        <v>9564</v>
      </c>
      <c r="W473" t="s">
        <v>9565</v>
      </c>
      <c r="X473" t="s">
        <v>9566</v>
      </c>
      <c r="Y473" t="s">
        <v>9567</v>
      </c>
      <c r="Z473" t="s">
        <v>9568</v>
      </c>
      <c r="AA473" t="s">
        <v>9569</v>
      </c>
      <c r="AB473" t="s">
        <v>9570</v>
      </c>
      <c r="AC473" t="s">
        <v>9571</v>
      </c>
      <c r="AD473" t="s">
        <v>9572</v>
      </c>
      <c r="AE473" t="s">
        <v>9573</v>
      </c>
      <c r="AF473" t="s">
        <v>74</v>
      </c>
      <c r="AG473">
        <v>43</v>
      </c>
      <c r="AH473">
        <v>21</v>
      </c>
      <c r="AI473">
        <v>24</v>
      </c>
      <c r="AJ473">
        <v>8</v>
      </c>
      <c r="AK473">
        <v>86</v>
      </c>
      <c r="AL473" t="s">
        <v>284</v>
      </c>
      <c r="AM473" t="s">
        <v>285</v>
      </c>
      <c r="AN473" t="s">
        <v>286</v>
      </c>
      <c r="AO473" t="s">
        <v>9574</v>
      </c>
      <c r="AP473" t="s">
        <v>9575</v>
      </c>
      <c r="AQ473" t="s">
        <v>74</v>
      </c>
      <c r="AR473" t="s">
        <v>9576</v>
      </c>
      <c r="AS473" t="s">
        <v>9577</v>
      </c>
      <c r="AT473" t="s">
        <v>7663</v>
      </c>
      <c r="AU473">
        <v>2020</v>
      </c>
      <c r="AV473">
        <v>128</v>
      </c>
      <c r="AW473" t="s">
        <v>74</v>
      </c>
      <c r="AX473" t="s">
        <v>74</v>
      </c>
      <c r="AY473" t="s">
        <v>74</v>
      </c>
      <c r="AZ473" t="s">
        <v>74</v>
      </c>
      <c r="BA473" t="s">
        <v>74</v>
      </c>
      <c r="BB473" t="s">
        <v>74</v>
      </c>
      <c r="BC473" t="s">
        <v>74</v>
      </c>
      <c r="BD473">
        <v>109492</v>
      </c>
      <c r="BE473" t="s">
        <v>9578</v>
      </c>
      <c r="BF473" t="str">
        <f>HYPERLINK("http://dx.doi.org/10.1016/j.lwt.2020.109492","http://dx.doi.org/10.1016/j.lwt.2020.109492")</f>
        <v>http://dx.doi.org/10.1016/j.lwt.2020.109492</v>
      </c>
      <c r="BG473" t="s">
        <v>74</v>
      </c>
      <c r="BH473" t="s">
        <v>74</v>
      </c>
      <c r="BI473">
        <v>9</v>
      </c>
      <c r="BJ473" t="s">
        <v>365</v>
      </c>
      <c r="BK473" t="s">
        <v>102</v>
      </c>
      <c r="BL473" t="s">
        <v>365</v>
      </c>
      <c r="BM473" t="s">
        <v>9579</v>
      </c>
      <c r="BN473" t="s">
        <v>74</v>
      </c>
      <c r="BO473" t="s">
        <v>74</v>
      </c>
      <c r="BP473" t="s">
        <v>74</v>
      </c>
      <c r="BQ473" t="s">
        <v>74</v>
      </c>
      <c r="BR473" t="s">
        <v>106</v>
      </c>
      <c r="BS473" t="s">
        <v>9580</v>
      </c>
      <c r="BT473" t="str">
        <f>HYPERLINK("https%3A%2F%2Fwww.webofscience.com%2Fwos%2Fwoscc%2Ffull-record%2FWOS:000540290000049","View Full Record in Web of Science")</f>
        <v>View Full Record in Web of Science</v>
      </c>
    </row>
    <row r="474" spans="1:72" x14ac:dyDescent="0.15">
      <c r="A474" t="s">
        <v>72</v>
      </c>
      <c r="B474" t="s">
        <v>9581</v>
      </c>
      <c r="C474" t="s">
        <v>74</v>
      </c>
      <c r="D474" t="s">
        <v>74</v>
      </c>
      <c r="E474" t="s">
        <v>74</v>
      </c>
      <c r="F474" t="s">
        <v>9582</v>
      </c>
      <c r="G474" t="s">
        <v>74</v>
      </c>
      <c r="H474" t="s">
        <v>74</v>
      </c>
      <c r="I474" t="s">
        <v>9583</v>
      </c>
      <c r="J474" t="s">
        <v>9584</v>
      </c>
      <c r="K474" t="s">
        <v>74</v>
      </c>
      <c r="L474" t="s">
        <v>74</v>
      </c>
      <c r="M474" t="s">
        <v>78</v>
      </c>
      <c r="N474" t="s">
        <v>79</v>
      </c>
      <c r="O474" t="s">
        <v>74</v>
      </c>
      <c r="P474" t="s">
        <v>74</v>
      </c>
      <c r="Q474" t="s">
        <v>74</v>
      </c>
      <c r="R474" t="s">
        <v>74</v>
      </c>
      <c r="S474" t="s">
        <v>74</v>
      </c>
      <c r="T474" t="s">
        <v>74</v>
      </c>
      <c r="U474" t="s">
        <v>9585</v>
      </c>
      <c r="V474" t="s">
        <v>74</v>
      </c>
      <c r="W474" t="s">
        <v>9586</v>
      </c>
      <c r="X474" t="s">
        <v>9587</v>
      </c>
      <c r="Y474" t="s">
        <v>9588</v>
      </c>
      <c r="Z474" t="s">
        <v>9589</v>
      </c>
      <c r="AA474" t="s">
        <v>9590</v>
      </c>
      <c r="AB474" t="s">
        <v>9591</v>
      </c>
      <c r="AC474" t="s">
        <v>9592</v>
      </c>
      <c r="AD474" t="s">
        <v>9593</v>
      </c>
      <c r="AE474" t="s">
        <v>9594</v>
      </c>
      <c r="AF474" t="s">
        <v>74</v>
      </c>
      <c r="AG474">
        <v>77</v>
      </c>
      <c r="AH474">
        <v>16</v>
      </c>
      <c r="AI474">
        <v>16</v>
      </c>
      <c r="AJ474">
        <v>5</v>
      </c>
      <c r="AK474">
        <v>38</v>
      </c>
      <c r="AL474" t="s">
        <v>284</v>
      </c>
      <c r="AM474" t="s">
        <v>285</v>
      </c>
      <c r="AN474" t="s">
        <v>286</v>
      </c>
      <c r="AO474" t="s">
        <v>9595</v>
      </c>
      <c r="AP474" t="s">
        <v>74</v>
      </c>
      <c r="AQ474" t="s">
        <v>74</v>
      </c>
      <c r="AR474" t="s">
        <v>9596</v>
      </c>
      <c r="AS474" t="s">
        <v>9597</v>
      </c>
      <c r="AT474" t="s">
        <v>7663</v>
      </c>
      <c r="AU474">
        <v>2020</v>
      </c>
      <c r="AV474">
        <v>32</v>
      </c>
      <c r="AW474" t="s">
        <v>74</v>
      </c>
      <c r="AX474" t="s">
        <v>74</v>
      </c>
      <c r="AY474" t="s">
        <v>74</v>
      </c>
      <c r="AZ474" t="s">
        <v>74</v>
      </c>
      <c r="BA474" t="s">
        <v>74</v>
      </c>
      <c r="BB474" t="s">
        <v>74</v>
      </c>
      <c r="BC474" t="s">
        <v>74</v>
      </c>
      <c r="BD474">
        <v>100626</v>
      </c>
      <c r="BE474" t="s">
        <v>9598</v>
      </c>
      <c r="BF474" t="str">
        <f>HYPERLINK("http://dx.doi.org/10.1016/j.uclim.2020.100626","http://dx.doi.org/10.1016/j.uclim.2020.100626")</f>
        <v>http://dx.doi.org/10.1016/j.uclim.2020.100626</v>
      </c>
      <c r="BG474" t="s">
        <v>74</v>
      </c>
      <c r="BH474" t="s">
        <v>74</v>
      </c>
      <c r="BI474">
        <v>13</v>
      </c>
      <c r="BJ474" t="s">
        <v>2068</v>
      </c>
      <c r="BK474" t="s">
        <v>102</v>
      </c>
      <c r="BL474" t="s">
        <v>2069</v>
      </c>
      <c r="BM474" t="s">
        <v>9599</v>
      </c>
      <c r="BN474" t="s">
        <v>74</v>
      </c>
      <c r="BO474" t="s">
        <v>74</v>
      </c>
      <c r="BP474" t="s">
        <v>74</v>
      </c>
      <c r="BQ474" t="s">
        <v>74</v>
      </c>
      <c r="BR474" t="s">
        <v>106</v>
      </c>
      <c r="BS474" t="s">
        <v>9600</v>
      </c>
      <c r="BT474" t="str">
        <f>HYPERLINK("https%3A%2F%2Fwww.webofscience.com%2Fwos%2Fwoscc%2Ffull-record%2FWOS:000540237600008","View Full Record in Web of Science")</f>
        <v>View Full Record in Web of Science</v>
      </c>
    </row>
    <row r="475" spans="1:72" x14ac:dyDescent="0.15">
      <c r="A475" t="s">
        <v>72</v>
      </c>
      <c r="B475" t="s">
        <v>9601</v>
      </c>
      <c r="C475" t="s">
        <v>74</v>
      </c>
      <c r="D475" t="s">
        <v>74</v>
      </c>
      <c r="E475" t="s">
        <v>74</v>
      </c>
      <c r="F475" t="s">
        <v>9602</v>
      </c>
      <c r="G475" t="s">
        <v>74</v>
      </c>
      <c r="H475" t="s">
        <v>74</v>
      </c>
      <c r="I475" t="s">
        <v>9603</v>
      </c>
      <c r="J475" t="s">
        <v>9604</v>
      </c>
      <c r="K475" t="s">
        <v>74</v>
      </c>
      <c r="L475" t="s">
        <v>74</v>
      </c>
      <c r="M475" t="s">
        <v>78</v>
      </c>
      <c r="N475" t="s">
        <v>79</v>
      </c>
      <c r="O475" t="s">
        <v>74</v>
      </c>
      <c r="P475" t="s">
        <v>74</v>
      </c>
      <c r="Q475" t="s">
        <v>74</v>
      </c>
      <c r="R475" t="s">
        <v>74</v>
      </c>
      <c r="S475" t="s">
        <v>74</v>
      </c>
      <c r="T475" t="s">
        <v>9605</v>
      </c>
      <c r="U475" t="s">
        <v>9606</v>
      </c>
      <c r="V475" t="s">
        <v>9607</v>
      </c>
      <c r="W475" t="s">
        <v>9608</v>
      </c>
      <c r="X475" t="s">
        <v>9609</v>
      </c>
      <c r="Y475" t="s">
        <v>9610</v>
      </c>
      <c r="Z475" t="s">
        <v>6421</v>
      </c>
      <c r="AA475" t="s">
        <v>9611</v>
      </c>
      <c r="AB475" t="s">
        <v>9612</v>
      </c>
      <c r="AC475" t="s">
        <v>9613</v>
      </c>
      <c r="AD475" t="s">
        <v>9614</v>
      </c>
      <c r="AE475" t="s">
        <v>9615</v>
      </c>
      <c r="AF475" t="s">
        <v>74</v>
      </c>
      <c r="AG475">
        <v>98</v>
      </c>
      <c r="AH475">
        <v>6</v>
      </c>
      <c r="AI475">
        <v>7</v>
      </c>
      <c r="AJ475">
        <v>0</v>
      </c>
      <c r="AK475">
        <v>5</v>
      </c>
      <c r="AL475" t="s">
        <v>9548</v>
      </c>
      <c r="AM475" t="s">
        <v>4767</v>
      </c>
      <c r="AN475" t="s">
        <v>9549</v>
      </c>
      <c r="AO475" t="s">
        <v>9616</v>
      </c>
      <c r="AP475" t="s">
        <v>9617</v>
      </c>
      <c r="AQ475" t="s">
        <v>74</v>
      </c>
      <c r="AR475" t="s">
        <v>9618</v>
      </c>
      <c r="AS475" t="s">
        <v>9619</v>
      </c>
      <c r="AT475" t="s">
        <v>7663</v>
      </c>
      <c r="AU475">
        <v>2020</v>
      </c>
      <c r="AV475">
        <v>89</v>
      </c>
      <c r="AW475">
        <v>3</v>
      </c>
      <c r="AX475" t="s">
        <v>74</v>
      </c>
      <c r="AY475" t="s">
        <v>74</v>
      </c>
      <c r="AZ475" t="s">
        <v>74</v>
      </c>
      <c r="BA475" t="s">
        <v>74</v>
      </c>
      <c r="BB475">
        <v>247</v>
      </c>
      <c r="BC475">
        <v>269</v>
      </c>
      <c r="BD475" t="s">
        <v>74</v>
      </c>
      <c r="BE475" t="s">
        <v>9620</v>
      </c>
      <c r="BF475" t="str">
        <f>HYPERLINK("http://dx.doi.org/10.1163/18759866-20191423","http://dx.doi.org/10.1163/18759866-20191423")</f>
        <v>http://dx.doi.org/10.1163/18759866-20191423</v>
      </c>
      <c r="BG475" t="s">
        <v>74</v>
      </c>
      <c r="BH475" t="s">
        <v>74</v>
      </c>
      <c r="BI475">
        <v>23</v>
      </c>
      <c r="BJ475" t="s">
        <v>1499</v>
      </c>
      <c r="BK475" t="s">
        <v>102</v>
      </c>
      <c r="BL475" t="s">
        <v>1499</v>
      </c>
      <c r="BM475" t="s">
        <v>9621</v>
      </c>
      <c r="BN475" t="s">
        <v>74</v>
      </c>
      <c r="BO475" t="s">
        <v>1352</v>
      </c>
      <c r="BP475" t="s">
        <v>74</v>
      </c>
      <c r="BQ475" t="s">
        <v>74</v>
      </c>
      <c r="BR475" t="s">
        <v>106</v>
      </c>
      <c r="BS475" t="s">
        <v>9622</v>
      </c>
      <c r="BT475" t="str">
        <f>HYPERLINK("https%3A%2F%2Fwww.webofscience.com%2Fwos%2Fwoscc%2Ffull-record%2FWOS:000540097400001","View Full Record in Web of Science")</f>
        <v>View Full Record in Web of Science</v>
      </c>
    </row>
    <row r="476" spans="1:72" x14ac:dyDescent="0.15">
      <c r="A476" t="s">
        <v>72</v>
      </c>
      <c r="B476" t="s">
        <v>9623</v>
      </c>
      <c r="C476" t="s">
        <v>74</v>
      </c>
      <c r="D476" t="s">
        <v>74</v>
      </c>
      <c r="E476" t="s">
        <v>74</v>
      </c>
      <c r="F476" t="s">
        <v>9624</v>
      </c>
      <c r="G476" t="s">
        <v>74</v>
      </c>
      <c r="H476" t="s">
        <v>74</v>
      </c>
      <c r="I476" t="s">
        <v>9625</v>
      </c>
      <c r="J476" t="s">
        <v>9626</v>
      </c>
      <c r="K476" t="s">
        <v>74</v>
      </c>
      <c r="L476" t="s">
        <v>74</v>
      </c>
      <c r="M476" t="s">
        <v>78</v>
      </c>
      <c r="N476" t="s">
        <v>79</v>
      </c>
      <c r="O476" t="s">
        <v>74</v>
      </c>
      <c r="P476" t="s">
        <v>74</v>
      </c>
      <c r="Q476" t="s">
        <v>74</v>
      </c>
      <c r="R476" t="s">
        <v>74</v>
      </c>
      <c r="S476" t="s">
        <v>74</v>
      </c>
      <c r="T476" t="s">
        <v>9627</v>
      </c>
      <c r="U476" t="s">
        <v>9628</v>
      </c>
      <c r="V476" t="s">
        <v>9629</v>
      </c>
      <c r="W476" t="s">
        <v>9630</v>
      </c>
      <c r="X476" t="s">
        <v>9631</v>
      </c>
      <c r="Y476" t="s">
        <v>9632</v>
      </c>
      <c r="Z476" t="s">
        <v>9633</v>
      </c>
      <c r="AA476" t="s">
        <v>9634</v>
      </c>
      <c r="AB476" t="s">
        <v>9635</v>
      </c>
      <c r="AC476" t="s">
        <v>74</v>
      </c>
      <c r="AD476" t="s">
        <v>74</v>
      </c>
      <c r="AE476" t="s">
        <v>74</v>
      </c>
      <c r="AF476" t="s">
        <v>74</v>
      </c>
      <c r="AG476">
        <v>123</v>
      </c>
      <c r="AH476">
        <v>8</v>
      </c>
      <c r="AI476">
        <v>8</v>
      </c>
      <c r="AJ476">
        <v>0</v>
      </c>
      <c r="AK476">
        <v>10</v>
      </c>
      <c r="AL476" t="s">
        <v>9636</v>
      </c>
      <c r="AM476" t="s">
        <v>9637</v>
      </c>
      <c r="AN476" t="s">
        <v>9638</v>
      </c>
      <c r="AO476" t="s">
        <v>9639</v>
      </c>
      <c r="AP476" t="s">
        <v>9640</v>
      </c>
      <c r="AQ476" t="s">
        <v>74</v>
      </c>
      <c r="AR476" t="s">
        <v>9626</v>
      </c>
      <c r="AS476" t="s">
        <v>9641</v>
      </c>
      <c r="AT476" t="s">
        <v>9394</v>
      </c>
      <c r="AU476">
        <v>2020</v>
      </c>
      <c r="AV476">
        <v>20</v>
      </c>
      <c r="AW476">
        <v>6</v>
      </c>
      <c r="AX476" t="s">
        <v>74</v>
      </c>
      <c r="AY476" t="s">
        <v>74</v>
      </c>
      <c r="AZ476" t="s">
        <v>74</v>
      </c>
      <c r="BA476" t="s">
        <v>74</v>
      </c>
      <c r="BB476">
        <v>701</v>
      </c>
      <c r="BC476">
        <v>722</v>
      </c>
      <c r="BD476" t="s">
        <v>74</v>
      </c>
      <c r="BE476" t="s">
        <v>9642</v>
      </c>
      <c r="BF476" t="str">
        <f>HYPERLINK("http://dx.doi.org/10.1089/ast.2018.2021","http://dx.doi.org/10.1089/ast.2018.2021")</f>
        <v>http://dx.doi.org/10.1089/ast.2018.2021</v>
      </c>
      <c r="BG476" t="s">
        <v>74</v>
      </c>
      <c r="BH476" t="s">
        <v>74</v>
      </c>
      <c r="BI476">
        <v>22</v>
      </c>
      <c r="BJ476" t="s">
        <v>9643</v>
      </c>
      <c r="BK476" t="s">
        <v>102</v>
      </c>
      <c r="BL476" t="s">
        <v>9644</v>
      </c>
      <c r="BM476" t="s">
        <v>9645</v>
      </c>
      <c r="BN476" t="s">
        <v>74</v>
      </c>
      <c r="BO476" t="s">
        <v>74</v>
      </c>
      <c r="BP476" t="s">
        <v>74</v>
      </c>
      <c r="BQ476" t="s">
        <v>74</v>
      </c>
      <c r="BR476" t="s">
        <v>106</v>
      </c>
      <c r="BS476" t="s">
        <v>9646</v>
      </c>
      <c r="BT476" t="str">
        <f>HYPERLINK("https%3A%2F%2Fwww.webofscience.com%2Fwos%2Fwoscc%2Ffull-record%2FWOS:000539576300003","View Full Record in Web of Science")</f>
        <v>View Full Record in Web of Science</v>
      </c>
    </row>
    <row r="477" spans="1:72" x14ac:dyDescent="0.15">
      <c r="A477" t="s">
        <v>72</v>
      </c>
      <c r="B477" t="s">
        <v>9647</v>
      </c>
      <c r="C477" t="s">
        <v>74</v>
      </c>
      <c r="D477" t="s">
        <v>74</v>
      </c>
      <c r="E477" t="s">
        <v>74</v>
      </c>
      <c r="F477" t="s">
        <v>9648</v>
      </c>
      <c r="G477" t="s">
        <v>74</v>
      </c>
      <c r="H477" t="s">
        <v>74</v>
      </c>
      <c r="I477" t="s">
        <v>9649</v>
      </c>
      <c r="J477" t="s">
        <v>5001</v>
      </c>
      <c r="K477" t="s">
        <v>74</v>
      </c>
      <c r="L477" t="s">
        <v>74</v>
      </c>
      <c r="M477" t="s">
        <v>78</v>
      </c>
      <c r="N477" t="s">
        <v>79</v>
      </c>
      <c r="O477" t="s">
        <v>74</v>
      </c>
      <c r="P477" t="s">
        <v>74</v>
      </c>
      <c r="Q477" t="s">
        <v>74</v>
      </c>
      <c r="R477" t="s">
        <v>74</v>
      </c>
      <c r="S477" t="s">
        <v>74</v>
      </c>
      <c r="T477" t="s">
        <v>74</v>
      </c>
      <c r="U477" t="s">
        <v>9650</v>
      </c>
      <c r="V477" t="s">
        <v>9651</v>
      </c>
      <c r="W477" t="s">
        <v>9652</v>
      </c>
      <c r="X477" t="s">
        <v>9653</v>
      </c>
      <c r="Y477" t="s">
        <v>9654</v>
      </c>
      <c r="Z477" t="s">
        <v>74</v>
      </c>
      <c r="AA477" t="s">
        <v>74</v>
      </c>
      <c r="AB477" t="s">
        <v>9655</v>
      </c>
      <c r="AC477" t="s">
        <v>9656</v>
      </c>
      <c r="AD477" t="s">
        <v>9656</v>
      </c>
      <c r="AE477" t="s">
        <v>9657</v>
      </c>
      <c r="AF477" t="s">
        <v>74</v>
      </c>
      <c r="AG477">
        <v>21</v>
      </c>
      <c r="AH477">
        <v>7</v>
      </c>
      <c r="AI477">
        <v>7</v>
      </c>
      <c r="AJ477">
        <v>0</v>
      </c>
      <c r="AK477">
        <v>4</v>
      </c>
      <c r="AL477" t="s">
        <v>5012</v>
      </c>
      <c r="AM477" t="s">
        <v>5013</v>
      </c>
      <c r="AN477" t="s">
        <v>5014</v>
      </c>
      <c r="AO477" t="s">
        <v>5015</v>
      </c>
      <c r="AP477" t="s">
        <v>5016</v>
      </c>
      <c r="AQ477" t="s">
        <v>74</v>
      </c>
      <c r="AR477" t="s">
        <v>5001</v>
      </c>
      <c r="AS477" t="s">
        <v>472</v>
      </c>
      <c r="AT477" t="s">
        <v>7663</v>
      </c>
      <c r="AU477">
        <v>2020</v>
      </c>
      <c r="AV477">
        <v>48</v>
      </c>
      <c r="AW477">
        <v>6</v>
      </c>
      <c r="AX477" t="s">
        <v>74</v>
      </c>
      <c r="AY477" t="s">
        <v>74</v>
      </c>
      <c r="AZ477" t="s">
        <v>74</v>
      </c>
      <c r="BA477" t="s">
        <v>74</v>
      </c>
      <c r="BB477">
        <v>630</v>
      </c>
      <c r="BC477">
        <v>634</v>
      </c>
      <c r="BD477" t="s">
        <v>74</v>
      </c>
      <c r="BE477" t="s">
        <v>9658</v>
      </c>
      <c r="BF477" t="str">
        <f>HYPERLINK("http://dx.doi.org/10.1130/G47297.1","http://dx.doi.org/10.1130/G47297.1")</f>
        <v>http://dx.doi.org/10.1130/G47297.1</v>
      </c>
      <c r="BG477" t="s">
        <v>74</v>
      </c>
      <c r="BH477" t="s">
        <v>74</v>
      </c>
      <c r="BI477">
        <v>5</v>
      </c>
      <c r="BJ477" t="s">
        <v>472</v>
      </c>
      <c r="BK477" t="s">
        <v>102</v>
      </c>
      <c r="BL477" t="s">
        <v>472</v>
      </c>
      <c r="BM477" t="s">
        <v>9659</v>
      </c>
      <c r="BN477" t="s">
        <v>74</v>
      </c>
      <c r="BO477" t="s">
        <v>74</v>
      </c>
      <c r="BP477" t="s">
        <v>74</v>
      </c>
      <c r="BQ477" t="s">
        <v>74</v>
      </c>
      <c r="BR477" t="s">
        <v>106</v>
      </c>
      <c r="BS477" t="s">
        <v>9660</v>
      </c>
      <c r="BT477" t="str">
        <f>HYPERLINK("https%3A%2F%2Fwww.webofscience.com%2Fwos%2Fwoscc%2Ffull-record%2FWOS:000539742900020","View Full Record in Web of Science")</f>
        <v>View Full Record in Web of Science</v>
      </c>
    </row>
    <row r="478" spans="1:72" x14ac:dyDescent="0.15">
      <c r="A478" t="s">
        <v>72</v>
      </c>
      <c r="B478" t="s">
        <v>9661</v>
      </c>
      <c r="C478" t="s">
        <v>74</v>
      </c>
      <c r="D478" t="s">
        <v>74</v>
      </c>
      <c r="E478" t="s">
        <v>74</v>
      </c>
      <c r="F478" t="s">
        <v>9662</v>
      </c>
      <c r="G478" t="s">
        <v>74</v>
      </c>
      <c r="H478" t="s">
        <v>74</v>
      </c>
      <c r="I478" t="s">
        <v>9663</v>
      </c>
      <c r="J478" t="s">
        <v>9664</v>
      </c>
      <c r="K478" t="s">
        <v>74</v>
      </c>
      <c r="L478" t="s">
        <v>74</v>
      </c>
      <c r="M478" t="s">
        <v>78</v>
      </c>
      <c r="N478" t="s">
        <v>79</v>
      </c>
      <c r="O478" t="s">
        <v>74</v>
      </c>
      <c r="P478" t="s">
        <v>74</v>
      </c>
      <c r="Q478" t="s">
        <v>74</v>
      </c>
      <c r="R478" t="s">
        <v>74</v>
      </c>
      <c r="S478" t="s">
        <v>74</v>
      </c>
      <c r="T478" t="s">
        <v>9665</v>
      </c>
      <c r="U478" t="s">
        <v>9666</v>
      </c>
      <c r="V478" t="s">
        <v>9667</v>
      </c>
      <c r="W478" t="s">
        <v>9668</v>
      </c>
      <c r="X478" t="s">
        <v>9669</v>
      </c>
      <c r="Y478" t="s">
        <v>9670</v>
      </c>
      <c r="Z478" t="s">
        <v>9671</v>
      </c>
      <c r="AA478" t="s">
        <v>9672</v>
      </c>
      <c r="AB478" t="s">
        <v>9673</v>
      </c>
      <c r="AC478" t="s">
        <v>9674</v>
      </c>
      <c r="AD478" t="s">
        <v>9675</v>
      </c>
      <c r="AE478" t="s">
        <v>9676</v>
      </c>
      <c r="AF478" t="s">
        <v>74</v>
      </c>
      <c r="AG478">
        <v>21</v>
      </c>
      <c r="AH478">
        <v>4</v>
      </c>
      <c r="AI478">
        <v>4</v>
      </c>
      <c r="AJ478">
        <v>0</v>
      </c>
      <c r="AK478">
        <v>6</v>
      </c>
      <c r="AL478" t="s">
        <v>284</v>
      </c>
      <c r="AM478" t="s">
        <v>285</v>
      </c>
      <c r="AN478" t="s">
        <v>286</v>
      </c>
      <c r="AO478" t="s">
        <v>9677</v>
      </c>
      <c r="AP478" t="s">
        <v>74</v>
      </c>
      <c r="AQ478" t="s">
        <v>74</v>
      </c>
      <c r="AR478" t="s">
        <v>9678</v>
      </c>
      <c r="AS478" t="s">
        <v>9679</v>
      </c>
      <c r="AT478" t="s">
        <v>7663</v>
      </c>
      <c r="AU478">
        <v>2020</v>
      </c>
      <c r="AV478">
        <v>48</v>
      </c>
      <c r="AW478" t="s">
        <v>74</v>
      </c>
      <c r="AX478" t="s">
        <v>74</v>
      </c>
      <c r="AY478" t="s">
        <v>74</v>
      </c>
      <c r="AZ478" t="s">
        <v>74</v>
      </c>
      <c r="BA478" t="s">
        <v>74</v>
      </c>
      <c r="BB478" t="s">
        <v>74</v>
      </c>
      <c r="BC478" t="s">
        <v>74</v>
      </c>
      <c r="BD478">
        <v>101936</v>
      </c>
      <c r="BE478" t="s">
        <v>9680</v>
      </c>
      <c r="BF478" t="str">
        <f>HYPERLINK("http://dx.doi.org/10.1016/j.algal.2020.101936","http://dx.doi.org/10.1016/j.algal.2020.101936")</f>
        <v>http://dx.doi.org/10.1016/j.algal.2020.101936</v>
      </c>
      <c r="BG478" t="s">
        <v>74</v>
      </c>
      <c r="BH478" t="s">
        <v>74</v>
      </c>
      <c r="BI478">
        <v>5</v>
      </c>
      <c r="BJ478" t="s">
        <v>2194</v>
      </c>
      <c r="BK478" t="s">
        <v>102</v>
      </c>
      <c r="BL478" t="s">
        <v>2194</v>
      </c>
      <c r="BM478" t="s">
        <v>9681</v>
      </c>
      <c r="BN478" t="s">
        <v>74</v>
      </c>
      <c r="BO478" t="s">
        <v>74</v>
      </c>
      <c r="BP478" t="s">
        <v>74</v>
      </c>
      <c r="BQ478" t="s">
        <v>74</v>
      </c>
      <c r="BR478" t="s">
        <v>106</v>
      </c>
      <c r="BS478" t="s">
        <v>9682</v>
      </c>
      <c r="BT478" t="str">
        <f>HYPERLINK("https%3A%2F%2Fwww.webofscience.com%2Fwos%2Fwoscc%2Ffull-record%2FWOS:000539273500014","View Full Record in Web of Science")</f>
        <v>View Full Record in Web of Science</v>
      </c>
    </row>
    <row r="479" spans="1:72" x14ac:dyDescent="0.15">
      <c r="A479" t="s">
        <v>72</v>
      </c>
      <c r="B479" t="s">
        <v>9683</v>
      </c>
      <c r="C479" t="s">
        <v>74</v>
      </c>
      <c r="D479" t="s">
        <v>74</v>
      </c>
      <c r="E479" t="s">
        <v>74</v>
      </c>
      <c r="F479" t="s">
        <v>9684</v>
      </c>
      <c r="G479" t="s">
        <v>74</v>
      </c>
      <c r="H479" t="s">
        <v>74</v>
      </c>
      <c r="I479" t="s">
        <v>9685</v>
      </c>
      <c r="J479" t="s">
        <v>4855</v>
      </c>
      <c r="K479" t="s">
        <v>74</v>
      </c>
      <c r="L479" t="s">
        <v>74</v>
      </c>
      <c r="M479" t="s">
        <v>78</v>
      </c>
      <c r="N479" t="s">
        <v>79</v>
      </c>
      <c r="O479" t="s">
        <v>74</v>
      </c>
      <c r="P479" t="s">
        <v>74</v>
      </c>
      <c r="Q479" t="s">
        <v>74</v>
      </c>
      <c r="R479" t="s">
        <v>74</v>
      </c>
      <c r="S479" t="s">
        <v>74</v>
      </c>
      <c r="T479" t="s">
        <v>9686</v>
      </c>
      <c r="U479" t="s">
        <v>9687</v>
      </c>
      <c r="V479" t="s">
        <v>9688</v>
      </c>
      <c r="W479" t="s">
        <v>9689</v>
      </c>
      <c r="X479" t="s">
        <v>9690</v>
      </c>
      <c r="Y479" t="s">
        <v>9691</v>
      </c>
      <c r="Z479" t="s">
        <v>9692</v>
      </c>
      <c r="AA479" t="s">
        <v>9693</v>
      </c>
      <c r="AB479" t="s">
        <v>9694</v>
      </c>
      <c r="AC479" t="s">
        <v>9695</v>
      </c>
      <c r="AD479" t="s">
        <v>9696</v>
      </c>
      <c r="AE479" t="s">
        <v>9697</v>
      </c>
      <c r="AF479" t="s">
        <v>74</v>
      </c>
      <c r="AG479">
        <v>80</v>
      </c>
      <c r="AH479">
        <v>9</v>
      </c>
      <c r="AI479">
        <v>9</v>
      </c>
      <c r="AJ479">
        <v>2</v>
      </c>
      <c r="AK479">
        <v>41</v>
      </c>
      <c r="AL479" t="s">
        <v>4638</v>
      </c>
      <c r="AM479" t="s">
        <v>399</v>
      </c>
      <c r="AN479" t="s">
        <v>4867</v>
      </c>
      <c r="AO479" t="s">
        <v>4868</v>
      </c>
      <c r="AP479" t="s">
        <v>4869</v>
      </c>
      <c r="AQ479" t="s">
        <v>74</v>
      </c>
      <c r="AR479" t="s">
        <v>4870</v>
      </c>
      <c r="AS479" t="s">
        <v>4871</v>
      </c>
      <c r="AT479" t="s">
        <v>7663</v>
      </c>
      <c r="AU479">
        <v>2020</v>
      </c>
      <c r="AV479">
        <v>157</v>
      </c>
      <c r="AW479">
        <v>6</v>
      </c>
      <c r="AX479" t="s">
        <v>74</v>
      </c>
      <c r="AY479" t="s">
        <v>74</v>
      </c>
      <c r="AZ479" t="s">
        <v>2622</v>
      </c>
      <c r="BA479" t="s">
        <v>74</v>
      </c>
      <c r="BB479">
        <v>864</v>
      </c>
      <c r="BC479">
        <v>878</v>
      </c>
      <c r="BD479" t="s">
        <v>9698</v>
      </c>
      <c r="BE479" t="s">
        <v>9699</v>
      </c>
      <c r="BF479" t="str">
        <f>HYPERLINK("http://dx.doi.org/10.1017/S0016756820000291","http://dx.doi.org/10.1017/S0016756820000291")</f>
        <v>http://dx.doi.org/10.1017/S0016756820000291</v>
      </c>
      <c r="BG479" t="s">
        <v>74</v>
      </c>
      <c r="BH479" t="s">
        <v>74</v>
      </c>
      <c r="BI479">
        <v>15</v>
      </c>
      <c r="BJ479" t="s">
        <v>471</v>
      </c>
      <c r="BK479" t="s">
        <v>102</v>
      </c>
      <c r="BL479" t="s">
        <v>472</v>
      </c>
      <c r="BM479" t="s">
        <v>8299</v>
      </c>
      <c r="BN479" t="s">
        <v>74</v>
      </c>
      <c r="BO479" t="s">
        <v>74</v>
      </c>
      <c r="BP479" t="s">
        <v>74</v>
      </c>
      <c r="BQ479" t="s">
        <v>74</v>
      </c>
      <c r="BR479" t="s">
        <v>106</v>
      </c>
      <c r="BS479" t="s">
        <v>9700</v>
      </c>
      <c r="BT479" t="str">
        <f>HYPERLINK("https%3A%2F%2Fwww.webofscience.com%2Fwos%2Fwoscc%2Ffull-record%2FWOS:000539094000004","View Full Record in Web of Science")</f>
        <v>View Full Record in Web of Science</v>
      </c>
    </row>
    <row r="480" spans="1:72" x14ac:dyDescent="0.15">
      <c r="A480" t="s">
        <v>72</v>
      </c>
      <c r="B480" t="s">
        <v>9701</v>
      </c>
      <c r="C480" t="s">
        <v>74</v>
      </c>
      <c r="D480" t="s">
        <v>74</v>
      </c>
      <c r="E480" t="s">
        <v>74</v>
      </c>
      <c r="F480" t="s">
        <v>9702</v>
      </c>
      <c r="G480" t="s">
        <v>74</v>
      </c>
      <c r="H480" t="s">
        <v>9703</v>
      </c>
      <c r="I480" t="s">
        <v>9704</v>
      </c>
      <c r="J480" t="s">
        <v>4855</v>
      </c>
      <c r="K480" t="s">
        <v>74</v>
      </c>
      <c r="L480" t="s">
        <v>74</v>
      </c>
      <c r="M480" t="s">
        <v>78</v>
      </c>
      <c r="N480" t="s">
        <v>79</v>
      </c>
      <c r="O480" t="s">
        <v>74</v>
      </c>
      <c r="P480" t="s">
        <v>74</v>
      </c>
      <c r="Q480" t="s">
        <v>74</v>
      </c>
      <c r="R480" t="s">
        <v>74</v>
      </c>
      <c r="S480" t="s">
        <v>74</v>
      </c>
      <c r="T480" t="s">
        <v>9705</v>
      </c>
      <c r="U480" t="s">
        <v>9706</v>
      </c>
      <c r="V480" t="s">
        <v>9707</v>
      </c>
      <c r="W480" t="s">
        <v>9708</v>
      </c>
      <c r="X480" t="s">
        <v>9709</v>
      </c>
      <c r="Y480" t="s">
        <v>9710</v>
      </c>
      <c r="Z480" t="s">
        <v>9711</v>
      </c>
      <c r="AA480" t="s">
        <v>9712</v>
      </c>
      <c r="AB480" t="s">
        <v>9713</v>
      </c>
      <c r="AC480" t="s">
        <v>9714</v>
      </c>
      <c r="AD480" t="s">
        <v>9715</v>
      </c>
      <c r="AE480" t="s">
        <v>9716</v>
      </c>
      <c r="AF480" t="s">
        <v>74</v>
      </c>
      <c r="AG480">
        <v>58</v>
      </c>
      <c r="AH480">
        <v>11</v>
      </c>
      <c r="AI480">
        <v>14</v>
      </c>
      <c r="AJ480">
        <v>2</v>
      </c>
      <c r="AK480">
        <v>17</v>
      </c>
      <c r="AL480" t="s">
        <v>4638</v>
      </c>
      <c r="AM480" t="s">
        <v>399</v>
      </c>
      <c r="AN480" t="s">
        <v>4867</v>
      </c>
      <c r="AO480" t="s">
        <v>4868</v>
      </c>
      <c r="AP480" t="s">
        <v>4869</v>
      </c>
      <c r="AQ480" t="s">
        <v>74</v>
      </c>
      <c r="AR480" t="s">
        <v>4870</v>
      </c>
      <c r="AS480" t="s">
        <v>4871</v>
      </c>
      <c r="AT480" t="s">
        <v>7663</v>
      </c>
      <c r="AU480">
        <v>2020</v>
      </c>
      <c r="AV480">
        <v>157</v>
      </c>
      <c r="AW480">
        <v>6</v>
      </c>
      <c r="AX480" t="s">
        <v>74</v>
      </c>
      <c r="AY480" t="s">
        <v>74</v>
      </c>
      <c r="AZ480" t="s">
        <v>2622</v>
      </c>
      <c r="BA480" t="s">
        <v>74</v>
      </c>
      <c r="BB480">
        <v>1012</v>
      </c>
      <c r="BC480">
        <v>1021</v>
      </c>
      <c r="BD480" t="s">
        <v>9717</v>
      </c>
      <c r="BE480" t="s">
        <v>9718</v>
      </c>
      <c r="BF480" t="str">
        <f>HYPERLINK("http://dx.doi.org/10.1017/S0016756818000870","http://dx.doi.org/10.1017/S0016756818000870")</f>
        <v>http://dx.doi.org/10.1017/S0016756818000870</v>
      </c>
      <c r="BG480" t="s">
        <v>74</v>
      </c>
      <c r="BH480" t="s">
        <v>74</v>
      </c>
      <c r="BI480">
        <v>10</v>
      </c>
      <c r="BJ480" t="s">
        <v>471</v>
      </c>
      <c r="BK480" t="s">
        <v>102</v>
      </c>
      <c r="BL480" t="s">
        <v>472</v>
      </c>
      <c r="BM480" t="s">
        <v>8299</v>
      </c>
      <c r="BN480" t="s">
        <v>74</v>
      </c>
      <c r="BO480" t="s">
        <v>74</v>
      </c>
      <c r="BP480" t="s">
        <v>74</v>
      </c>
      <c r="BQ480" t="s">
        <v>74</v>
      </c>
      <c r="BR480" t="s">
        <v>106</v>
      </c>
      <c r="BS480" t="s">
        <v>9719</v>
      </c>
      <c r="BT480" t="str">
        <f>HYPERLINK("https%3A%2F%2Fwww.webofscience.com%2Fwos%2Fwoscc%2Ffull-record%2FWOS:000539094000016","View Full Record in Web of Science")</f>
        <v>View Full Record in Web of Science</v>
      </c>
    </row>
    <row r="481" spans="1:72" x14ac:dyDescent="0.15">
      <c r="A481" t="s">
        <v>72</v>
      </c>
      <c r="B481" t="s">
        <v>9720</v>
      </c>
      <c r="C481" t="s">
        <v>74</v>
      </c>
      <c r="D481" t="s">
        <v>74</v>
      </c>
      <c r="E481" t="s">
        <v>74</v>
      </c>
      <c r="F481" t="s">
        <v>9721</v>
      </c>
      <c r="G481" t="s">
        <v>74</v>
      </c>
      <c r="H481" t="s">
        <v>74</v>
      </c>
      <c r="I481" t="s">
        <v>9722</v>
      </c>
      <c r="J481" t="s">
        <v>9723</v>
      </c>
      <c r="K481" t="s">
        <v>74</v>
      </c>
      <c r="L481" t="s">
        <v>74</v>
      </c>
      <c r="M481" t="s">
        <v>78</v>
      </c>
      <c r="N481" t="s">
        <v>79</v>
      </c>
      <c r="O481" t="s">
        <v>74</v>
      </c>
      <c r="P481" t="s">
        <v>74</v>
      </c>
      <c r="Q481" t="s">
        <v>74</v>
      </c>
      <c r="R481" t="s">
        <v>74</v>
      </c>
      <c r="S481" t="s">
        <v>74</v>
      </c>
      <c r="T481" t="s">
        <v>9724</v>
      </c>
      <c r="U481" t="s">
        <v>9725</v>
      </c>
      <c r="V481" t="s">
        <v>9726</v>
      </c>
      <c r="W481" t="s">
        <v>9727</v>
      </c>
      <c r="X481" t="s">
        <v>9728</v>
      </c>
      <c r="Y481" t="s">
        <v>9729</v>
      </c>
      <c r="Z481" t="s">
        <v>9730</v>
      </c>
      <c r="AA481" t="s">
        <v>9731</v>
      </c>
      <c r="AB481" t="s">
        <v>9732</v>
      </c>
      <c r="AC481" t="s">
        <v>9733</v>
      </c>
      <c r="AD481" t="s">
        <v>9733</v>
      </c>
      <c r="AE481" t="s">
        <v>9734</v>
      </c>
      <c r="AF481" t="s">
        <v>74</v>
      </c>
      <c r="AG481">
        <v>86</v>
      </c>
      <c r="AH481">
        <v>24</v>
      </c>
      <c r="AI481">
        <v>25</v>
      </c>
      <c r="AJ481">
        <v>8</v>
      </c>
      <c r="AK481">
        <v>30</v>
      </c>
      <c r="AL481" t="s">
        <v>284</v>
      </c>
      <c r="AM481" t="s">
        <v>285</v>
      </c>
      <c r="AN481" t="s">
        <v>286</v>
      </c>
      <c r="AO481" t="s">
        <v>9735</v>
      </c>
      <c r="AP481" t="s">
        <v>74</v>
      </c>
      <c r="AQ481" t="s">
        <v>74</v>
      </c>
      <c r="AR481" t="s">
        <v>9736</v>
      </c>
      <c r="AS481" t="s">
        <v>9737</v>
      </c>
      <c r="AT481" t="s">
        <v>7663</v>
      </c>
      <c r="AU481">
        <v>2020</v>
      </c>
      <c r="AV481">
        <v>22</v>
      </c>
      <c r="AW481" t="s">
        <v>74</v>
      </c>
      <c r="AX481" t="s">
        <v>74</v>
      </c>
      <c r="AY481" t="s">
        <v>74</v>
      </c>
      <c r="AZ481" t="s">
        <v>74</v>
      </c>
      <c r="BA481" t="s">
        <v>74</v>
      </c>
      <c r="BB481" t="s">
        <v>74</v>
      </c>
      <c r="BC481" t="s">
        <v>74</v>
      </c>
      <c r="BD481" t="s">
        <v>9738</v>
      </c>
      <c r="BE481" t="s">
        <v>9739</v>
      </c>
      <c r="BF481" t="str">
        <f>HYPERLINK("http://dx.doi.org/10.1016/j.gecco.2020.e00988","http://dx.doi.org/10.1016/j.gecco.2020.e00988")</f>
        <v>http://dx.doi.org/10.1016/j.gecco.2020.e00988</v>
      </c>
      <c r="BG481" t="s">
        <v>74</v>
      </c>
      <c r="BH481" t="s">
        <v>74</v>
      </c>
      <c r="BI481">
        <v>16</v>
      </c>
      <c r="BJ481" t="s">
        <v>1004</v>
      </c>
      <c r="BK481" t="s">
        <v>102</v>
      </c>
      <c r="BL481" t="s">
        <v>1005</v>
      </c>
      <c r="BM481" t="s">
        <v>9740</v>
      </c>
      <c r="BN481" t="s">
        <v>74</v>
      </c>
      <c r="BO481" t="s">
        <v>2974</v>
      </c>
      <c r="BP481" t="s">
        <v>74</v>
      </c>
      <c r="BQ481" t="s">
        <v>74</v>
      </c>
      <c r="BR481" t="s">
        <v>106</v>
      </c>
      <c r="BS481" t="s">
        <v>9741</v>
      </c>
      <c r="BT481" t="str">
        <f>HYPERLINK("https%3A%2F%2Fwww.webofscience.com%2Fwos%2Fwoscc%2Ffull-record%2FWOS:000539263800015","View Full Record in Web of Science")</f>
        <v>View Full Record in Web of Science</v>
      </c>
    </row>
    <row r="482" spans="1:72" x14ac:dyDescent="0.15">
      <c r="A482" t="s">
        <v>72</v>
      </c>
      <c r="B482" t="s">
        <v>9742</v>
      </c>
      <c r="C482" t="s">
        <v>74</v>
      </c>
      <c r="D482" t="s">
        <v>74</v>
      </c>
      <c r="E482" t="s">
        <v>74</v>
      </c>
      <c r="F482" t="s">
        <v>9743</v>
      </c>
      <c r="G482" t="s">
        <v>74</v>
      </c>
      <c r="H482" t="s">
        <v>74</v>
      </c>
      <c r="I482" t="s">
        <v>9744</v>
      </c>
      <c r="J482" t="s">
        <v>9745</v>
      </c>
      <c r="K482" t="s">
        <v>74</v>
      </c>
      <c r="L482" t="s">
        <v>74</v>
      </c>
      <c r="M482" t="s">
        <v>78</v>
      </c>
      <c r="N482" t="s">
        <v>2846</v>
      </c>
      <c r="O482" t="s">
        <v>74</v>
      </c>
      <c r="P482" t="s">
        <v>74</v>
      </c>
      <c r="Q482" t="s">
        <v>74</v>
      </c>
      <c r="R482" t="s">
        <v>74</v>
      </c>
      <c r="S482" t="s">
        <v>74</v>
      </c>
      <c r="T482" t="s">
        <v>74</v>
      </c>
      <c r="U482" t="s">
        <v>74</v>
      </c>
      <c r="V482" t="s">
        <v>74</v>
      </c>
      <c r="W482" t="s">
        <v>9746</v>
      </c>
      <c r="X482" t="s">
        <v>9747</v>
      </c>
      <c r="Y482" t="s">
        <v>9748</v>
      </c>
      <c r="Z482" t="s">
        <v>9749</v>
      </c>
      <c r="AA482" t="s">
        <v>9750</v>
      </c>
      <c r="AB482" t="s">
        <v>9751</v>
      </c>
      <c r="AC482" t="s">
        <v>74</v>
      </c>
      <c r="AD482" t="s">
        <v>74</v>
      </c>
      <c r="AE482" t="s">
        <v>74</v>
      </c>
      <c r="AF482" t="s">
        <v>74</v>
      </c>
      <c r="AG482">
        <v>1</v>
      </c>
      <c r="AH482">
        <v>3</v>
      </c>
      <c r="AI482">
        <v>3</v>
      </c>
      <c r="AJ482">
        <v>12</v>
      </c>
      <c r="AK482">
        <v>49</v>
      </c>
      <c r="AL482" t="s">
        <v>2377</v>
      </c>
      <c r="AM482" t="s">
        <v>945</v>
      </c>
      <c r="AN482" t="s">
        <v>2378</v>
      </c>
      <c r="AO482" t="s">
        <v>9752</v>
      </c>
      <c r="AP482" t="s">
        <v>74</v>
      </c>
      <c r="AQ482" t="s">
        <v>74</v>
      </c>
      <c r="AR482" t="s">
        <v>9745</v>
      </c>
      <c r="AS482" t="s">
        <v>9753</v>
      </c>
      <c r="AT482" t="s">
        <v>9394</v>
      </c>
      <c r="AU482">
        <v>2020</v>
      </c>
      <c r="AV482">
        <v>8</v>
      </c>
      <c r="AW482">
        <v>1</v>
      </c>
      <c r="AX482" t="s">
        <v>74</v>
      </c>
      <c r="AY482" t="s">
        <v>74</v>
      </c>
      <c r="AZ482" t="s">
        <v>74</v>
      </c>
      <c r="BA482" t="s">
        <v>74</v>
      </c>
      <c r="BB482" t="s">
        <v>74</v>
      </c>
      <c r="BC482" t="s">
        <v>74</v>
      </c>
      <c r="BD482">
        <v>77</v>
      </c>
      <c r="BE482" t="s">
        <v>9754</v>
      </c>
      <c r="BF482" t="str">
        <f>HYPERLINK("http://dx.doi.org/10.1186/s40168-020-00871-4","http://dx.doi.org/10.1186/s40168-020-00871-4")</f>
        <v>http://dx.doi.org/10.1186/s40168-020-00871-4</v>
      </c>
      <c r="BG482" t="s">
        <v>74</v>
      </c>
      <c r="BH482" t="s">
        <v>74</v>
      </c>
      <c r="BI482">
        <v>1</v>
      </c>
      <c r="BJ482" t="s">
        <v>2045</v>
      </c>
      <c r="BK482" t="s">
        <v>102</v>
      </c>
      <c r="BL482" t="s">
        <v>2045</v>
      </c>
      <c r="BM482" t="s">
        <v>9755</v>
      </c>
      <c r="BN482">
        <v>32482168</v>
      </c>
      <c r="BO482" t="s">
        <v>161</v>
      </c>
      <c r="BP482" t="s">
        <v>74</v>
      </c>
      <c r="BQ482" t="s">
        <v>74</v>
      </c>
      <c r="BR482" t="s">
        <v>106</v>
      </c>
      <c r="BS482" t="s">
        <v>9756</v>
      </c>
      <c r="BT482" t="str">
        <f>HYPERLINK("https%3A%2F%2Fwww.webofscience.com%2Fwos%2Fwoscc%2Ffull-record%2FWOS:000539230800003","View Full Record in Web of Science")</f>
        <v>View Full Record in Web of Science</v>
      </c>
    </row>
    <row r="483" spans="1:72" x14ac:dyDescent="0.15">
      <c r="A483" t="s">
        <v>72</v>
      </c>
      <c r="B483" t="s">
        <v>9757</v>
      </c>
      <c r="C483" t="s">
        <v>74</v>
      </c>
      <c r="D483" t="s">
        <v>74</v>
      </c>
      <c r="E483" t="s">
        <v>74</v>
      </c>
      <c r="F483" t="s">
        <v>9758</v>
      </c>
      <c r="G483" t="s">
        <v>74</v>
      </c>
      <c r="H483" t="s">
        <v>74</v>
      </c>
      <c r="I483" t="s">
        <v>9759</v>
      </c>
      <c r="J483" t="s">
        <v>9760</v>
      </c>
      <c r="K483" t="s">
        <v>74</v>
      </c>
      <c r="L483" t="s">
        <v>74</v>
      </c>
      <c r="M483" t="s">
        <v>78</v>
      </c>
      <c r="N483" t="s">
        <v>79</v>
      </c>
      <c r="O483" t="s">
        <v>74</v>
      </c>
      <c r="P483" t="s">
        <v>74</v>
      </c>
      <c r="Q483" t="s">
        <v>74</v>
      </c>
      <c r="R483" t="s">
        <v>74</v>
      </c>
      <c r="S483" t="s">
        <v>74</v>
      </c>
      <c r="T483" t="s">
        <v>9761</v>
      </c>
      <c r="U483" t="s">
        <v>74</v>
      </c>
      <c r="V483" t="s">
        <v>9762</v>
      </c>
      <c r="W483" t="s">
        <v>9763</v>
      </c>
      <c r="X483" t="s">
        <v>9764</v>
      </c>
      <c r="Y483" t="s">
        <v>9765</v>
      </c>
      <c r="Z483" t="s">
        <v>74</v>
      </c>
      <c r="AA483" t="s">
        <v>9766</v>
      </c>
      <c r="AB483" t="s">
        <v>9767</v>
      </c>
      <c r="AC483" t="s">
        <v>9768</v>
      </c>
      <c r="AD483" t="s">
        <v>9769</v>
      </c>
      <c r="AE483" t="s">
        <v>9770</v>
      </c>
      <c r="AF483" t="s">
        <v>74</v>
      </c>
      <c r="AG483">
        <v>20</v>
      </c>
      <c r="AH483">
        <v>4</v>
      </c>
      <c r="AI483">
        <v>5</v>
      </c>
      <c r="AJ483">
        <v>0</v>
      </c>
      <c r="AK483">
        <v>4</v>
      </c>
      <c r="AL483" t="s">
        <v>9771</v>
      </c>
      <c r="AM483" t="s">
        <v>9772</v>
      </c>
      <c r="AN483" t="s">
        <v>9773</v>
      </c>
      <c r="AO483" t="s">
        <v>9774</v>
      </c>
      <c r="AP483" t="s">
        <v>74</v>
      </c>
      <c r="AQ483" t="s">
        <v>74</v>
      </c>
      <c r="AR483" t="s">
        <v>9775</v>
      </c>
      <c r="AS483" t="s">
        <v>9776</v>
      </c>
      <c r="AT483" t="s">
        <v>7663</v>
      </c>
      <c r="AU483">
        <v>2020</v>
      </c>
      <c r="AV483">
        <v>30</v>
      </c>
      <c r="AW483">
        <v>2</v>
      </c>
      <c r="AX483" t="s">
        <v>74</v>
      </c>
      <c r="AY483" t="s">
        <v>74</v>
      </c>
      <c r="AZ483" t="s">
        <v>74</v>
      </c>
      <c r="BA483" t="s">
        <v>74</v>
      </c>
      <c r="BB483">
        <v>194</v>
      </c>
      <c r="BC483">
        <v>201</v>
      </c>
      <c r="BD483" t="s">
        <v>74</v>
      </c>
      <c r="BE483" t="s">
        <v>9777</v>
      </c>
      <c r="BF483" t="str">
        <f>HYPERLINK("http://dx.doi.org/10.17736/ijope.2020.jc784","http://dx.doi.org/10.17736/ijope.2020.jc784")</f>
        <v>http://dx.doi.org/10.17736/ijope.2020.jc784</v>
      </c>
      <c r="BG483" t="s">
        <v>74</v>
      </c>
      <c r="BH483" t="s">
        <v>74</v>
      </c>
      <c r="BI483">
        <v>8</v>
      </c>
      <c r="BJ483" t="s">
        <v>9778</v>
      </c>
      <c r="BK483" t="s">
        <v>102</v>
      </c>
      <c r="BL483" t="s">
        <v>6515</v>
      </c>
      <c r="BM483" t="s">
        <v>9779</v>
      </c>
      <c r="BN483" t="s">
        <v>74</v>
      </c>
      <c r="BO483" t="s">
        <v>74</v>
      </c>
      <c r="BP483" t="s">
        <v>74</v>
      </c>
      <c r="BQ483" t="s">
        <v>74</v>
      </c>
      <c r="BR483" t="s">
        <v>106</v>
      </c>
      <c r="BS483" t="s">
        <v>9780</v>
      </c>
      <c r="BT483" t="str">
        <f>HYPERLINK("https%3A%2F%2Fwww.webofscience.com%2Fwos%2Fwoscc%2Ffull-record%2FWOS:000538614200008","View Full Record in Web of Science")</f>
        <v>View Full Record in Web of Science</v>
      </c>
    </row>
    <row r="484" spans="1:72" x14ac:dyDescent="0.15">
      <c r="A484" t="s">
        <v>72</v>
      </c>
      <c r="B484" t="s">
        <v>9781</v>
      </c>
      <c r="C484" t="s">
        <v>74</v>
      </c>
      <c r="D484" t="s">
        <v>74</v>
      </c>
      <c r="E484" t="s">
        <v>74</v>
      </c>
      <c r="F484" t="s">
        <v>9782</v>
      </c>
      <c r="G484" t="s">
        <v>74</v>
      </c>
      <c r="H484" t="s">
        <v>74</v>
      </c>
      <c r="I484" t="s">
        <v>9783</v>
      </c>
      <c r="J484" t="s">
        <v>4674</v>
      </c>
      <c r="K484" t="s">
        <v>74</v>
      </c>
      <c r="L484" t="s">
        <v>74</v>
      </c>
      <c r="M484" t="s">
        <v>78</v>
      </c>
      <c r="N484" t="s">
        <v>79</v>
      </c>
      <c r="O484" t="s">
        <v>74</v>
      </c>
      <c r="P484" t="s">
        <v>74</v>
      </c>
      <c r="Q484" t="s">
        <v>74</v>
      </c>
      <c r="R484" t="s">
        <v>74</v>
      </c>
      <c r="S484" t="s">
        <v>74</v>
      </c>
      <c r="T484" t="s">
        <v>74</v>
      </c>
      <c r="U484" t="s">
        <v>9784</v>
      </c>
      <c r="V484" t="s">
        <v>9785</v>
      </c>
      <c r="W484" t="s">
        <v>9786</v>
      </c>
      <c r="X484" t="s">
        <v>9787</v>
      </c>
      <c r="Y484" t="s">
        <v>9788</v>
      </c>
      <c r="Z484" t="s">
        <v>9789</v>
      </c>
      <c r="AA484" t="s">
        <v>9790</v>
      </c>
      <c r="AB484" t="s">
        <v>9791</v>
      </c>
      <c r="AC484" t="s">
        <v>9792</v>
      </c>
      <c r="AD484" t="s">
        <v>9793</v>
      </c>
      <c r="AE484" t="s">
        <v>9794</v>
      </c>
      <c r="AF484" t="s">
        <v>74</v>
      </c>
      <c r="AG484">
        <v>34</v>
      </c>
      <c r="AH484">
        <v>21</v>
      </c>
      <c r="AI484">
        <v>23</v>
      </c>
      <c r="AJ484">
        <v>1</v>
      </c>
      <c r="AK484">
        <v>28</v>
      </c>
      <c r="AL484" t="s">
        <v>92</v>
      </c>
      <c r="AM484" t="s">
        <v>93</v>
      </c>
      <c r="AN484" t="s">
        <v>94</v>
      </c>
      <c r="AO484" t="s">
        <v>4679</v>
      </c>
      <c r="AP484" t="s">
        <v>9795</v>
      </c>
      <c r="AQ484" t="s">
        <v>74</v>
      </c>
      <c r="AR484" t="s">
        <v>4680</v>
      </c>
      <c r="AS484" t="s">
        <v>4681</v>
      </c>
      <c r="AT484" t="s">
        <v>7663</v>
      </c>
      <c r="AU484">
        <v>2020</v>
      </c>
      <c r="AV484">
        <v>185</v>
      </c>
      <c r="AW484" t="s">
        <v>74</v>
      </c>
      <c r="AX484" t="s">
        <v>74</v>
      </c>
      <c r="AY484" t="s">
        <v>74</v>
      </c>
      <c r="AZ484" t="s">
        <v>74</v>
      </c>
      <c r="BA484" t="s">
        <v>74</v>
      </c>
      <c r="BB484" t="s">
        <v>74</v>
      </c>
      <c r="BC484" t="s">
        <v>74</v>
      </c>
      <c r="BD484">
        <v>102339</v>
      </c>
      <c r="BE484" t="s">
        <v>9796</v>
      </c>
      <c r="BF484" t="str">
        <f>HYPERLINK("http://dx.doi.org/10.1016/j.pocean.2020.102339","http://dx.doi.org/10.1016/j.pocean.2020.102339")</f>
        <v>http://dx.doi.org/10.1016/j.pocean.2020.102339</v>
      </c>
      <c r="BG484" t="s">
        <v>74</v>
      </c>
      <c r="BH484" t="s">
        <v>74</v>
      </c>
      <c r="BI484">
        <v>10</v>
      </c>
      <c r="BJ484" t="s">
        <v>213</v>
      </c>
      <c r="BK484" t="s">
        <v>102</v>
      </c>
      <c r="BL484" t="s">
        <v>213</v>
      </c>
      <c r="BM484" t="s">
        <v>9797</v>
      </c>
      <c r="BN484" t="s">
        <v>74</v>
      </c>
      <c r="BO484" t="s">
        <v>976</v>
      </c>
      <c r="BP484" t="s">
        <v>74</v>
      </c>
      <c r="BQ484" t="s">
        <v>74</v>
      </c>
      <c r="BR484" t="s">
        <v>106</v>
      </c>
      <c r="BS484" t="s">
        <v>9798</v>
      </c>
      <c r="BT484" t="str">
        <f>HYPERLINK("https%3A%2F%2Fwww.webofscience.com%2Fwos%2Fwoscc%2Ffull-record%2FWOS:000538104400004","View Full Record in Web of Science")</f>
        <v>View Full Record in Web of Science</v>
      </c>
    </row>
    <row r="485" spans="1:72" x14ac:dyDescent="0.15">
      <c r="A485" t="s">
        <v>72</v>
      </c>
      <c r="B485" t="s">
        <v>9799</v>
      </c>
      <c r="C485" t="s">
        <v>74</v>
      </c>
      <c r="D485" t="s">
        <v>74</v>
      </c>
      <c r="E485" t="s">
        <v>74</v>
      </c>
      <c r="F485" t="s">
        <v>9800</v>
      </c>
      <c r="G485" t="s">
        <v>74</v>
      </c>
      <c r="H485" t="s">
        <v>74</v>
      </c>
      <c r="I485" t="s">
        <v>9801</v>
      </c>
      <c r="J485" t="s">
        <v>4674</v>
      </c>
      <c r="K485" t="s">
        <v>74</v>
      </c>
      <c r="L485" t="s">
        <v>74</v>
      </c>
      <c r="M485" t="s">
        <v>78</v>
      </c>
      <c r="N485" t="s">
        <v>79</v>
      </c>
      <c r="O485" t="s">
        <v>74</v>
      </c>
      <c r="P485" t="s">
        <v>74</v>
      </c>
      <c r="Q485" t="s">
        <v>74</v>
      </c>
      <c r="R485" t="s">
        <v>74</v>
      </c>
      <c r="S485" t="s">
        <v>74</v>
      </c>
      <c r="T485" t="s">
        <v>74</v>
      </c>
      <c r="U485" t="s">
        <v>9802</v>
      </c>
      <c r="V485" t="s">
        <v>9803</v>
      </c>
      <c r="W485" t="s">
        <v>9804</v>
      </c>
      <c r="X485" t="s">
        <v>9805</v>
      </c>
      <c r="Y485" t="s">
        <v>9806</v>
      </c>
      <c r="Z485" t="s">
        <v>9807</v>
      </c>
      <c r="AA485" t="s">
        <v>9808</v>
      </c>
      <c r="AB485" t="s">
        <v>9809</v>
      </c>
      <c r="AC485" t="s">
        <v>9810</v>
      </c>
      <c r="AD485" t="s">
        <v>9811</v>
      </c>
      <c r="AE485" t="s">
        <v>9812</v>
      </c>
      <c r="AF485" t="s">
        <v>74</v>
      </c>
      <c r="AG485">
        <v>88</v>
      </c>
      <c r="AH485">
        <v>8</v>
      </c>
      <c r="AI485">
        <v>8</v>
      </c>
      <c r="AJ485">
        <v>0</v>
      </c>
      <c r="AK485">
        <v>22</v>
      </c>
      <c r="AL485" t="s">
        <v>92</v>
      </c>
      <c r="AM485" t="s">
        <v>93</v>
      </c>
      <c r="AN485" t="s">
        <v>94</v>
      </c>
      <c r="AO485" t="s">
        <v>4679</v>
      </c>
      <c r="AP485" t="s">
        <v>74</v>
      </c>
      <c r="AQ485" t="s">
        <v>74</v>
      </c>
      <c r="AR485" t="s">
        <v>4680</v>
      </c>
      <c r="AS485" t="s">
        <v>4681</v>
      </c>
      <c r="AT485" t="s">
        <v>7663</v>
      </c>
      <c r="AU485">
        <v>2020</v>
      </c>
      <c r="AV485">
        <v>185</v>
      </c>
      <c r="AW485" t="s">
        <v>74</v>
      </c>
      <c r="AX485" t="s">
        <v>74</v>
      </c>
      <c r="AY485" t="s">
        <v>74</v>
      </c>
      <c r="AZ485" t="s">
        <v>74</v>
      </c>
      <c r="BA485" t="s">
        <v>74</v>
      </c>
      <c r="BB485" t="s">
        <v>74</v>
      </c>
      <c r="BC485" t="s">
        <v>74</v>
      </c>
      <c r="BD485">
        <v>102347</v>
      </c>
      <c r="BE485" t="s">
        <v>9813</v>
      </c>
      <c r="BF485" t="str">
        <f>HYPERLINK("http://dx.doi.org/10.1016/j.pocean.2020.102347","http://dx.doi.org/10.1016/j.pocean.2020.102347")</f>
        <v>http://dx.doi.org/10.1016/j.pocean.2020.102347</v>
      </c>
      <c r="BG485" t="s">
        <v>74</v>
      </c>
      <c r="BH485" t="s">
        <v>74</v>
      </c>
      <c r="BI485">
        <v>13</v>
      </c>
      <c r="BJ485" t="s">
        <v>213</v>
      </c>
      <c r="BK485" t="s">
        <v>102</v>
      </c>
      <c r="BL485" t="s">
        <v>213</v>
      </c>
      <c r="BM485" t="s">
        <v>9797</v>
      </c>
      <c r="BN485" t="s">
        <v>74</v>
      </c>
      <c r="BO485" t="s">
        <v>74</v>
      </c>
      <c r="BP485" t="s">
        <v>74</v>
      </c>
      <c r="BQ485" t="s">
        <v>74</v>
      </c>
      <c r="BR485" t="s">
        <v>106</v>
      </c>
      <c r="BS485" t="s">
        <v>9814</v>
      </c>
      <c r="BT485" t="str">
        <f>HYPERLINK("https%3A%2F%2Fwww.webofscience.com%2Fwos%2Fwoscc%2Ffull-record%2FWOS:000538104400008","View Full Record in Web of Science")</f>
        <v>View Full Record in Web of Science</v>
      </c>
    </row>
    <row r="486" spans="1:72" x14ac:dyDescent="0.15">
      <c r="A486" t="s">
        <v>72</v>
      </c>
      <c r="B486" t="s">
        <v>9815</v>
      </c>
      <c r="C486" t="s">
        <v>74</v>
      </c>
      <c r="D486" t="s">
        <v>74</v>
      </c>
      <c r="E486" t="s">
        <v>74</v>
      </c>
      <c r="F486" t="s">
        <v>9816</v>
      </c>
      <c r="G486" t="s">
        <v>74</v>
      </c>
      <c r="H486" t="s">
        <v>74</v>
      </c>
      <c r="I486" t="s">
        <v>9817</v>
      </c>
      <c r="J486" t="s">
        <v>5023</v>
      </c>
      <c r="K486" t="s">
        <v>74</v>
      </c>
      <c r="L486" t="s">
        <v>74</v>
      </c>
      <c r="M486" t="s">
        <v>78</v>
      </c>
      <c r="N486" t="s">
        <v>79</v>
      </c>
      <c r="O486" t="s">
        <v>74</v>
      </c>
      <c r="P486" t="s">
        <v>74</v>
      </c>
      <c r="Q486" t="s">
        <v>74</v>
      </c>
      <c r="R486" t="s">
        <v>74</v>
      </c>
      <c r="S486" t="s">
        <v>74</v>
      </c>
      <c r="T486" t="s">
        <v>74</v>
      </c>
      <c r="U486" t="s">
        <v>9818</v>
      </c>
      <c r="V486" t="s">
        <v>9819</v>
      </c>
      <c r="W486" t="s">
        <v>9820</v>
      </c>
      <c r="X486" t="s">
        <v>9821</v>
      </c>
      <c r="Y486" t="s">
        <v>9822</v>
      </c>
      <c r="Z486" t="s">
        <v>9823</v>
      </c>
      <c r="AA486" t="s">
        <v>74</v>
      </c>
      <c r="AB486" t="s">
        <v>9824</v>
      </c>
      <c r="AC486" t="s">
        <v>9825</v>
      </c>
      <c r="AD486" t="s">
        <v>9826</v>
      </c>
      <c r="AE486" t="s">
        <v>9827</v>
      </c>
      <c r="AF486" t="s">
        <v>74</v>
      </c>
      <c r="AG486">
        <v>97</v>
      </c>
      <c r="AH486">
        <v>11</v>
      </c>
      <c r="AI486">
        <v>11</v>
      </c>
      <c r="AJ486">
        <v>0</v>
      </c>
      <c r="AK486">
        <v>9</v>
      </c>
      <c r="AL486" t="s">
        <v>178</v>
      </c>
      <c r="AM486" t="s">
        <v>179</v>
      </c>
      <c r="AN486" t="s">
        <v>180</v>
      </c>
      <c r="AO486" t="s">
        <v>5035</v>
      </c>
      <c r="AP486" t="s">
        <v>5036</v>
      </c>
      <c r="AQ486" t="s">
        <v>74</v>
      </c>
      <c r="AR486" t="s">
        <v>5037</v>
      </c>
      <c r="AS486" t="s">
        <v>5038</v>
      </c>
      <c r="AT486" t="s">
        <v>7663</v>
      </c>
      <c r="AU486">
        <v>2020</v>
      </c>
      <c r="AV486">
        <v>33</v>
      </c>
      <c r="AW486">
        <v>12</v>
      </c>
      <c r="AX486" t="s">
        <v>74</v>
      </c>
      <c r="AY486" t="s">
        <v>74</v>
      </c>
      <c r="AZ486" t="s">
        <v>74</v>
      </c>
      <c r="BA486" t="s">
        <v>74</v>
      </c>
      <c r="BB486">
        <v>4941</v>
      </c>
      <c r="BC486">
        <v>4973</v>
      </c>
      <c r="BD486" t="s">
        <v>74</v>
      </c>
      <c r="BE486" t="s">
        <v>9828</v>
      </c>
      <c r="BF486" t="str">
        <f>HYPERLINK("http://dx.doi.org/10.1175/JCLI-D-19-0659.1","http://dx.doi.org/10.1175/JCLI-D-19-0659.1")</f>
        <v>http://dx.doi.org/10.1175/JCLI-D-19-0659.1</v>
      </c>
      <c r="BG486" t="s">
        <v>74</v>
      </c>
      <c r="BH486" t="s">
        <v>74</v>
      </c>
      <c r="BI486">
        <v>33</v>
      </c>
      <c r="BJ486" t="s">
        <v>159</v>
      </c>
      <c r="BK486" t="s">
        <v>102</v>
      </c>
      <c r="BL486" t="s">
        <v>159</v>
      </c>
      <c r="BM486" t="s">
        <v>9829</v>
      </c>
      <c r="BN486" t="s">
        <v>74</v>
      </c>
      <c r="BO486" t="s">
        <v>9194</v>
      </c>
      <c r="BP486" t="s">
        <v>74</v>
      </c>
      <c r="BQ486" t="s">
        <v>74</v>
      </c>
      <c r="BR486" t="s">
        <v>106</v>
      </c>
      <c r="BS486" t="s">
        <v>9830</v>
      </c>
      <c r="BT486" t="str">
        <f>HYPERLINK("https%3A%2F%2Fwww.webofscience.com%2Fwos%2Fwoscc%2Ffull-record%2FWOS:000537891600001","View Full Record in Web of Science")</f>
        <v>View Full Record in Web of Science</v>
      </c>
    </row>
    <row r="487" spans="1:72" x14ac:dyDescent="0.15">
      <c r="A487" t="s">
        <v>72</v>
      </c>
      <c r="B487" t="s">
        <v>9831</v>
      </c>
      <c r="C487" t="s">
        <v>74</v>
      </c>
      <c r="D487" t="s">
        <v>74</v>
      </c>
      <c r="E487" t="s">
        <v>74</v>
      </c>
      <c r="F487" t="s">
        <v>9832</v>
      </c>
      <c r="G487" t="s">
        <v>74</v>
      </c>
      <c r="H487" t="s">
        <v>74</v>
      </c>
      <c r="I487" t="s">
        <v>9833</v>
      </c>
      <c r="J487" t="s">
        <v>5023</v>
      </c>
      <c r="K487" t="s">
        <v>74</v>
      </c>
      <c r="L487" t="s">
        <v>74</v>
      </c>
      <c r="M487" t="s">
        <v>78</v>
      </c>
      <c r="N487" t="s">
        <v>79</v>
      </c>
      <c r="O487" t="s">
        <v>74</v>
      </c>
      <c r="P487" t="s">
        <v>74</v>
      </c>
      <c r="Q487" t="s">
        <v>74</v>
      </c>
      <c r="R487" t="s">
        <v>74</v>
      </c>
      <c r="S487" t="s">
        <v>74</v>
      </c>
      <c r="T487" t="s">
        <v>9834</v>
      </c>
      <c r="U487" t="s">
        <v>9835</v>
      </c>
      <c r="V487" t="s">
        <v>9836</v>
      </c>
      <c r="W487" t="s">
        <v>9837</v>
      </c>
      <c r="X487" t="s">
        <v>9838</v>
      </c>
      <c r="Y487" t="s">
        <v>9839</v>
      </c>
      <c r="Z487" t="s">
        <v>9840</v>
      </c>
      <c r="AA487" t="s">
        <v>9841</v>
      </c>
      <c r="AB487" t="s">
        <v>9842</v>
      </c>
      <c r="AC487" t="s">
        <v>9843</v>
      </c>
      <c r="AD487" t="s">
        <v>9844</v>
      </c>
      <c r="AE487" t="s">
        <v>9845</v>
      </c>
      <c r="AF487" t="s">
        <v>74</v>
      </c>
      <c r="AG487">
        <v>48</v>
      </c>
      <c r="AH487">
        <v>29</v>
      </c>
      <c r="AI487">
        <v>30</v>
      </c>
      <c r="AJ487">
        <v>8</v>
      </c>
      <c r="AK487">
        <v>40</v>
      </c>
      <c r="AL487" t="s">
        <v>178</v>
      </c>
      <c r="AM487" t="s">
        <v>179</v>
      </c>
      <c r="AN487" t="s">
        <v>180</v>
      </c>
      <c r="AO487" t="s">
        <v>5035</v>
      </c>
      <c r="AP487" t="s">
        <v>5036</v>
      </c>
      <c r="AQ487" t="s">
        <v>74</v>
      </c>
      <c r="AR487" t="s">
        <v>5037</v>
      </c>
      <c r="AS487" t="s">
        <v>5038</v>
      </c>
      <c r="AT487" t="s">
        <v>7663</v>
      </c>
      <c r="AU487">
        <v>2020</v>
      </c>
      <c r="AV487">
        <v>33</v>
      </c>
      <c r="AW487">
        <v>12</v>
      </c>
      <c r="AX487" t="s">
        <v>74</v>
      </c>
      <c r="AY487" t="s">
        <v>74</v>
      </c>
      <c r="AZ487" t="s">
        <v>74</v>
      </c>
      <c r="BA487" t="s">
        <v>74</v>
      </c>
      <c r="BB487">
        <v>5337</v>
      </c>
      <c r="BC487">
        <v>5354</v>
      </c>
      <c r="BD487" t="s">
        <v>74</v>
      </c>
      <c r="BE487" t="s">
        <v>9846</v>
      </c>
      <c r="BF487" t="str">
        <f>HYPERLINK("http://dx.doi.org/10.1175/JCLI-D-19-0641.1","http://dx.doi.org/10.1175/JCLI-D-19-0641.1")</f>
        <v>http://dx.doi.org/10.1175/JCLI-D-19-0641.1</v>
      </c>
      <c r="BG487" t="s">
        <v>74</v>
      </c>
      <c r="BH487" t="s">
        <v>74</v>
      </c>
      <c r="BI487">
        <v>18</v>
      </c>
      <c r="BJ487" t="s">
        <v>159</v>
      </c>
      <c r="BK487" t="s">
        <v>102</v>
      </c>
      <c r="BL487" t="s">
        <v>159</v>
      </c>
      <c r="BM487" t="s">
        <v>9829</v>
      </c>
      <c r="BN487" t="s">
        <v>74</v>
      </c>
      <c r="BO487" t="s">
        <v>5178</v>
      </c>
      <c r="BP487" t="s">
        <v>74</v>
      </c>
      <c r="BQ487" t="s">
        <v>74</v>
      </c>
      <c r="BR487" t="s">
        <v>106</v>
      </c>
      <c r="BS487" t="s">
        <v>9847</v>
      </c>
      <c r="BT487" t="str">
        <f>HYPERLINK("https%3A%2F%2Fwww.webofscience.com%2Fwos%2Fwoscc%2Ffull-record%2FWOS:000537891600022","View Full Record in Web of Science")</f>
        <v>View Full Record in Web of Science</v>
      </c>
    </row>
    <row r="488" spans="1:72" x14ac:dyDescent="0.15">
      <c r="A488" t="s">
        <v>72</v>
      </c>
      <c r="B488" t="s">
        <v>9848</v>
      </c>
      <c r="C488" t="s">
        <v>74</v>
      </c>
      <c r="D488" t="s">
        <v>74</v>
      </c>
      <c r="E488" t="s">
        <v>74</v>
      </c>
      <c r="F488" t="s">
        <v>9849</v>
      </c>
      <c r="G488" t="s">
        <v>74</v>
      </c>
      <c r="H488" t="s">
        <v>74</v>
      </c>
      <c r="I488" t="s">
        <v>9850</v>
      </c>
      <c r="J488" t="s">
        <v>9851</v>
      </c>
      <c r="K488" t="s">
        <v>74</v>
      </c>
      <c r="L488" t="s">
        <v>74</v>
      </c>
      <c r="M488" t="s">
        <v>78</v>
      </c>
      <c r="N488" t="s">
        <v>79</v>
      </c>
      <c r="O488" t="s">
        <v>74</v>
      </c>
      <c r="P488" t="s">
        <v>74</v>
      </c>
      <c r="Q488" t="s">
        <v>74</v>
      </c>
      <c r="R488" t="s">
        <v>74</v>
      </c>
      <c r="S488" t="s">
        <v>74</v>
      </c>
      <c r="T488" t="s">
        <v>74</v>
      </c>
      <c r="U488" t="s">
        <v>9852</v>
      </c>
      <c r="V488" t="s">
        <v>9853</v>
      </c>
      <c r="W488" t="s">
        <v>9854</v>
      </c>
      <c r="X488" t="s">
        <v>9855</v>
      </c>
      <c r="Y488" t="s">
        <v>9856</v>
      </c>
      <c r="Z488" t="s">
        <v>9857</v>
      </c>
      <c r="AA488" t="s">
        <v>74</v>
      </c>
      <c r="AB488" t="s">
        <v>74</v>
      </c>
      <c r="AC488" t="s">
        <v>9858</v>
      </c>
      <c r="AD488" t="s">
        <v>9859</v>
      </c>
      <c r="AE488" t="s">
        <v>9860</v>
      </c>
      <c r="AF488" t="s">
        <v>74</v>
      </c>
      <c r="AG488">
        <v>39</v>
      </c>
      <c r="AH488">
        <v>2</v>
      </c>
      <c r="AI488">
        <v>2</v>
      </c>
      <c r="AJ488">
        <v>0</v>
      </c>
      <c r="AK488">
        <v>0</v>
      </c>
      <c r="AL488" t="s">
        <v>9861</v>
      </c>
      <c r="AM488" t="s">
        <v>9862</v>
      </c>
      <c r="AN488" t="s">
        <v>9863</v>
      </c>
      <c r="AO488" t="s">
        <v>9864</v>
      </c>
      <c r="AP488" t="s">
        <v>9865</v>
      </c>
      <c r="AQ488" t="s">
        <v>74</v>
      </c>
      <c r="AR488" t="s">
        <v>9866</v>
      </c>
      <c r="AS488" t="s">
        <v>9867</v>
      </c>
      <c r="AT488" t="s">
        <v>7663</v>
      </c>
      <c r="AU488">
        <v>2020</v>
      </c>
      <c r="AV488">
        <v>110</v>
      </c>
      <c r="AW488">
        <v>3</v>
      </c>
      <c r="AX488" t="s">
        <v>74</v>
      </c>
      <c r="AY488" t="s">
        <v>74</v>
      </c>
      <c r="AZ488" t="s">
        <v>74</v>
      </c>
      <c r="BA488" t="s">
        <v>74</v>
      </c>
      <c r="BB488">
        <v>1090</v>
      </c>
      <c r="BC488">
        <v>1100</v>
      </c>
      <c r="BD488" t="s">
        <v>74</v>
      </c>
      <c r="BE488" t="s">
        <v>9868</v>
      </c>
      <c r="BF488" t="str">
        <f>HYPERLINK("http://dx.doi.org/10.1785/0120190249","http://dx.doi.org/10.1785/0120190249")</f>
        <v>http://dx.doi.org/10.1785/0120190249</v>
      </c>
      <c r="BG488" t="s">
        <v>74</v>
      </c>
      <c r="BH488" t="s">
        <v>74</v>
      </c>
      <c r="BI488">
        <v>11</v>
      </c>
      <c r="BJ488" t="s">
        <v>131</v>
      </c>
      <c r="BK488" t="s">
        <v>102</v>
      </c>
      <c r="BL488" t="s">
        <v>131</v>
      </c>
      <c r="BM488" t="s">
        <v>9869</v>
      </c>
      <c r="BN488" t="s">
        <v>74</v>
      </c>
      <c r="BO488" t="s">
        <v>74</v>
      </c>
      <c r="BP488" t="s">
        <v>74</v>
      </c>
      <c r="BQ488" t="s">
        <v>74</v>
      </c>
      <c r="BR488" t="s">
        <v>106</v>
      </c>
      <c r="BS488" t="s">
        <v>9870</v>
      </c>
      <c r="BT488" t="str">
        <f>HYPERLINK("https%3A%2F%2Fwww.webofscience.com%2Fwos%2Fwoscc%2Ffull-record%2FWOS:000537397700009","View Full Record in Web of Science")</f>
        <v>View Full Record in Web of Science</v>
      </c>
    </row>
    <row r="489" spans="1:72" x14ac:dyDescent="0.15">
      <c r="A489" t="s">
        <v>72</v>
      </c>
      <c r="B489" t="s">
        <v>9871</v>
      </c>
      <c r="C489" t="s">
        <v>74</v>
      </c>
      <c r="D489" t="s">
        <v>74</v>
      </c>
      <c r="E489" t="s">
        <v>74</v>
      </c>
      <c r="F489" t="s">
        <v>9872</v>
      </c>
      <c r="G489" t="s">
        <v>74</v>
      </c>
      <c r="H489" t="s">
        <v>74</v>
      </c>
      <c r="I489" t="s">
        <v>9873</v>
      </c>
      <c r="J489" t="s">
        <v>1911</v>
      </c>
      <c r="K489" t="s">
        <v>74</v>
      </c>
      <c r="L489" t="s">
        <v>74</v>
      </c>
      <c r="M489" t="s">
        <v>78</v>
      </c>
      <c r="N489" t="s">
        <v>245</v>
      </c>
      <c r="O489" t="s">
        <v>74</v>
      </c>
      <c r="P489" t="s">
        <v>74</v>
      </c>
      <c r="Q489" t="s">
        <v>74</v>
      </c>
      <c r="R489" t="s">
        <v>74</v>
      </c>
      <c r="S489" t="s">
        <v>74</v>
      </c>
      <c r="T489" t="s">
        <v>9874</v>
      </c>
      <c r="U489" t="s">
        <v>9875</v>
      </c>
      <c r="V489" t="s">
        <v>9876</v>
      </c>
      <c r="W489" t="s">
        <v>9877</v>
      </c>
      <c r="X489" t="s">
        <v>9878</v>
      </c>
      <c r="Y489" t="s">
        <v>9879</v>
      </c>
      <c r="Z489" t="s">
        <v>9880</v>
      </c>
      <c r="AA489" t="s">
        <v>9881</v>
      </c>
      <c r="AB489" t="s">
        <v>9882</v>
      </c>
      <c r="AC489" t="s">
        <v>9883</v>
      </c>
      <c r="AD489" t="s">
        <v>9884</v>
      </c>
      <c r="AE489" t="s">
        <v>9885</v>
      </c>
      <c r="AF489" t="s">
        <v>74</v>
      </c>
      <c r="AG489">
        <v>294</v>
      </c>
      <c r="AH489">
        <v>65</v>
      </c>
      <c r="AI489">
        <v>66</v>
      </c>
      <c r="AJ489">
        <v>17</v>
      </c>
      <c r="AK489">
        <v>61</v>
      </c>
      <c r="AL489" t="s">
        <v>1924</v>
      </c>
      <c r="AM489" t="s">
        <v>1925</v>
      </c>
      <c r="AN489" t="s">
        <v>1926</v>
      </c>
      <c r="AO489" t="s">
        <v>1927</v>
      </c>
      <c r="AP489" t="s">
        <v>1928</v>
      </c>
      <c r="AQ489" t="s">
        <v>74</v>
      </c>
      <c r="AR489" t="s">
        <v>1911</v>
      </c>
      <c r="AS489" t="s">
        <v>1929</v>
      </c>
      <c r="AT489" t="s">
        <v>3950</v>
      </c>
      <c r="AU489">
        <v>2020</v>
      </c>
      <c r="AV489">
        <v>24</v>
      </c>
      <c r="AW489">
        <v>4</v>
      </c>
      <c r="AX489" t="s">
        <v>74</v>
      </c>
      <c r="AY489" t="s">
        <v>74</v>
      </c>
      <c r="AZ489" t="s">
        <v>74</v>
      </c>
      <c r="BA489" t="s">
        <v>74</v>
      </c>
      <c r="BB489">
        <v>447</v>
      </c>
      <c r="BC489">
        <v>473</v>
      </c>
      <c r="BD489" t="s">
        <v>74</v>
      </c>
      <c r="BE489" t="s">
        <v>9886</v>
      </c>
      <c r="BF489" t="str">
        <f>HYPERLINK("http://dx.doi.org/10.1007/s00792-020-01180-2","http://dx.doi.org/10.1007/s00792-020-01180-2")</f>
        <v>http://dx.doi.org/10.1007/s00792-020-01180-2</v>
      </c>
      <c r="BG489" t="s">
        <v>74</v>
      </c>
      <c r="BH489" t="s">
        <v>5750</v>
      </c>
      <c r="BI489">
        <v>27</v>
      </c>
      <c r="BJ489" t="s">
        <v>1932</v>
      </c>
      <c r="BK489" t="s">
        <v>102</v>
      </c>
      <c r="BL489" t="s">
        <v>1932</v>
      </c>
      <c r="BM489" t="s">
        <v>7248</v>
      </c>
      <c r="BN489">
        <v>32488508</v>
      </c>
      <c r="BO489" t="s">
        <v>3733</v>
      </c>
      <c r="BP489" t="s">
        <v>74</v>
      </c>
      <c r="BQ489" t="s">
        <v>74</v>
      </c>
      <c r="BR489" t="s">
        <v>106</v>
      </c>
      <c r="BS489" t="s">
        <v>9887</v>
      </c>
      <c r="BT489" t="str">
        <f>HYPERLINK("https%3A%2F%2Fwww.webofscience.com%2Fwos%2Fwoscc%2Ffull-record%2FWOS:000537345700001","View Full Record in Web of Science")</f>
        <v>View Full Record in Web of Science</v>
      </c>
    </row>
    <row r="490" spans="1:72" x14ac:dyDescent="0.15">
      <c r="A490" t="s">
        <v>72</v>
      </c>
      <c r="B490" t="s">
        <v>9888</v>
      </c>
      <c r="C490" t="s">
        <v>74</v>
      </c>
      <c r="D490" t="s">
        <v>74</v>
      </c>
      <c r="E490" t="s">
        <v>74</v>
      </c>
      <c r="F490" t="s">
        <v>9889</v>
      </c>
      <c r="G490" t="s">
        <v>74</v>
      </c>
      <c r="H490" t="s">
        <v>74</v>
      </c>
      <c r="I490" t="s">
        <v>9890</v>
      </c>
      <c r="J490" t="s">
        <v>1783</v>
      </c>
      <c r="K490" t="s">
        <v>74</v>
      </c>
      <c r="L490" t="s">
        <v>74</v>
      </c>
      <c r="M490" t="s">
        <v>78</v>
      </c>
      <c r="N490" t="s">
        <v>79</v>
      </c>
      <c r="O490" t="s">
        <v>74</v>
      </c>
      <c r="P490" t="s">
        <v>74</v>
      </c>
      <c r="Q490" t="s">
        <v>74</v>
      </c>
      <c r="R490" t="s">
        <v>74</v>
      </c>
      <c r="S490" t="s">
        <v>74</v>
      </c>
      <c r="T490" t="s">
        <v>9891</v>
      </c>
      <c r="U490" t="s">
        <v>9892</v>
      </c>
      <c r="V490" t="s">
        <v>9893</v>
      </c>
      <c r="W490" t="s">
        <v>9894</v>
      </c>
      <c r="X490" t="s">
        <v>9895</v>
      </c>
      <c r="Y490" t="s">
        <v>9896</v>
      </c>
      <c r="Z490" t="s">
        <v>9897</v>
      </c>
      <c r="AA490" t="s">
        <v>9898</v>
      </c>
      <c r="AB490" t="s">
        <v>9899</v>
      </c>
      <c r="AC490" t="s">
        <v>9900</v>
      </c>
      <c r="AD490" t="s">
        <v>9901</v>
      </c>
      <c r="AE490" t="s">
        <v>9902</v>
      </c>
      <c r="AF490" t="s">
        <v>74</v>
      </c>
      <c r="AG490">
        <v>41</v>
      </c>
      <c r="AH490">
        <v>7</v>
      </c>
      <c r="AI490">
        <v>7</v>
      </c>
      <c r="AJ490">
        <v>3</v>
      </c>
      <c r="AK490">
        <v>13</v>
      </c>
      <c r="AL490" t="s">
        <v>1440</v>
      </c>
      <c r="AM490" t="s">
        <v>399</v>
      </c>
      <c r="AN490" t="s">
        <v>1441</v>
      </c>
      <c r="AO490" t="s">
        <v>1796</v>
      </c>
      <c r="AP490" t="s">
        <v>1797</v>
      </c>
      <c r="AQ490" t="s">
        <v>74</v>
      </c>
      <c r="AR490" t="s">
        <v>1798</v>
      </c>
      <c r="AS490" t="s">
        <v>1799</v>
      </c>
      <c r="AT490" t="s">
        <v>3950</v>
      </c>
      <c r="AU490">
        <v>2020</v>
      </c>
      <c r="AV490">
        <v>43</v>
      </c>
      <c r="AW490">
        <v>7</v>
      </c>
      <c r="AX490" t="s">
        <v>74</v>
      </c>
      <c r="AY490" t="s">
        <v>74</v>
      </c>
      <c r="AZ490" t="s">
        <v>74</v>
      </c>
      <c r="BA490" t="s">
        <v>74</v>
      </c>
      <c r="BB490">
        <v>801</v>
      </c>
      <c r="BC490">
        <v>811</v>
      </c>
      <c r="BD490" t="s">
        <v>74</v>
      </c>
      <c r="BE490" t="s">
        <v>9903</v>
      </c>
      <c r="BF490" t="str">
        <f>HYPERLINK("http://dx.doi.org/10.1007/s00300-020-02686-3","http://dx.doi.org/10.1007/s00300-020-02686-3")</f>
        <v>http://dx.doi.org/10.1007/s00300-020-02686-3</v>
      </c>
      <c r="BG490" t="s">
        <v>74</v>
      </c>
      <c r="BH490" t="s">
        <v>5750</v>
      </c>
      <c r="BI490">
        <v>11</v>
      </c>
      <c r="BJ490" t="s">
        <v>1004</v>
      </c>
      <c r="BK490" t="s">
        <v>102</v>
      </c>
      <c r="BL490" t="s">
        <v>1005</v>
      </c>
      <c r="BM490" t="s">
        <v>6677</v>
      </c>
      <c r="BN490" t="s">
        <v>74</v>
      </c>
      <c r="BO490" t="s">
        <v>74</v>
      </c>
      <c r="BP490" t="s">
        <v>74</v>
      </c>
      <c r="BQ490" t="s">
        <v>74</v>
      </c>
      <c r="BR490" t="s">
        <v>106</v>
      </c>
      <c r="BS490" t="s">
        <v>9904</v>
      </c>
      <c r="BT490" t="str">
        <f>HYPERLINK("https%3A%2F%2Fwww.webofscience.com%2Fwos%2Fwoscc%2Ffull-record%2FWOS:000537340100001","View Full Record in Web of Science")</f>
        <v>View Full Record in Web of Science</v>
      </c>
    </row>
    <row r="491" spans="1:72" x14ac:dyDescent="0.15">
      <c r="A491" t="s">
        <v>72</v>
      </c>
      <c r="B491" t="s">
        <v>9905</v>
      </c>
      <c r="C491" t="s">
        <v>74</v>
      </c>
      <c r="D491" t="s">
        <v>74</v>
      </c>
      <c r="E491" t="s">
        <v>74</v>
      </c>
      <c r="F491" t="s">
        <v>9906</v>
      </c>
      <c r="G491" t="s">
        <v>74</v>
      </c>
      <c r="H491" t="s">
        <v>74</v>
      </c>
      <c r="I491" t="s">
        <v>9907</v>
      </c>
      <c r="J491" t="s">
        <v>5774</v>
      </c>
      <c r="K491" t="s">
        <v>74</v>
      </c>
      <c r="L491" t="s">
        <v>74</v>
      </c>
      <c r="M491" t="s">
        <v>78</v>
      </c>
      <c r="N491" t="s">
        <v>79</v>
      </c>
      <c r="O491" t="s">
        <v>74</v>
      </c>
      <c r="P491" t="s">
        <v>74</v>
      </c>
      <c r="Q491" t="s">
        <v>74</v>
      </c>
      <c r="R491" t="s">
        <v>74</v>
      </c>
      <c r="S491" t="s">
        <v>74</v>
      </c>
      <c r="T491" t="s">
        <v>74</v>
      </c>
      <c r="U491" t="s">
        <v>9908</v>
      </c>
      <c r="V491" t="s">
        <v>9909</v>
      </c>
      <c r="W491" t="s">
        <v>9910</v>
      </c>
      <c r="X491" t="s">
        <v>9911</v>
      </c>
      <c r="Y491" t="s">
        <v>9912</v>
      </c>
      <c r="Z491" t="s">
        <v>9913</v>
      </c>
      <c r="AA491" t="s">
        <v>9914</v>
      </c>
      <c r="AB491" t="s">
        <v>9915</v>
      </c>
      <c r="AC491" t="s">
        <v>9916</v>
      </c>
      <c r="AD491" t="s">
        <v>9917</v>
      </c>
      <c r="AE491" t="s">
        <v>9918</v>
      </c>
      <c r="AF491" t="s">
        <v>74</v>
      </c>
      <c r="AG491">
        <v>33</v>
      </c>
      <c r="AH491">
        <v>18</v>
      </c>
      <c r="AI491">
        <v>19</v>
      </c>
      <c r="AJ491">
        <v>21</v>
      </c>
      <c r="AK491">
        <v>78</v>
      </c>
      <c r="AL491" t="s">
        <v>1118</v>
      </c>
      <c r="AM491" t="s">
        <v>1119</v>
      </c>
      <c r="AN491" t="s">
        <v>1120</v>
      </c>
      <c r="AO491" t="s">
        <v>5782</v>
      </c>
      <c r="AP491" t="s">
        <v>5783</v>
      </c>
      <c r="AQ491" t="s">
        <v>74</v>
      </c>
      <c r="AR491" t="s">
        <v>5784</v>
      </c>
      <c r="AS491" t="s">
        <v>5785</v>
      </c>
      <c r="AT491" t="s">
        <v>7663</v>
      </c>
      <c r="AU491">
        <v>2020</v>
      </c>
      <c r="AV491">
        <v>10</v>
      </c>
      <c r="AW491">
        <v>6</v>
      </c>
      <c r="AX491" t="s">
        <v>74</v>
      </c>
      <c r="AY491" t="s">
        <v>74</v>
      </c>
      <c r="AZ491" t="s">
        <v>74</v>
      </c>
      <c r="BA491" t="s">
        <v>74</v>
      </c>
      <c r="BB491">
        <v>561</v>
      </c>
      <c r="BC491">
        <v>567</v>
      </c>
      <c r="BD491" t="s">
        <v>74</v>
      </c>
      <c r="BE491" t="s">
        <v>9919</v>
      </c>
      <c r="BF491" t="str">
        <f>HYPERLINK("http://dx.doi.org/10.1038/s41558-020-0776-2","http://dx.doi.org/10.1038/s41558-020-0776-2")</f>
        <v>http://dx.doi.org/10.1038/s41558-020-0776-2</v>
      </c>
      <c r="BG491" t="s">
        <v>74</v>
      </c>
      <c r="BH491" t="s">
        <v>5750</v>
      </c>
      <c r="BI491">
        <v>7</v>
      </c>
      <c r="BJ491" t="s">
        <v>5787</v>
      </c>
      <c r="BK491" t="s">
        <v>925</v>
      </c>
      <c r="BL491" t="s">
        <v>2069</v>
      </c>
      <c r="BM491" t="s">
        <v>9920</v>
      </c>
      <c r="BN491" t="s">
        <v>74</v>
      </c>
      <c r="BO491" t="s">
        <v>976</v>
      </c>
      <c r="BP491" t="s">
        <v>74</v>
      </c>
      <c r="BQ491" t="s">
        <v>74</v>
      </c>
      <c r="BR491" t="s">
        <v>106</v>
      </c>
      <c r="BS491" t="s">
        <v>9921</v>
      </c>
      <c r="BT491" t="str">
        <f>HYPERLINK("https%3A%2F%2Fwww.webofscience.com%2Fwos%2Fwoscc%2Ffull-record%2FWOS:000537042800003","View Full Record in Web of Science")</f>
        <v>View Full Record in Web of Science</v>
      </c>
    </row>
    <row r="492" spans="1:72" x14ac:dyDescent="0.15">
      <c r="A492" t="s">
        <v>72</v>
      </c>
      <c r="B492" t="s">
        <v>9922</v>
      </c>
      <c r="C492" t="s">
        <v>74</v>
      </c>
      <c r="D492" t="s">
        <v>74</v>
      </c>
      <c r="E492" t="s">
        <v>74</v>
      </c>
      <c r="F492" t="s">
        <v>9923</v>
      </c>
      <c r="G492" t="s">
        <v>74</v>
      </c>
      <c r="H492" t="s">
        <v>74</v>
      </c>
      <c r="I492" t="s">
        <v>9924</v>
      </c>
      <c r="J492" t="s">
        <v>9925</v>
      </c>
      <c r="K492" t="s">
        <v>74</v>
      </c>
      <c r="L492" t="s">
        <v>74</v>
      </c>
      <c r="M492" t="s">
        <v>78</v>
      </c>
      <c r="N492" t="s">
        <v>79</v>
      </c>
      <c r="O492" t="s">
        <v>74</v>
      </c>
      <c r="P492" t="s">
        <v>74</v>
      </c>
      <c r="Q492" t="s">
        <v>74</v>
      </c>
      <c r="R492" t="s">
        <v>74</v>
      </c>
      <c r="S492" t="s">
        <v>74</v>
      </c>
      <c r="T492" t="s">
        <v>9926</v>
      </c>
      <c r="U492" t="s">
        <v>9927</v>
      </c>
      <c r="V492" t="s">
        <v>9928</v>
      </c>
      <c r="W492" t="s">
        <v>9929</v>
      </c>
      <c r="X492" t="s">
        <v>9930</v>
      </c>
      <c r="Y492" t="s">
        <v>9931</v>
      </c>
      <c r="Z492" t="s">
        <v>7241</v>
      </c>
      <c r="AA492" t="s">
        <v>9932</v>
      </c>
      <c r="AB492" t="s">
        <v>9933</v>
      </c>
      <c r="AC492" t="s">
        <v>9934</v>
      </c>
      <c r="AD492" t="s">
        <v>9935</v>
      </c>
      <c r="AE492" t="s">
        <v>9936</v>
      </c>
      <c r="AF492" t="s">
        <v>74</v>
      </c>
      <c r="AG492">
        <v>72</v>
      </c>
      <c r="AH492">
        <v>32</v>
      </c>
      <c r="AI492">
        <v>34</v>
      </c>
      <c r="AJ492">
        <v>2</v>
      </c>
      <c r="AK492">
        <v>21</v>
      </c>
      <c r="AL492" t="s">
        <v>578</v>
      </c>
      <c r="AM492" t="s">
        <v>93</v>
      </c>
      <c r="AN492" t="s">
        <v>579</v>
      </c>
      <c r="AO492" t="s">
        <v>9937</v>
      </c>
      <c r="AP492" t="s">
        <v>9938</v>
      </c>
      <c r="AQ492" t="s">
        <v>74</v>
      </c>
      <c r="AR492" t="s">
        <v>9939</v>
      </c>
      <c r="AS492" t="s">
        <v>9940</v>
      </c>
      <c r="AT492" t="s">
        <v>7663</v>
      </c>
      <c r="AU492">
        <v>2020</v>
      </c>
      <c r="AV492">
        <v>124</v>
      </c>
      <c r="AW492">
        <v>6</v>
      </c>
      <c r="AX492" t="s">
        <v>74</v>
      </c>
      <c r="AY492" t="s">
        <v>74</v>
      </c>
      <c r="AZ492" t="s">
        <v>74</v>
      </c>
      <c r="BA492" t="s">
        <v>74</v>
      </c>
      <c r="BB492">
        <v>601</v>
      </c>
      <c r="BC492">
        <v>611</v>
      </c>
      <c r="BD492" t="s">
        <v>74</v>
      </c>
      <c r="BE492" t="s">
        <v>9941</v>
      </c>
      <c r="BF492" t="str">
        <f>HYPERLINK("http://dx.doi.org/10.1016/j.funbio.2020.02.015","http://dx.doi.org/10.1016/j.funbio.2020.02.015")</f>
        <v>http://dx.doi.org/10.1016/j.funbio.2020.02.015</v>
      </c>
      <c r="BG492" t="s">
        <v>74</v>
      </c>
      <c r="BH492" t="s">
        <v>74</v>
      </c>
      <c r="BI492">
        <v>11</v>
      </c>
      <c r="BJ492" t="s">
        <v>4772</v>
      </c>
      <c r="BK492" t="s">
        <v>102</v>
      </c>
      <c r="BL492" t="s">
        <v>4772</v>
      </c>
      <c r="BM492" t="s">
        <v>9942</v>
      </c>
      <c r="BN492">
        <v>32448451</v>
      </c>
      <c r="BO492" t="s">
        <v>74</v>
      </c>
      <c r="BP492" t="s">
        <v>74</v>
      </c>
      <c r="BQ492" t="s">
        <v>74</v>
      </c>
      <c r="BR492" t="s">
        <v>106</v>
      </c>
      <c r="BS492" t="s">
        <v>9943</v>
      </c>
      <c r="BT492" t="str">
        <f>HYPERLINK("https%3A%2F%2Fwww.webofscience.com%2Fwos%2Fwoscc%2Ffull-record%2FWOS:000536311800007","View Full Record in Web of Science")</f>
        <v>View Full Record in Web of Science</v>
      </c>
    </row>
    <row r="493" spans="1:72" x14ac:dyDescent="0.15">
      <c r="A493" t="s">
        <v>72</v>
      </c>
      <c r="B493" t="s">
        <v>9944</v>
      </c>
      <c r="C493" t="s">
        <v>74</v>
      </c>
      <c r="D493" t="s">
        <v>74</v>
      </c>
      <c r="E493" t="s">
        <v>74</v>
      </c>
      <c r="F493" t="s">
        <v>9945</v>
      </c>
      <c r="G493" t="s">
        <v>74</v>
      </c>
      <c r="H493" t="s">
        <v>74</v>
      </c>
      <c r="I493" t="s">
        <v>9946</v>
      </c>
      <c r="J493" t="s">
        <v>412</v>
      </c>
      <c r="K493" t="s">
        <v>74</v>
      </c>
      <c r="L493" t="s">
        <v>74</v>
      </c>
      <c r="M493" t="s">
        <v>78</v>
      </c>
      <c r="N493" t="s">
        <v>79</v>
      </c>
      <c r="O493" t="s">
        <v>74</v>
      </c>
      <c r="P493" t="s">
        <v>74</v>
      </c>
      <c r="Q493" t="s">
        <v>74</v>
      </c>
      <c r="R493" t="s">
        <v>74</v>
      </c>
      <c r="S493" t="s">
        <v>74</v>
      </c>
      <c r="T493" t="s">
        <v>9947</v>
      </c>
      <c r="U493" t="s">
        <v>9948</v>
      </c>
      <c r="V493" t="s">
        <v>9949</v>
      </c>
      <c r="W493" t="s">
        <v>9950</v>
      </c>
      <c r="X493" t="s">
        <v>6552</v>
      </c>
      <c r="Y493" t="s">
        <v>9951</v>
      </c>
      <c r="Z493" t="s">
        <v>9952</v>
      </c>
      <c r="AA493" t="s">
        <v>9953</v>
      </c>
      <c r="AB493" t="s">
        <v>9954</v>
      </c>
      <c r="AC493" t="s">
        <v>9955</v>
      </c>
      <c r="AD493" t="s">
        <v>9956</v>
      </c>
      <c r="AE493" t="s">
        <v>9957</v>
      </c>
      <c r="AF493" t="s">
        <v>74</v>
      </c>
      <c r="AG493">
        <v>87</v>
      </c>
      <c r="AH493">
        <v>12</v>
      </c>
      <c r="AI493">
        <v>15</v>
      </c>
      <c r="AJ493">
        <v>2</v>
      </c>
      <c r="AK493">
        <v>30</v>
      </c>
      <c r="AL493" t="s">
        <v>92</v>
      </c>
      <c r="AM493" t="s">
        <v>93</v>
      </c>
      <c r="AN493" t="s">
        <v>94</v>
      </c>
      <c r="AO493" t="s">
        <v>425</v>
      </c>
      <c r="AP493" t="s">
        <v>426</v>
      </c>
      <c r="AQ493" t="s">
        <v>74</v>
      </c>
      <c r="AR493" t="s">
        <v>427</v>
      </c>
      <c r="AS493" t="s">
        <v>428</v>
      </c>
      <c r="AT493" t="s">
        <v>9394</v>
      </c>
      <c r="AU493">
        <v>2020</v>
      </c>
      <c r="AV493">
        <v>278</v>
      </c>
      <c r="AW493" t="s">
        <v>74</v>
      </c>
      <c r="AX493" t="s">
        <v>74</v>
      </c>
      <c r="AY493" t="s">
        <v>74</v>
      </c>
      <c r="AZ493" t="s">
        <v>2622</v>
      </c>
      <c r="BA493" t="s">
        <v>74</v>
      </c>
      <c r="BB493">
        <v>244</v>
      </c>
      <c r="BC493">
        <v>260</v>
      </c>
      <c r="BD493" t="s">
        <v>74</v>
      </c>
      <c r="BE493" t="s">
        <v>9958</v>
      </c>
      <c r="BF493" t="str">
        <f>HYPERLINK("http://dx.doi.org/10.1016/j.gca.2019.07.031","http://dx.doi.org/10.1016/j.gca.2019.07.031")</f>
        <v>http://dx.doi.org/10.1016/j.gca.2019.07.031</v>
      </c>
      <c r="BG493" t="s">
        <v>74</v>
      </c>
      <c r="BH493" t="s">
        <v>74</v>
      </c>
      <c r="BI493">
        <v>17</v>
      </c>
      <c r="BJ493" t="s">
        <v>131</v>
      </c>
      <c r="BK493" t="s">
        <v>102</v>
      </c>
      <c r="BL493" t="s">
        <v>131</v>
      </c>
      <c r="BM493" t="s">
        <v>9959</v>
      </c>
      <c r="BN493" t="s">
        <v>74</v>
      </c>
      <c r="BO493" t="s">
        <v>74</v>
      </c>
      <c r="BP493" t="s">
        <v>74</v>
      </c>
      <c r="BQ493" t="s">
        <v>74</v>
      </c>
      <c r="BR493" t="s">
        <v>106</v>
      </c>
      <c r="BS493" t="s">
        <v>9960</v>
      </c>
      <c r="BT493" t="str">
        <f>HYPERLINK("https%3A%2F%2Fwww.webofscience.com%2Fwos%2Fwoscc%2Ffull-record%2FWOS:000536445700002","View Full Record in Web of Science")</f>
        <v>View Full Record in Web of Science</v>
      </c>
    </row>
    <row r="494" spans="1:72" x14ac:dyDescent="0.15">
      <c r="A494" t="s">
        <v>72</v>
      </c>
      <c r="B494" t="s">
        <v>9961</v>
      </c>
      <c r="C494" t="s">
        <v>74</v>
      </c>
      <c r="D494" t="s">
        <v>74</v>
      </c>
      <c r="E494" t="s">
        <v>74</v>
      </c>
      <c r="F494" t="s">
        <v>9962</v>
      </c>
      <c r="G494" t="s">
        <v>74</v>
      </c>
      <c r="H494" t="s">
        <v>74</v>
      </c>
      <c r="I494" t="s">
        <v>9963</v>
      </c>
      <c r="J494" t="s">
        <v>719</v>
      </c>
      <c r="K494" t="s">
        <v>74</v>
      </c>
      <c r="L494" t="s">
        <v>74</v>
      </c>
      <c r="M494" t="s">
        <v>78</v>
      </c>
      <c r="N494" t="s">
        <v>79</v>
      </c>
      <c r="O494" t="s">
        <v>74</v>
      </c>
      <c r="P494" t="s">
        <v>74</v>
      </c>
      <c r="Q494" t="s">
        <v>74</v>
      </c>
      <c r="R494" t="s">
        <v>74</v>
      </c>
      <c r="S494" t="s">
        <v>74</v>
      </c>
      <c r="T494" t="s">
        <v>9964</v>
      </c>
      <c r="U494" t="s">
        <v>9965</v>
      </c>
      <c r="V494" t="s">
        <v>9966</v>
      </c>
      <c r="W494" t="s">
        <v>9967</v>
      </c>
      <c r="X494" t="s">
        <v>9968</v>
      </c>
      <c r="Y494" t="s">
        <v>9969</v>
      </c>
      <c r="Z494" t="s">
        <v>9970</v>
      </c>
      <c r="AA494" t="s">
        <v>9971</v>
      </c>
      <c r="AB494" t="s">
        <v>9972</v>
      </c>
      <c r="AC494" t="s">
        <v>9973</v>
      </c>
      <c r="AD494" t="s">
        <v>9974</v>
      </c>
      <c r="AE494" t="s">
        <v>9975</v>
      </c>
      <c r="AF494" t="s">
        <v>74</v>
      </c>
      <c r="AG494">
        <v>156</v>
      </c>
      <c r="AH494">
        <v>3</v>
      </c>
      <c r="AI494">
        <v>3</v>
      </c>
      <c r="AJ494">
        <v>0</v>
      </c>
      <c r="AK494">
        <v>3</v>
      </c>
      <c r="AL494" t="s">
        <v>92</v>
      </c>
      <c r="AM494" t="s">
        <v>93</v>
      </c>
      <c r="AN494" t="s">
        <v>94</v>
      </c>
      <c r="AO494" t="s">
        <v>731</v>
      </c>
      <c r="AP494" t="s">
        <v>74</v>
      </c>
      <c r="AQ494" t="s">
        <v>74</v>
      </c>
      <c r="AR494" t="s">
        <v>733</v>
      </c>
      <c r="AS494" t="s">
        <v>734</v>
      </c>
      <c r="AT494" t="s">
        <v>7663</v>
      </c>
      <c r="AU494">
        <v>2020</v>
      </c>
      <c r="AV494">
        <v>100</v>
      </c>
      <c r="AW494" t="s">
        <v>74</v>
      </c>
      <c r="AX494" t="s">
        <v>74</v>
      </c>
      <c r="AY494" t="s">
        <v>74</v>
      </c>
      <c r="AZ494" t="s">
        <v>74</v>
      </c>
      <c r="BA494" t="s">
        <v>74</v>
      </c>
      <c r="BB494" t="s">
        <v>74</v>
      </c>
      <c r="BC494" t="s">
        <v>74</v>
      </c>
      <c r="BD494">
        <v>102564</v>
      </c>
      <c r="BE494" t="s">
        <v>9976</v>
      </c>
      <c r="BF494" t="str">
        <f>HYPERLINK("http://dx.doi.org/10.1016/j.jsames.2020.102564","http://dx.doi.org/10.1016/j.jsames.2020.102564")</f>
        <v>http://dx.doi.org/10.1016/j.jsames.2020.102564</v>
      </c>
      <c r="BG494" t="s">
        <v>74</v>
      </c>
      <c r="BH494" t="s">
        <v>74</v>
      </c>
      <c r="BI494">
        <v>18</v>
      </c>
      <c r="BJ494" t="s">
        <v>471</v>
      </c>
      <c r="BK494" t="s">
        <v>102</v>
      </c>
      <c r="BL494" t="s">
        <v>472</v>
      </c>
      <c r="BM494" t="s">
        <v>9977</v>
      </c>
      <c r="BN494" t="s">
        <v>74</v>
      </c>
      <c r="BO494" t="s">
        <v>74</v>
      </c>
      <c r="BP494" t="s">
        <v>74</v>
      </c>
      <c r="BQ494" t="s">
        <v>74</v>
      </c>
      <c r="BR494" t="s">
        <v>106</v>
      </c>
      <c r="BS494" t="s">
        <v>9978</v>
      </c>
      <c r="BT494" t="str">
        <f>HYPERLINK("https%3A%2F%2Fwww.webofscience.com%2Fwos%2Fwoscc%2Ffull-record%2FWOS:000532794900028","View Full Record in Web of Science")</f>
        <v>View Full Record in Web of Science</v>
      </c>
    </row>
    <row r="495" spans="1:72" x14ac:dyDescent="0.15">
      <c r="A495" t="s">
        <v>72</v>
      </c>
      <c r="B495" t="s">
        <v>9979</v>
      </c>
      <c r="C495" t="s">
        <v>74</v>
      </c>
      <c r="D495" t="s">
        <v>74</v>
      </c>
      <c r="E495" t="s">
        <v>74</v>
      </c>
      <c r="F495" t="s">
        <v>9980</v>
      </c>
      <c r="G495" t="s">
        <v>74</v>
      </c>
      <c r="H495" t="s">
        <v>74</v>
      </c>
      <c r="I495" t="s">
        <v>9981</v>
      </c>
      <c r="J495" t="s">
        <v>219</v>
      </c>
      <c r="K495" t="s">
        <v>74</v>
      </c>
      <c r="L495" t="s">
        <v>74</v>
      </c>
      <c r="M495" t="s">
        <v>78</v>
      </c>
      <c r="N495" t="s">
        <v>79</v>
      </c>
      <c r="O495" t="s">
        <v>74</v>
      </c>
      <c r="P495" t="s">
        <v>74</v>
      </c>
      <c r="Q495" t="s">
        <v>74</v>
      </c>
      <c r="R495" t="s">
        <v>74</v>
      </c>
      <c r="S495" t="s">
        <v>74</v>
      </c>
      <c r="T495" t="s">
        <v>9982</v>
      </c>
      <c r="U495" t="s">
        <v>9983</v>
      </c>
      <c r="V495" t="s">
        <v>9984</v>
      </c>
      <c r="W495" t="s">
        <v>9985</v>
      </c>
      <c r="X495" t="s">
        <v>9986</v>
      </c>
      <c r="Y495" t="s">
        <v>9987</v>
      </c>
      <c r="Z495" t="s">
        <v>9988</v>
      </c>
      <c r="AA495" t="s">
        <v>9989</v>
      </c>
      <c r="AB495" t="s">
        <v>9990</v>
      </c>
      <c r="AC495" t="s">
        <v>9991</v>
      </c>
      <c r="AD495" t="s">
        <v>9991</v>
      </c>
      <c r="AE495" t="s">
        <v>9992</v>
      </c>
      <c r="AF495" t="s">
        <v>74</v>
      </c>
      <c r="AG495">
        <v>99</v>
      </c>
      <c r="AH495">
        <v>16</v>
      </c>
      <c r="AI495">
        <v>17</v>
      </c>
      <c r="AJ495">
        <v>3</v>
      </c>
      <c r="AK495">
        <v>30</v>
      </c>
      <c r="AL495" t="s">
        <v>92</v>
      </c>
      <c r="AM495" t="s">
        <v>93</v>
      </c>
      <c r="AN495" t="s">
        <v>94</v>
      </c>
      <c r="AO495" t="s">
        <v>232</v>
      </c>
      <c r="AP495" t="s">
        <v>233</v>
      </c>
      <c r="AQ495" t="s">
        <v>74</v>
      </c>
      <c r="AR495" t="s">
        <v>234</v>
      </c>
      <c r="AS495" t="s">
        <v>235</v>
      </c>
      <c r="AT495" t="s">
        <v>7663</v>
      </c>
      <c r="AU495">
        <v>2020</v>
      </c>
      <c r="AV495">
        <v>155</v>
      </c>
      <c r="AW495" t="s">
        <v>74</v>
      </c>
      <c r="AX495" t="s">
        <v>74</v>
      </c>
      <c r="AY495" t="s">
        <v>74</v>
      </c>
      <c r="AZ495" t="s">
        <v>74</v>
      </c>
      <c r="BA495" t="s">
        <v>74</v>
      </c>
      <c r="BB495" t="s">
        <v>74</v>
      </c>
      <c r="BC495" t="s">
        <v>74</v>
      </c>
      <c r="BD495">
        <v>111143</v>
      </c>
      <c r="BE495" t="s">
        <v>9993</v>
      </c>
      <c r="BF495" t="str">
        <f>HYPERLINK("http://dx.doi.org/10.1016/j.marpolbul.2020.111143","http://dx.doi.org/10.1016/j.marpolbul.2020.111143")</f>
        <v>http://dx.doi.org/10.1016/j.marpolbul.2020.111143</v>
      </c>
      <c r="BG495" t="s">
        <v>74</v>
      </c>
      <c r="BH495" t="s">
        <v>74</v>
      </c>
      <c r="BI495">
        <v>6</v>
      </c>
      <c r="BJ495" t="s">
        <v>237</v>
      </c>
      <c r="BK495" t="s">
        <v>102</v>
      </c>
      <c r="BL495" t="s">
        <v>238</v>
      </c>
      <c r="BM495" t="s">
        <v>9994</v>
      </c>
      <c r="BN495">
        <v>32469768</v>
      </c>
      <c r="BO495" t="s">
        <v>491</v>
      </c>
      <c r="BP495" t="s">
        <v>74</v>
      </c>
      <c r="BQ495" t="s">
        <v>74</v>
      </c>
      <c r="BR495" t="s">
        <v>106</v>
      </c>
      <c r="BS495" t="s">
        <v>9995</v>
      </c>
      <c r="BT495" t="str">
        <f>HYPERLINK("https%3A%2F%2Fwww.webofscience.com%2Fwos%2Fwoscc%2Ffull-record%2FWOS:000536184300022","View Full Record in Web of Science")</f>
        <v>View Full Record in Web of Science</v>
      </c>
    </row>
    <row r="496" spans="1:72" x14ac:dyDescent="0.15">
      <c r="A496" t="s">
        <v>72</v>
      </c>
      <c r="B496" t="s">
        <v>9996</v>
      </c>
      <c r="C496" t="s">
        <v>74</v>
      </c>
      <c r="D496" t="s">
        <v>74</v>
      </c>
      <c r="E496" t="s">
        <v>74</v>
      </c>
      <c r="F496" t="s">
        <v>9997</v>
      </c>
      <c r="G496" t="s">
        <v>74</v>
      </c>
      <c r="H496" t="s">
        <v>74</v>
      </c>
      <c r="I496" t="s">
        <v>9998</v>
      </c>
      <c r="J496" t="s">
        <v>5330</v>
      </c>
      <c r="K496" t="s">
        <v>74</v>
      </c>
      <c r="L496" t="s">
        <v>74</v>
      </c>
      <c r="M496" t="s">
        <v>78</v>
      </c>
      <c r="N496" t="s">
        <v>79</v>
      </c>
      <c r="O496" t="s">
        <v>74</v>
      </c>
      <c r="P496" t="s">
        <v>74</v>
      </c>
      <c r="Q496" t="s">
        <v>74</v>
      </c>
      <c r="R496" t="s">
        <v>74</v>
      </c>
      <c r="S496" t="s">
        <v>74</v>
      </c>
      <c r="T496" t="s">
        <v>9999</v>
      </c>
      <c r="U496" t="s">
        <v>10000</v>
      </c>
      <c r="V496" t="s">
        <v>10001</v>
      </c>
      <c r="W496" t="s">
        <v>10002</v>
      </c>
      <c r="X496" t="s">
        <v>10003</v>
      </c>
      <c r="Y496" t="s">
        <v>10004</v>
      </c>
      <c r="Z496" t="s">
        <v>10005</v>
      </c>
      <c r="AA496" t="s">
        <v>10006</v>
      </c>
      <c r="AB496" t="s">
        <v>10007</v>
      </c>
      <c r="AC496" t="s">
        <v>10008</v>
      </c>
      <c r="AD496" t="s">
        <v>10009</v>
      </c>
      <c r="AE496" t="s">
        <v>10010</v>
      </c>
      <c r="AF496" t="s">
        <v>74</v>
      </c>
      <c r="AG496">
        <v>89</v>
      </c>
      <c r="AH496">
        <v>9</v>
      </c>
      <c r="AI496">
        <v>10</v>
      </c>
      <c r="AJ496">
        <v>5</v>
      </c>
      <c r="AK496">
        <v>28</v>
      </c>
      <c r="AL496" t="s">
        <v>92</v>
      </c>
      <c r="AM496" t="s">
        <v>93</v>
      </c>
      <c r="AN496" t="s">
        <v>94</v>
      </c>
      <c r="AO496" t="s">
        <v>5342</v>
      </c>
      <c r="AP496" t="s">
        <v>5343</v>
      </c>
      <c r="AQ496" t="s">
        <v>74</v>
      </c>
      <c r="AR496" t="s">
        <v>5344</v>
      </c>
      <c r="AS496" t="s">
        <v>5345</v>
      </c>
      <c r="AT496" t="s">
        <v>7663</v>
      </c>
      <c r="AU496">
        <v>2020</v>
      </c>
      <c r="AV496">
        <v>160</v>
      </c>
      <c r="AW496" t="s">
        <v>74</v>
      </c>
      <c r="AX496" t="s">
        <v>74</v>
      </c>
      <c r="AY496" t="s">
        <v>74</v>
      </c>
      <c r="AZ496" t="s">
        <v>74</v>
      </c>
      <c r="BA496" t="s">
        <v>74</v>
      </c>
      <c r="BB496" t="s">
        <v>74</v>
      </c>
      <c r="BC496" t="s">
        <v>74</v>
      </c>
      <c r="BD496">
        <v>103263</v>
      </c>
      <c r="BE496" t="s">
        <v>10011</v>
      </c>
      <c r="BF496" t="str">
        <f>HYPERLINK("http://dx.doi.org/10.1016/j.dsr.2020.103263","http://dx.doi.org/10.1016/j.dsr.2020.103263")</f>
        <v>http://dx.doi.org/10.1016/j.dsr.2020.103263</v>
      </c>
      <c r="BG496" t="s">
        <v>74</v>
      </c>
      <c r="BH496" t="s">
        <v>74</v>
      </c>
      <c r="BI496">
        <v>12</v>
      </c>
      <c r="BJ496" t="s">
        <v>213</v>
      </c>
      <c r="BK496" t="s">
        <v>102</v>
      </c>
      <c r="BL496" t="s">
        <v>213</v>
      </c>
      <c r="BM496" t="s">
        <v>10012</v>
      </c>
      <c r="BN496" t="s">
        <v>74</v>
      </c>
      <c r="BO496" t="s">
        <v>4647</v>
      </c>
      <c r="BP496" t="s">
        <v>74</v>
      </c>
      <c r="BQ496" t="s">
        <v>74</v>
      </c>
      <c r="BR496" t="s">
        <v>106</v>
      </c>
      <c r="BS496" t="s">
        <v>10013</v>
      </c>
      <c r="BT496" t="str">
        <f>HYPERLINK("https%3A%2F%2Fwww.webofscience.com%2Fwos%2Fwoscc%2Ffull-record%2FWOS:000535357000010","View Full Record in Web of Science")</f>
        <v>View Full Record in Web of Science</v>
      </c>
    </row>
    <row r="497" spans="1:72" x14ac:dyDescent="0.15">
      <c r="A497" t="s">
        <v>72</v>
      </c>
      <c r="B497" t="s">
        <v>10014</v>
      </c>
      <c r="C497" t="s">
        <v>74</v>
      </c>
      <c r="D497" t="s">
        <v>74</v>
      </c>
      <c r="E497" t="s">
        <v>74</v>
      </c>
      <c r="F497" t="s">
        <v>10015</v>
      </c>
      <c r="G497" t="s">
        <v>74</v>
      </c>
      <c r="H497" t="s">
        <v>74</v>
      </c>
      <c r="I497" t="s">
        <v>10016</v>
      </c>
      <c r="J497" t="s">
        <v>5489</v>
      </c>
      <c r="K497" t="s">
        <v>74</v>
      </c>
      <c r="L497" t="s">
        <v>74</v>
      </c>
      <c r="M497" t="s">
        <v>78</v>
      </c>
      <c r="N497" t="s">
        <v>79</v>
      </c>
      <c r="O497" t="s">
        <v>74</v>
      </c>
      <c r="P497" t="s">
        <v>74</v>
      </c>
      <c r="Q497" t="s">
        <v>74</v>
      </c>
      <c r="R497" t="s">
        <v>74</v>
      </c>
      <c r="S497" t="s">
        <v>74</v>
      </c>
      <c r="T497" t="s">
        <v>10017</v>
      </c>
      <c r="U497" t="s">
        <v>10018</v>
      </c>
      <c r="V497" t="s">
        <v>10019</v>
      </c>
      <c r="W497" t="s">
        <v>10020</v>
      </c>
      <c r="X497" t="s">
        <v>10021</v>
      </c>
      <c r="Y497" t="s">
        <v>10022</v>
      </c>
      <c r="Z497" t="s">
        <v>10023</v>
      </c>
      <c r="AA497" t="s">
        <v>10024</v>
      </c>
      <c r="AB497" t="s">
        <v>10025</v>
      </c>
      <c r="AC497" t="s">
        <v>10026</v>
      </c>
      <c r="AD497" t="s">
        <v>10027</v>
      </c>
      <c r="AE497" t="s">
        <v>10028</v>
      </c>
      <c r="AF497" t="s">
        <v>74</v>
      </c>
      <c r="AG497">
        <v>59</v>
      </c>
      <c r="AH497">
        <v>10</v>
      </c>
      <c r="AI497">
        <v>11</v>
      </c>
      <c r="AJ497">
        <v>1</v>
      </c>
      <c r="AK497">
        <v>7</v>
      </c>
      <c r="AL497" t="s">
        <v>284</v>
      </c>
      <c r="AM497" t="s">
        <v>285</v>
      </c>
      <c r="AN497" t="s">
        <v>286</v>
      </c>
      <c r="AO497" t="s">
        <v>5501</v>
      </c>
      <c r="AP497" t="s">
        <v>5502</v>
      </c>
      <c r="AQ497" t="s">
        <v>74</v>
      </c>
      <c r="AR497" t="s">
        <v>5503</v>
      </c>
      <c r="AS497" t="s">
        <v>5504</v>
      </c>
      <c r="AT497" t="s">
        <v>7663</v>
      </c>
      <c r="AU497">
        <v>2020</v>
      </c>
      <c r="AV497">
        <v>424</v>
      </c>
      <c r="AW497" t="s">
        <v>74</v>
      </c>
      <c r="AX497" t="s">
        <v>74</v>
      </c>
      <c r="AY497" t="s">
        <v>74</v>
      </c>
      <c r="AZ497" t="s">
        <v>74</v>
      </c>
      <c r="BA497" t="s">
        <v>74</v>
      </c>
      <c r="BB497" t="s">
        <v>74</v>
      </c>
      <c r="BC497" t="s">
        <v>74</v>
      </c>
      <c r="BD497">
        <v>106161</v>
      </c>
      <c r="BE497" t="s">
        <v>10029</v>
      </c>
      <c r="BF497" t="str">
        <f>HYPERLINK("http://dx.doi.org/10.1016/j.margeo.2020.106161","http://dx.doi.org/10.1016/j.margeo.2020.106161")</f>
        <v>http://dx.doi.org/10.1016/j.margeo.2020.106161</v>
      </c>
      <c r="BG497" t="s">
        <v>74</v>
      </c>
      <c r="BH497" t="s">
        <v>74</v>
      </c>
      <c r="BI497">
        <v>14</v>
      </c>
      <c r="BJ497" t="s">
        <v>5506</v>
      </c>
      <c r="BK497" t="s">
        <v>102</v>
      </c>
      <c r="BL497" t="s">
        <v>5507</v>
      </c>
      <c r="BM497" t="s">
        <v>10030</v>
      </c>
      <c r="BN497" t="s">
        <v>74</v>
      </c>
      <c r="BO497" t="s">
        <v>491</v>
      </c>
      <c r="BP497" t="s">
        <v>74</v>
      </c>
      <c r="BQ497" t="s">
        <v>74</v>
      </c>
      <c r="BR497" t="s">
        <v>106</v>
      </c>
      <c r="BS497" t="s">
        <v>10031</v>
      </c>
      <c r="BT497" t="str">
        <f>HYPERLINK("https%3A%2F%2Fwww.webofscience.com%2Fwos%2Fwoscc%2Ffull-record%2FWOS:000535718600016","View Full Record in Web of Science")</f>
        <v>View Full Record in Web of Science</v>
      </c>
    </row>
    <row r="498" spans="1:72" x14ac:dyDescent="0.15">
      <c r="A498" t="s">
        <v>72</v>
      </c>
      <c r="B498" t="s">
        <v>10032</v>
      </c>
      <c r="C498" t="s">
        <v>74</v>
      </c>
      <c r="D498" t="s">
        <v>74</v>
      </c>
      <c r="E498" t="s">
        <v>74</v>
      </c>
      <c r="F498" t="s">
        <v>10033</v>
      </c>
      <c r="G498" t="s">
        <v>74</v>
      </c>
      <c r="H498" t="s">
        <v>74</v>
      </c>
      <c r="I498" t="s">
        <v>10034</v>
      </c>
      <c r="J498" t="s">
        <v>10035</v>
      </c>
      <c r="K498" t="s">
        <v>74</v>
      </c>
      <c r="L498" t="s">
        <v>74</v>
      </c>
      <c r="M498" t="s">
        <v>78</v>
      </c>
      <c r="N498" t="s">
        <v>79</v>
      </c>
      <c r="O498" t="s">
        <v>74</v>
      </c>
      <c r="P498" t="s">
        <v>74</v>
      </c>
      <c r="Q498" t="s">
        <v>74</v>
      </c>
      <c r="R498" t="s">
        <v>74</v>
      </c>
      <c r="S498" t="s">
        <v>74</v>
      </c>
      <c r="T498" t="s">
        <v>10036</v>
      </c>
      <c r="U498" t="s">
        <v>10037</v>
      </c>
      <c r="V498" t="s">
        <v>10038</v>
      </c>
      <c r="W498" t="s">
        <v>10039</v>
      </c>
      <c r="X498" t="s">
        <v>10040</v>
      </c>
      <c r="Y498" t="s">
        <v>10041</v>
      </c>
      <c r="Z498" t="s">
        <v>10042</v>
      </c>
      <c r="AA498" t="s">
        <v>10043</v>
      </c>
      <c r="AB498" t="s">
        <v>10044</v>
      </c>
      <c r="AC498" t="s">
        <v>74</v>
      </c>
      <c r="AD498" t="s">
        <v>74</v>
      </c>
      <c r="AE498" t="s">
        <v>74</v>
      </c>
      <c r="AF498" t="s">
        <v>74</v>
      </c>
      <c r="AG498">
        <v>117</v>
      </c>
      <c r="AH498">
        <v>9</v>
      </c>
      <c r="AI498">
        <v>9</v>
      </c>
      <c r="AJ498">
        <v>3</v>
      </c>
      <c r="AK498">
        <v>17</v>
      </c>
      <c r="AL498" t="s">
        <v>994</v>
      </c>
      <c r="AM498" t="s">
        <v>995</v>
      </c>
      <c r="AN498" t="s">
        <v>996</v>
      </c>
      <c r="AO498" t="s">
        <v>10045</v>
      </c>
      <c r="AP498" t="s">
        <v>10046</v>
      </c>
      <c r="AQ498" t="s">
        <v>74</v>
      </c>
      <c r="AR498" t="s">
        <v>10035</v>
      </c>
      <c r="AS498" t="s">
        <v>10047</v>
      </c>
      <c r="AT498" t="s">
        <v>7663</v>
      </c>
      <c r="AU498">
        <v>2020</v>
      </c>
      <c r="AV498">
        <v>67</v>
      </c>
      <c r="AW498">
        <v>4</v>
      </c>
      <c r="AX498" t="s">
        <v>74</v>
      </c>
      <c r="AY498" t="s">
        <v>74</v>
      </c>
      <c r="AZ498" t="s">
        <v>74</v>
      </c>
      <c r="BA498" t="s">
        <v>74</v>
      </c>
      <c r="BB498">
        <v>1879</v>
      </c>
      <c r="BC498">
        <v>1913</v>
      </c>
      <c r="BD498" t="s">
        <v>74</v>
      </c>
      <c r="BE498" t="s">
        <v>10048</v>
      </c>
      <c r="BF498" t="str">
        <f>HYPERLINK("http://dx.doi.org/10.1111/sed.12681","http://dx.doi.org/10.1111/sed.12681")</f>
        <v>http://dx.doi.org/10.1111/sed.12681</v>
      </c>
      <c r="BG498" t="s">
        <v>74</v>
      </c>
      <c r="BH498" t="s">
        <v>74</v>
      </c>
      <c r="BI498">
        <v>35</v>
      </c>
      <c r="BJ498" t="s">
        <v>472</v>
      </c>
      <c r="BK498" t="s">
        <v>102</v>
      </c>
      <c r="BL498" t="s">
        <v>472</v>
      </c>
      <c r="BM498" t="s">
        <v>10049</v>
      </c>
      <c r="BN498" t="s">
        <v>74</v>
      </c>
      <c r="BO498" t="s">
        <v>74</v>
      </c>
      <c r="BP498" t="s">
        <v>74</v>
      </c>
      <c r="BQ498" t="s">
        <v>74</v>
      </c>
      <c r="BR498" t="s">
        <v>106</v>
      </c>
      <c r="BS498" t="s">
        <v>10050</v>
      </c>
      <c r="BT498" t="str">
        <f>HYPERLINK("https%3A%2F%2Fwww.webofscience.com%2Fwos%2Fwoscc%2Ffull-record%2FWOS:000535281600007","View Full Record in Web of Science")</f>
        <v>View Full Record in Web of Science</v>
      </c>
    </row>
    <row r="499" spans="1:72" x14ac:dyDescent="0.15">
      <c r="A499" t="s">
        <v>72</v>
      </c>
      <c r="B499" t="s">
        <v>10051</v>
      </c>
      <c r="C499" t="s">
        <v>74</v>
      </c>
      <c r="D499" t="s">
        <v>74</v>
      </c>
      <c r="E499" t="s">
        <v>74</v>
      </c>
      <c r="F499" t="s">
        <v>10052</v>
      </c>
      <c r="G499" t="s">
        <v>74</v>
      </c>
      <c r="H499" t="s">
        <v>74</v>
      </c>
      <c r="I499" t="s">
        <v>10053</v>
      </c>
      <c r="J499" t="s">
        <v>10054</v>
      </c>
      <c r="K499" t="s">
        <v>74</v>
      </c>
      <c r="L499" t="s">
        <v>74</v>
      </c>
      <c r="M499" t="s">
        <v>78</v>
      </c>
      <c r="N499" t="s">
        <v>79</v>
      </c>
      <c r="O499" t="s">
        <v>74</v>
      </c>
      <c r="P499" t="s">
        <v>74</v>
      </c>
      <c r="Q499" t="s">
        <v>74</v>
      </c>
      <c r="R499" t="s">
        <v>74</v>
      </c>
      <c r="S499" t="s">
        <v>74</v>
      </c>
      <c r="T499" t="s">
        <v>10055</v>
      </c>
      <c r="U499" t="s">
        <v>74</v>
      </c>
      <c r="V499" t="s">
        <v>10056</v>
      </c>
      <c r="W499" t="s">
        <v>10057</v>
      </c>
      <c r="X499" t="s">
        <v>10058</v>
      </c>
      <c r="Y499" t="s">
        <v>10059</v>
      </c>
      <c r="Z499" t="s">
        <v>10060</v>
      </c>
      <c r="AA499" t="s">
        <v>10061</v>
      </c>
      <c r="AB499" t="s">
        <v>10062</v>
      </c>
      <c r="AC499" t="s">
        <v>10063</v>
      </c>
      <c r="AD499" t="s">
        <v>10064</v>
      </c>
      <c r="AE499" t="s">
        <v>10065</v>
      </c>
      <c r="AF499" t="s">
        <v>74</v>
      </c>
      <c r="AG499">
        <v>93</v>
      </c>
      <c r="AH499">
        <v>42</v>
      </c>
      <c r="AI499">
        <v>45</v>
      </c>
      <c r="AJ499">
        <v>2</v>
      </c>
      <c r="AK499">
        <v>10</v>
      </c>
      <c r="AL499" t="s">
        <v>151</v>
      </c>
      <c r="AM499" t="s">
        <v>152</v>
      </c>
      <c r="AN499" t="s">
        <v>153</v>
      </c>
      <c r="AO499" t="s">
        <v>74</v>
      </c>
      <c r="AP499" t="s">
        <v>10066</v>
      </c>
      <c r="AQ499" t="s">
        <v>74</v>
      </c>
      <c r="AR499" t="s">
        <v>10067</v>
      </c>
      <c r="AS499" t="s">
        <v>10068</v>
      </c>
      <c r="AT499" t="s">
        <v>7663</v>
      </c>
      <c r="AU499">
        <v>2020</v>
      </c>
      <c r="AV499">
        <v>1</v>
      </c>
      <c r="AW499">
        <v>2</v>
      </c>
      <c r="AX499" t="s">
        <v>74</v>
      </c>
      <c r="AY499" t="s">
        <v>74</v>
      </c>
      <c r="AZ499" t="s">
        <v>74</v>
      </c>
      <c r="BA499" t="s">
        <v>74</v>
      </c>
      <c r="BB499" t="s">
        <v>74</v>
      </c>
      <c r="BC499" t="s">
        <v>74</v>
      </c>
      <c r="BD499" t="s">
        <v>10069</v>
      </c>
      <c r="BE499" t="s">
        <v>10070</v>
      </c>
      <c r="BF499" t="str">
        <f>HYPERLINK("http://dx.doi.org/10.1029/2019AV000132","http://dx.doi.org/10.1029/2019AV000132")</f>
        <v>http://dx.doi.org/10.1029/2019AV000132</v>
      </c>
      <c r="BG499" t="s">
        <v>74</v>
      </c>
      <c r="BH499" t="s">
        <v>74</v>
      </c>
      <c r="BI499">
        <v>22</v>
      </c>
      <c r="BJ499" t="s">
        <v>471</v>
      </c>
      <c r="BK499" t="s">
        <v>3838</v>
      </c>
      <c r="BL499" t="s">
        <v>472</v>
      </c>
      <c r="BM499" t="s">
        <v>10071</v>
      </c>
      <c r="BN499" t="s">
        <v>74</v>
      </c>
      <c r="BO499" t="s">
        <v>1778</v>
      </c>
      <c r="BP499" t="s">
        <v>74</v>
      </c>
      <c r="BQ499" t="s">
        <v>74</v>
      </c>
      <c r="BR499" t="s">
        <v>106</v>
      </c>
      <c r="BS499" t="s">
        <v>10072</v>
      </c>
      <c r="BT499" t="str">
        <f>HYPERLINK("https%3A%2F%2Fwww.webofscience.com%2Fwos%2Fwoscc%2Ffull-record%2FWOS:000752557100005","View Full Record in Web of Science")</f>
        <v>View Full Record in Web of Science</v>
      </c>
    </row>
    <row r="500" spans="1:72" x14ac:dyDescent="0.15">
      <c r="A500" t="s">
        <v>72</v>
      </c>
      <c r="B500" t="s">
        <v>10073</v>
      </c>
      <c r="C500" t="s">
        <v>74</v>
      </c>
      <c r="D500" t="s">
        <v>74</v>
      </c>
      <c r="E500" t="s">
        <v>74</v>
      </c>
      <c r="F500" t="s">
        <v>10074</v>
      </c>
      <c r="G500" t="s">
        <v>74</v>
      </c>
      <c r="H500" t="s">
        <v>74</v>
      </c>
      <c r="I500" t="s">
        <v>10075</v>
      </c>
      <c r="J500" t="s">
        <v>10076</v>
      </c>
      <c r="K500" t="s">
        <v>74</v>
      </c>
      <c r="L500" t="s">
        <v>74</v>
      </c>
      <c r="M500" t="s">
        <v>78</v>
      </c>
      <c r="N500" t="s">
        <v>79</v>
      </c>
      <c r="O500" t="s">
        <v>74</v>
      </c>
      <c r="P500" t="s">
        <v>74</v>
      </c>
      <c r="Q500" t="s">
        <v>74</v>
      </c>
      <c r="R500" t="s">
        <v>74</v>
      </c>
      <c r="S500" t="s">
        <v>74</v>
      </c>
      <c r="T500" t="s">
        <v>10077</v>
      </c>
      <c r="U500" t="s">
        <v>10078</v>
      </c>
      <c r="V500" t="s">
        <v>10079</v>
      </c>
      <c r="W500" t="s">
        <v>10080</v>
      </c>
      <c r="X500" t="s">
        <v>10081</v>
      </c>
      <c r="Y500" t="s">
        <v>10082</v>
      </c>
      <c r="Z500" t="s">
        <v>10083</v>
      </c>
      <c r="AA500" t="s">
        <v>10084</v>
      </c>
      <c r="AB500" t="s">
        <v>10085</v>
      </c>
      <c r="AC500" t="s">
        <v>10086</v>
      </c>
      <c r="AD500" t="s">
        <v>10087</v>
      </c>
      <c r="AE500" t="s">
        <v>10088</v>
      </c>
      <c r="AF500" t="s">
        <v>74</v>
      </c>
      <c r="AG500">
        <v>93</v>
      </c>
      <c r="AH500">
        <v>64</v>
      </c>
      <c r="AI500">
        <v>69</v>
      </c>
      <c r="AJ500">
        <v>8</v>
      </c>
      <c r="AK500">
        <v>62</v>
      </c>
      <c r="AL500" t="s">
        <v>10089</v>
      </c>
      <c r="AM500" t="s">
        <v>152</v>
      </c>
      <c r="AN500" t="s">
        <v>10090</v>
      </c>
      <c r="AO500" t="s">
        <v>10091</v>
      </c>
      <c r="AP500" t="s">
        <v>10092</v>
      </c>
      <c r="AQ500" t="s">
        <v>74</v>
      </c>
      <c r="AR500" t="s">
        <v>10093</v>
      </c>
      <c r="AS500" t="s">
        <v>10094</v>
      </c>
      <c r="AT500" t="s">
        <v>7663</v>
      </c>
      <c r="AU500">
        <v>2020</v>
      </c>
      <c r="AV500">
        <v>86</v>
      </c>
      <c r="AW500">
        <v>12</v>
      </c>
      <c r="AX500" t="s">
        <v>74</v>
      </c>
      <c r="AY500" t="s">
        <v>74</v>
      </c>
      <c r="AZ500" t="s">
        <v>74</v>
      </c>
      <c r="BA500" t="s">
        <v>74</v>
      </c>
      <c r="BB500" t="s">
        <v>74</v>
      </c>
      <c r="BC500" t="s">
        <v>74</v>
      </c>
      <c r="BD500" t="s">
        <v>10095</v>
      </c>
      <c r="BE500" t="s">
        <v>10096</v>
      </c>
      <c r="BF500" t="str">
        <f>HYPERLINK("http://dx.doi.org/10.1128/AEM.00411-20","http://dx.doi.org/10.1128/AEM.00411-20")</f>
        <v>http://dx.doi.org/10.1128/AEM.00411-20</v>
      </c>
      <c r="BG500" t="s">
        <v>74</v>
      </c>
      <c r="BH500" t="s">
        <v>74</v>
      </c>
      <c r="BI500">
        <v>19</v>
      </c>
      <c r="BJ500" t="s">
        <v>10097</v>
      </c>
      <c r="BK500" t="s">
        <v>102</v>
      </c>
      <c r="BL500" t="s">
        <v>10097</v>
      </c>
      <c r="BM500" t="s">
        <v>10098</v>
      </c>
      <c r="BN500">
        <v>32303543</v>
      </c>
      <c r="BO500" t="s">
        <v>3180</v>
      </c>
      <c r="BP500" t="s">
        <v>74</v>
      </c>
      <c r="BQ500" t="s">
        <v>74</v>
      </c>
      <c r="BR500" t="s">
        <v>106</v>
      </c>
      <c r="BS500" t="s">
        <v>10099</v>
      </c>
      <c r="BT500" t="str">
        <f>HYPERLINK("https%3A%2F%2Fwww.webofscience.com%2Fwos%2Fwoscc%2Ffull-record%2FWOS:000540906600006","View Full Record in Web of Science")</f>
        <v>View Full Record in Web of Science</v>
      </c>
    </row>
    <row r="501" spans="1:72" x14ac:dyDescent="0.15">
      <c r="A501" t="s">
        <v>72</v>
      </c>
      <c r="B501" t="s">
        <v>10100</v>
      </c>
      <c r="C501" t="s">
        <v>74</v>
      </c>
      <c r="D501" t="s">
        <v>74</v>
      </c>
      <c r="E501" t="s">
        <v>74</v>
      </c>
      <c r="F501" t="s">
        <v>10101</v>
      </c>
      <c r="G501" t="s">
        <v>74</v>
      </c>
      <c r="H501" t="s">
        <v>74</v>
      </c>
      <c r="I501" t="s">
        <v>10102</v>
      </c>
      <c r="J501" t="s">
        <v>10103</v>
      </c>
      <c r="K501" t="s">
        <v>74</v>
      </c>
      <c r="L501" t="s">
        <v>74</v>
      </c>
      <c r="M501" t="s">
        <v>78</v>
      </c>
      <c r="N501" t="s">
        <v>79</v>
      </c>
      <c r="O501" t="s">
        <v>74</v>
      </c>
      <c r="P501" t="s">
        <v>74</v>
      </c>
      <c r="Q501" t="s">
        <v>74</v>
      </c>
      <c r="R501" t="s">
        <v>74</v>
      </c>
      <c r="S501" t="s">
        <v>74</v>
      </c>
      <c r="T501" t="s">
        <v>10104</v>
      </c>
      <c r="U501" t="s">
        <v>10105</v>
      </c>
      <c r="V501" t="s">
        <v>10106</v>
      </c>
      <c r="W501" t="s">
        <v>10107</v>
      </c>
      <c r="X501" t="s">
        <v>10108</v>
      </c>
      <c r="Y501" t="s">
        <v>10109</v>
      </c>
      <c r="Z501" t="s">
        <v>10110</v>
      </c>
      <c r="AA501" t="s">
        <v>10111</v>
      </c>
      <c r="AB501" t="s">
        <v>10112</v>
      </c>
      <c r="AC501" t="s">
        <v>10113</v>
      </c>
      <c r="AD501" t="s">
        <v>10114</v>
      </c>
      <c r="AE501" t="s">
        <v>10115</v>
      </c>
      <c r="AF501" t="s">
        <v>74</v>
      </c>
      <c r="AG501">
        <v>89</v>
      </c>
      <c r="AH501">
        <v>23</v>
      </c>
      <c r="AI501">
        <v>26</v>
      </c>
      <c r="AJ501">
        <v>4</v>
      </c>
      <c r="AK501">
        <v>38</v>
      </c>
      <c r="AL501" t="s">
        <v>578</v>
      </c>
      <c r="AM501" t="s">
        <v>93</v>
      </c>
      <c r="AN501" t="s">
        <v>579</v>
      </c>
      <c r="AO501" t="s">
        <v>10116</v>
      </c>
      <c r="AP501" t="s">
        <v>10117</v>
      </c>
      <c r="AQ501" t="s">
        <v>74</v>
      </c>
      <c r="AR501" t="s">
        <v>10118</v>
      </c>
      <c r="AS501" t="s">
        <v>10119</v>
      </c>
      <c r="AT501" t="s">
        <v>7663</v>
      </c>
      <c r="AU501">
        <v>2020</v>
      </c>
      <c r="AV501">
        <v>45</v>
      </c>
      <c r="AW501" t="s">
        <v>74</v>
      </c>
      <c r="AX501" t="s">
        <v>74</v>
      </c>
      <c r="AY501" t="s">
        <v>74</v>
      </c>
      <c r="AZ501" t="s">
        <v>74</v>
      </c>
      <c r="BA501" t="s">
        <v>74</v>
      </c>
      <c r="BB501" t="s">
        <v>74</v>
      </c>
      <c r="BC501" t="s">
        <v>74</v>
      </c>
      <c r="BD501">
        <v>100923</v>
      </c>
      <c r="BE501" t="s">
        <v>10120</v>
      </c>
      <c r="BF501" t="str">
        <f>HYPERLINK("http://dx.doi.org/10.1016/j.funeco.2020.100923","http://dx.doi.org/10.1016/j.funeco.2020.100923")</f>
        <v>http://dx.doi.org/10.1016/j.funeco.2020.100923</v>
      </c>
      <c r="BG501" t="s">
        <v>74</v>
      </c>
      <c r="BH501" t="s">
        <v>74</v>
      </c>
      <c r="BI501">
        <v>11</v>
      </c>
      <c r="BJ501" t="s">
        <v>10121</v>
      </c>
      <c r="BK501" t="s">
        <v>102</v>
      </c>
      <c r="BL501" t="s">
        <v>10122</v>
      </c>
      <c r="BM501" t="s">
        <v>10123</v>
      </c>
      <c r="BN501" t="s">
        <v>74</v>
      </c>
      <c r="BO501" t="s">
        <v>74</v>
      </c>
      <c r="BP501" t="s">
        <v>74</v>
      </c>
      <c r="BQ501" t="s">
        <v>74</v>
      </c>
      <c r="BR501" t="s">
        <v>106</v>
      </c>
      <c r="BS501" t="s">
        <v>10124</v>
      </c>
      <c r="BT501" t="str">
        <f>HYPERLINK("https%3A%2F%2Fwww.webofscience.com%2Fwos%2Fwoscc%2Ffull-record%2FWOS:000530878800005","View Full Record in Web of Science")</f>
        <v>View Full Record in Web of Science</v>
      </c>
    </row>
    <row r="502" spans="1:72" x14ac:dyDescent="0.15">
      <c r="A502" t="s">
        <v>72</v>
      </c>
      <c r="B502" t="s">
        <v>10125</v>
      </c>
      <c r="C502" t="s">
        <v>74</v>
      </c>
      <c r="D502" t="s">
        <v>74</v>
      </c>
      <c r="E502" t="s">
        <v>74</v>
      </c>
      <c r="F502" t="s">
        <v>10126</v>
      </c>
      <c r="G502" t="s">
        <v>74</v>
      </c>
      <c r="H502" t="s">
        <v>74</v>
      </c>
      <c r="I502" t="s">
        <v>10127</v>
      </c>
      <c r="J502" t="s">
        <v>10128</v>
      </c>
      <c r="K502" t="s">
        <v>74</v>
      </c>
      <c r="L502" t="s">
        <v>74</v>
      </c>
      <c r="M502" t="s">
        <v>78</v>
      </c>
      <c r="N502" t="s">
        <v>245</v>
      </c>
      <c r="O502" t="s">
        <v>74</v>
      </c>
      <c r="P502" t="s">
        <v>74</v>
      </c>
      <c r="Q502" t="s">
        <v>74</v>
      </c>
      <c r="R502" t="s">
        <v>74</v>
      </c>
      <c r="S502" t="s">
        <v>74</v>
      </c>
      <c r="T502" t="s">
        <v>10129</v>
      </c>
      <c r="U502" t="s">
        <v>10130</v>
      </c>
      <c r="V502" t="s">
        <v>10131</v>
      </c>
      <c r="W502" t="s">
        <v>10132</v>
      </c>
      <c r="X502" t="s">
        <v>10133</v>
      </c>
      <c r="Y502" t="s">
        <v>10134</v>
      </c>
      <c r="Z502" t="s">
        <v>10135</v>
      </c>
      <c r="AA502" t="s">
        <v>10136</v>
      </c>
      <c r="AB502" t="s">
        <v>10137</v>
      </c>
      <c r="AC502" t="s">
        <v>74</v>
      </c>
      <c r="AD502" t="s">
        <v>74</v>
      </c>
      <c r="AE502" t="s">
        <v>74</v>
      </c>
      <c r="AF502" t="s">
        <v>74</v>
      </c>
      <c r="AG502">
        <v>49</v>
      </c>
      <c r="AH502">
        <v>25</v>
      </c>
      <c r="AI502">
        <v>28</v>
      </c>
      <c r="AJ502">
        <v>13</v>
      </c>
      <c r="AK502">
        <v>88</v>
      </c>
      <c r="AL502" t="s">
        <v>4283</v>
      </c>
      <c r="AM502" t="s">
        <v>4284</v>
      </c>
      <c r="AN502" t="s">
        <v>4285</v>
      </c>
      <c r="AO502" t="s">
        <v>74</v>
      </c>
      <c r="AP502" t="s">
        <v>10138</v>
      </c>
      <c r="AQ502" t="s">
        <v>74</v>
      </c>
      <c r="AR502" t="s">
        <v>10139</v>
      </c>
      <c r="AS502" t="s">
        <v>10140</v>
      </c>
      <c r="AT502" t="s">
        <v>7663</v>
      </c>
      <c r="AU502">
        <v>2020</v>
      </c>
      <c r="AV502">
        <v>17</v>
      </c>
      <c r="AW502">
        <v>11</v>
      </c>
      <c r="AX502" t="s">
        <v>74</v>
      </c>
      <c r="AY502" t="s">
        <v>74</v>
      </c>
      <c r="AZ502" t="s">
        <v>74</v>
      </c>
      <c r="BA502" t="s">
        <v>74</v>
      </c>
      <c r="BB502" t="s">
        <v>74</v>
      </c>
      <c r="BC502" t="s">
        <v>74</v>
      </c>
      <c r="BD502">
        <v>3939</v>
      </c>
      <c r="BE502" t="s">
        <v>10141</v>
      </c>
      <c r="BF502" t="str">
        <f>HYPERLINK("http://dx.doi.org/10.3390/ijerph17113939","http://dx.doi.org/10.3390/ijerph17113939")</f>
        <v>http://dx.doi.org/10.3390/ijerph17113939</v>
      </c>
      <c r="BG502" t="s">
        <v>74</v>
      </c>
      <c r="BH502" t="s">
        <v>74</v>
      </c>
      <c r="BI502">
        <v>12</v>
      </c>
      <c r="BJ502" t="s">
        <v>557</v>
      </c>
      <c r="BK502" t="s">
        <v>925</v>
      </c>
      <c r="BL502" t="s">
        <v>558</v>
      </c>
      <c r="BM502" t="s">
        <v>10142</v>
      </c>
      <c r="BN502">
        <v>32498349</v>
      </c>
      <c r="BO502" t="s">
        <v>1778</v>
      </c>
      <c r="BP502" t="s">
        <v>74</v>
      </c>
      <c r="BQ502" t="s">
        <v>74</v>
      </c>
      <c r="BR502" t="s">
        <v>106</v>
      </c>
      <c r="BS502" t="s">
        <v>10143</v>
      </c>
      <c r="BT502" t="str">
        <f>HYPERLINK("https%3A%2F%2Fwww.webofscience.com%2Fwos%2Fwoscc%2Ffull-record%2FWOS:000542629600192","View Full Record in Web of Science")</f>
        <v>View Full Record in Web of Science</v>
      </c>
    </row>
    <row r="503" spans="1:72" x14ac:dyDescent="0.15">
      <c r="A503" t="s">
        <v>72</v>
      </c>
      <c r="B503" t="s">
        <v>10144</v>
      </c>
      <c r="C503" t="s">
        <v>74</v>
      </c>
      <c r="D503" t="s">
        <v>74</v>
      </c>
      <c r="E503" t="s">
        <v>74</v>
      </c>
      <c r="F503" t="s">
        <v>10145</v>
      </c>
      <c r="G503" t="s">
        <v>74</v>
      </c>
      <c r="H503" t="s">
        <v>74</v>
      </c>
      <c r="I503" t="s">
        <v>10146</v>
      </c>
      <c r="J503" t="s">
        <v>5023</v>
      </c>
      <c r="K503" t="s">
        <v>74</v>
      </c>
      <c r="L503" t="s">
        <v>74</v>
      </c>
      <c r="M503" t="s">
        <v>78</v>
      </c>
      <c r="N503" t="s">
        <v>79</v>
      </c>
      <c r="O503" t="s">
        <v>74</v>
      </c>
      <c r="P503" t="s">
        <v>74</v>
      </c>
      <c r="Q503" t="s">
        <v>74</v>
      </c>
      <c r="R503" t="s">
        <v>74</v>
      </c>
      <c r="S503" t="s">
        <v>74</v>
      </c>
      <c r="T503" t="s">
        <v>10147</v>
      </c>
      <c r="U503" t="s">
        <v>10148</v>
      </c>
      <c r="V503" t="s">
        <v>10149</v>
      </c>
      <c r="W503" t="s">
        <v>10150</v>
      </c>
      <c r="X503" t="s">
        <v>10151</v>
      </c>
      <c r="Y503" t="s">
        <v>10152</v>
      </c>
      <c r="Z503" t="s">
        <v>10153</v>
      </c>
      <c r="AA503" t="s">
        <v>10154</v>
      </c>
      <c r="AB503" t="s">
        <v>10155</v>
      </c>
      <c r="AC503" t="s">
        <v>10156</v>
      </c>
      <c r="AD503" t="s">
        <v>10157</v>
      </c>
      <c r="AE503" t="s">
        <v>10158</v>
      </c>
      <c r="AF503" t="s">
        <v>74</v>
      </c>
      <c r="AG503">
        <v>56</v>
      </c>
      <c r="AH503">
        <v>6</v>
      </c>
      <c r="AI503">
        <v>6</v>
      </c>
      <c r="AJ503">
        <v>1</v>
      </c>
      <c r="AK503">
        <v>5</v>
      </c>
      <c r="AL503" t="s">
        <v>178</v>
      </c>
      <c r="AM503" t="s">
        <v>179</v>
      </c>
      <c r="AN503" t="s">
        <v>180</v>
      </c>
      <c r="AO503" t="s">
        <v>5035</v>
      </c>
      <c r="AP503" t="s">
        <v>5036</v>
      </c>
      <c r="AQ503" t="s">
        <v>74</v>
      </c>
      <c r="AR503" t="s">
        <v>5037</v>
      </c>
      <c r="AS503" t="s">
        <v>5038</v>
      </c>
      <c r="AT503" t="s">
        <v>7663</v>
      </c>
      <c r="AU503">
        <v>2020</v>
      </c>
      <c r="AV503">
        <v>33</v>
      </c>
      <c r="AW503">
        <v>11</v>
      </c>
      <c r="AX503" t="s">
        <v>74</v>
      </c>
      <c r="AY503" t="s">
        <v>74</v>
      </c>
      <c r="AZ503" t="s">
        <v>74</v>
      </c>
      <c r="BA503" t="s">
        <v>74</v>
      </c>
      <c r="BB503">
        <v>4537</v>
      </c>
      <c r="BC503">
        <v>4554</v>
      </c>
      <c r="BD503" t="s">
        <v>74</v>
      </c>
      <c r="BE503" t="s">
        <v>10159</v>
      </c>
      <c r="BF503" t="str">
        <f>HYPERLINK("http://dx.doi.org/10.1175/JCLI-D-19-0548.1","http://dx.doi.org/10.1175/JCLI-D-19-0548.1")</f>
        <v>http://dx.doi.org/10.1175/JCLI-D-19-0548.1</v>
      </c>
      <c r="BG503" t="s">
        <v>74</v>
      </c>
      <c r="BH503" t="s">
        <v>74</v>
      </c>
      <c r="BI503">
        <v>18</v>
      </c>
      <c r="BJ503" t="s">
        <v>159</v>
      </c>
      <c r="BK503" t="s">
        <v>102</v>
      </c>
      <c r="BL503" t="s">
        <v>159</v>
      </c>
      <c r="BM503" t="s">
        <v>10160</v>
      </c>
      <c r="BN503" t="s">
        <v>74</v>
      </c>
      <c r="BO503" t="s">
        <v>9194</v>
      </c>
      <c r="BP503" t="s">
        <v>74</v>
      </c>
      <c r="BQ503" t="s">
        <v>74</v>
      </c>
      <c r="BR503" t="s">
        <v>106</v>
      </c>
      <c r="BS503" t="s">
        <v>10161</v>
      </c>
      <c r="BT503" t="str">
        <f>HYPERLINK("https%3A%2F%2Fwww.webofscience.com%2Fwos%2Fwoscc%2Ffull-record%2FWOS:000533511600005","View Full Record in Web of Science")</f>
        <v>View Full Record in Web of Science</v>
      </c>
    </row>
    <row r="504" spans="1:72" x14ac:dyDescent="0.15">
      <c r="A504" t="s">
        <v>72</v>
      </c>
      <c r="B504" t="s">
        <v>10162</v>
      </c>
      <c r="C504" t="s">
        <v>74</v>
      </c>
      <c r="D504" t="s">
        <v>74</v>
      </c>
      <c r="E504" t="s">
        <v>74</v>
      </c>
      <c r="F504" t="s">
        <v>10163</v>
      </c>
      <c r="G504" t="s">
        <v>74</v>
      </c>
      <c r="H504" t="s">
        <v>74</v>
      </c>
      <c r="I504" t="s">
        <v>10164</v>
      </c>
      <c r="J504" t="s">
        <v>5023</v>
      </c>
      <c r="K504" t="s">
        <v>74</v>
      </c>
      <c r="L504" t="s">
        <v>74</v>
      </c>
      <c r="M504" t="s">
        <v>78</v>
      </c>
      <c r="N504" t="s">
        <v>79</v>
      </c>
      <c r="O504" t="s">
        <v>74</v>
      </c>
      <c r="P504" t="s">
        <v>74</v>
      </c>
      <c r="Q504" t="s">
        <v>74</v>
      </c>
      <c r="R504" t="s">
        <v>74</v>
      </c>
      <c r="S504" t="s">
        <v>74</v>
      </c>
      <c r="T504" t="s">
        <v>10165</v>
      </c>
      <c r="U504" t="s">
        <v>10166</v>
      </c>
      <c r="V504" t="s">
        <v>10167</v>
      </c>
      <c r="W504" t="s">
        <v>10168</v>
      </c>
      <c r="X504" t="s">
        <v>10169</v>
      </c>
      <c r="Y504" t="s">
        <v>10170</v>
      </c>
      <c r="Z504" t="s">
        <v>10171</v>
      </c>
      <c r="AA504" t="s">
        <v>74</v>
      </c>
      <c r="AB504" t="s">
        <v>10172</v>
      </c>
      <c r="AC504" t="s">
        <v>10173</v>
      </c>
      <c r="AD504" t="s">
        <v>10174</v>
      </c>
      <c r="AE504" t="s">
        <v>10175</v>
      </c>
      <c r="AF504" t="s">
        <v>74</v>
      </c>
      <c r="AG504">
        <v>89</v>
      </c>
      <c r="AH504">
        <v>16</v>
      </c>
      <c r="AI504">
        <v>18</v>
      </c>
      <c r="AJ504">
        <v>0</v>
      </c>
      <c r="AK504">
        <v>25</v>
      </c>
      <c r="AL504" t="s">
        <v>178</v>
      </c>
      <c r="AM504" t="s">
        <v>179</v>
      </c>
      <c r="AN504" t="s">
        <v>180</v>
      </c>
      <c r="AO504" t="s">
        <v>5035</v>
      </c>
      <c r="AP504" t="s">
        <v>5036</v>
      </c>
      <c r="AQ504" t="s">
        <v>74</v>
      </c>
      <c r="AR504" t="s">
        <v>5037</v>
      </c>
      <c r="AS504" t="s">
        <v>5038</v>
      </c>
      <c r="AT504" t="s">
        <v>7663</v>
      </c>
      <c r="AU504">
        <v>2020</v>
      </c>
      <c r="AV504">
        <v>33</v>
      </c>
      <c r="AW504">
        <v>12</v>
      </c>
      <c r="AX504" t="s">
        <v>74</v>
      </c>
      <c r="AY504" t="s">
        <v>74</v>
      </c>
      <c r="AZ504" t="s">
        <v>74</v>
      </c>
      <c r="BA504" t="s">
        <v>74</v>
      </c>
      <c r="BB504">
        <v>5103</v>
      </c>
      <c r="BC504">
        <v>5121</v>
      </c>
      <c r="BD504" t="s">
        <v>74</v>
      </c>
      <c r="BE504" t="s">
        <v>10176</v>
      </c>
      <c r="BF504" t="str">
        <f>HYPERLINK("http://dx.doi.org/10.1175/JCLI-D-19-0456.1","http://dx.doi.org/10.1175/JCLI-D-19-0456.1")</f>
        <v>http://dx.doi.org/10.1175/JCLI-D-19-0456.1</v>
      </c>
      <c r="BG504" t="s">
        <v>74</v>
      </c>
      <c r="BH504" t="s">
        <v>74</v>
      </c>
      <c r="BI504">
        <v>19</v>
      </c>
      <c r="BJ504" t="s">
        <v>159</v>
      </c>
      <c r="BK504" t="s">
        <v>102</v>
      </c>
      <c r="BL504" t="s">
        <v>159</v>
      </c>
      <c r="BM504" t="s">
        <v>9829</v>
      </c>
      <c r="BN504" t="s">
        <v>74</v>
      </c>
      <c r="BO504" t="s">
        <v>10177</v>
      </c>
      <c r="BP504" t="s">
        <v>74</v>
      </c>
      <c r="BQ504" t="s">
        <v>74</v>
      </c>
      <c r="BR504" t="s">
        <v>106</v>
      </c>
      <c r="BS504" t="s">
        <v>10178</v>
      </c>
      <c r="BT504" t="str">
        <f>HYPERLINK("https%3A%2F%2Fwww.webofscience.com%2Fwos%2Fwoscc%2Ffull-record%2FWOS:000537891600008","View Full Record in Web of Science")</f>
        <v>View Full Record in Web of Science</v>
      </c>
    </row>
    <row r="505" spans="1:72" x14ac:dyDescent="0.15">
      <c r="A505" t="s">
        <v>72</v>
      </c>
      <c r="B505" t="s">
        <v>10179</v>
      </c>
      <c r="C505" t="s">
        <v>74</v>
      </c>
      <c r="D505" t="s">
        <v>74</v>
      </c>
      <c r="E505" t="s">
        <v>74</v>
      </c>
      <c r="F505" t="s">
        <v>10180</v>
      </c>
      <c r="G505" t="s">
        <v>74</v>
      </c>
      <c r="H505" t="s">
        <v>74</v>
      </c>
      <c r="I505" t="s">
        <v>10181</v>
      </c>
      <c r="J505" t="s">
        <v>10182</v>
      </c>
      <c r="K505" t="s">
        <v>74</v>
      </c>
      <c r="L505" t="s">
        <v>74</v>
      </c>
      <c r="M505" t="s">
        <v>78</v>
      </c>
      <c r="N505" t="s">
        <v>79</v>
      </c>
      <c r="O505" t="s">
        <v>74</v>
      </c>
      <c r="P505" t="s">
        <v>74</v>
      </c>
      <c r="Q505" t="s">
        <v>74</v>
      </c>
      <c r="R505" t="s">
        <v>74</v>
      </c>
      <c r="S505" t="s">
        <v>74</v>
      </c>
      <c r="T505" t="s">
        <v>10183</v>
      </c>
      <c r="U505" t="s">
        <v>10184</v>
      </c>
      <c r="V505" t="s">
        <v>10185</v>
      </c>
      <c r="W505" t="s">
        <v>10186</v>
      </c>
      <c r="X505" t="s">
        <v>390</v>
      </c>
      <c r="Y505" t="s">
        <v>10187</v>
      </c>
      <c r="Z505" t="s">
        <v>10188</v>
      </c>
      <c r="AA505" t="s">
        <v>10189</v>
      </c>
      <c r="AB505" t="s">
        <v>10190</v>
      </c>
      <c r="AC505" t="s">
        <v>10191</v>
      </c>
      <c r="AD505" t="s">
        <v>10192</v>
      </c>
      <c r="AE505" t="s">
        <v>10193</v>
      </c>
      <c r="AF505" t="s">
        <v>74</v>
      </c>
      <c r="AG505">
        <v>57</v>
      </c>
      <c r="AH505">
        <v>5</v>
      </c>
      <c r="AI505">
        <v>5</v>
      </c>
      <c r="AJ505">
        <v>0</v>
      </c>
      <c r="AK505">
        <v>27</v>
      </c>
      <c r="AL505" t="s">
        <v>284</v>
      </c>
      <c r="AM505" t="s">
        <v>285</v>
      </c>
      <c r="AN505" t="s">
        <v>286</v>
      </c>
      <c r="AO505" t="s">
        <v>10194</v>
      </c>
      <c r="AP505" t="s">
        <v>10195</v>
      </c>
      <c r="AQ505" t="s">
        <v>74</v>
      </c>
      <c r="AR505" t="s">
        <v>10196</v>
      </c>
      <c r="AS505" t="s">
        <v>10197</v>
      </c>
      <c r="AT505" t="s">
        <v>7663</v>
      </c>
      <c r="AU505">
        <v>2020</v>
      </c>
      <c r="AV505">
        <v>527</v>
      </c>
      <c r="AW505" t="s">
        <v>74</v>
      </c>
      <c r="AX505" t="s">
        <v>74</v>
      </c>
      <c r="AY505" t="s">
        <v>74</v>
      </c>
      <c r="AZ505" t="s">
        <v>74</v>
      </c>
      <c r="BA505" t="s">
        <v>74</v>
      </c>
      <c r="BB505" t="s">
        <v>74</v>
      </c>
      <c r="BC505" t="s">
        <v>74</v>
      </c>
      <c r="BD505">
        <v>151248</v>
      </c>
      <c r="BE505" t="s">
        <v>10198</v>
      </c>
      <c r="BF505" t="str">
        <f>HYPERLINK("http://dx.doi.org/10.1016/j.jembe.2019.151248","http://dx.doi.org/10.1016/j.jembe.2019.151248")</f>
        <v>http://dx.doi.org/10.1016/j.jembe.2019.151248</v>
      </c>
      <c r="BG505" t="s">
        <v>74</v>
      </c>
      <c r="BH505" t="s">
        <v>74</v>
      </c>
      <c r="BI505">
        <v>10</v>
      </c>
      <c r="BJ505" t="s">
        <v>7787</v>
      </c>
      <c r="BK505" t="s">
        <v>102</v>
      </c>
      <c r="BL505" t="s">
        <v>238</v>
      </c>
      <c r="BM505" t="s">
        <v>10199</v>
      </c>
      <c r="BN505" t="s">
        <v>74</v>
      </c>
      <c r="BO505" t="s">
        <v>74</v>
      </c>
      <c r="BP505" t="s">
        <v>74</v>
      </c>
      <c r="BQ505" t="s">
        <v>74</v>
      </c>
      <c r="BR505" t="s">
        <v>106</v>
      </c>
      <c r="BS505" t="s">
        <v>10200</v>
      </c>
      <c r="BT505" t="str">
        <f>HYPERLINK("https%3A%2F%2Fwww.webofscience.com%2Fwos%2Fwoscc%2Ffull-record%2FWOS:000529798200011","View Full Record in Web of Science")</f>
        <v>View Full Record in Web of Science</v>
      </c>
    </row>
    <row r="506" spans="1:72" x14ac:dyDescent="0.15">
      <c r="A506" t="s">
        <v>72</v>
      </c>
      <c r="B506" t="s">
        <v>10201</v>
      </c>
      <c r="C506" t="s">
        <v>74</v>
      </c>
      <c r="D506" t="s">
        <v>74</v>
      </c>
      <c r="E506" t="s">
        <v>74</v>
      </c>
      <c r="F506" t="s">
        <v>10202</v>
      </c>
      <c r="G506" t="s">
        <v>74</v>
      </c>
      <c r="H506" t="s">
        <v>74</v>
      </c>
      <c r="I506" t="s">
        <v>10203</v>
      </c>
      <c r="J506" t="s">
        <v>194</v>
      </c>
      <c r="K506" t="s">
        <v>74</v>
      </c>
      <c r="L506" t="s">
        <v>74</v>
      </c>
      <c r="M506" t="s">
        <v>78</v>
      </c>
      <c r="N506" t="s">
        <v>79</v>
      </c>
      <c r="O506" t="s">
        <v>74</v>
      </c>
      <c r="P506" t="s">
        <v>74</v>
      </c>
      <c r="Q506" t="s">
        <v>74</v>
      </c>
      <c r="R506" t="s">
        <v>74</v>
      </c>
      <c r="S506" t="s">
        <v>74</v>
      </c>
      <c r="T506" t="s">
        <v>10204</v>
      </c>
      <c r="U506" t="s">
        <v>10205</v>
      </c>
      <c r="V506" t="s">
        <v>10206</v>
      </c>
      <c r="W506" t="s">
        <v>10207</v>
      </c>
      <c r="X506" t="s">
        <v>10208</v>
      </c>
      <c r="Y506" t="s">
        <v>10209</v>
      </c>
      <c r="Z506" t="s">
        <v>10210</v>
      </c>
      <c r="AA506" t="s">
        <v>10211</v>
      </c>
      <c r="AB506" t="s">
        <v>10212</v>
      </c>
      <c r="AC506" t="s">
        <v>10213</v>
      </c>
      <c r="AD506" t="s">
        <v>10214</v>
      </c>
      <c r="AE506" t="s">
        <v>10215</v>
      </c>
      <c r="AF506" t="s">
        <v>74</v>
      </c>
      <c r="AG506">
        <v>49</v>
      </c>
      <c r="AH506">
        <v>11</v>
      </c>
      <c r="AI506">
        <v>14</v>
      </c>
      <c r="AJ506">
        <v>3</v>
      </c>
      <c r="AK506">
        <v>18</v>
      </c>
      <c r="AL506" t="s">
        <v>151</v>
      </c>
      <c r="AM506" t="s">
        <v>152</v>
      </c>
      <c r="AN506" t="s">
        <v>153</v>
      </c>
      <c r="AO506" t="s">
        <v>207</v>
      </c>
      <c r="AP506" t="s">
        <v>208</v>
      </c>
      <c r="AQ506" t="s">
        <v>74</v>
      </c>
      <c r="AR506" t="s">
        <v>209</v>
      </c>
      <c r="AS506" t="s">
        <v>210</v>
      </c>
      <c r="AT506" t="s">
        <v>7663</v>
      </c>
      <c r="AU506">
        <v>2020</v>
      </c>
      <c r="AV506">
        <v>125</v>
      </c>
      <c r="AW506">
        <v>6</v>
      </c>
      <c r="AX506" t="s">
        <v>74</v>
      </c>
      <c r="AY506" t="s">
        <v>74</v>
      </c>
      <c r="AZ506" t="s">
        <v>74</v>
      </c>
      <c r="BA506" t="s">
        <v>74</v>
      </c>
      <c r="BB506" t="s">
        <v>74</v>
      </c>
      <c r="BC506" t="s">
        <v>74</v>
      </c>
      <c r="BD506" t="s">
        <v>10216</v>
      </c>
      <c r="BE506" t="s">
        <v>10217</v>
      </c>
      <c r="BF506" t="str">
        <f>HYPERLINK("http://dx.doi.org/10.1029/2019JC015310","http://dx.doi.org/10.1029/2019JC015310")</f>
        <v>http://dx.doi.org/10.1029/2019JC015310</v>
      </c>
      <c r="BG506" t="s">
        <v>74</v>
      </c>
      <c r="BH506" t="s">
        <v>74</v>
      </c>
      <c r="BI506">
        <v>18</v>
      </c>
      <c r="BJ506" t="s">
        <v>213</v>
      </c>
      <c r="BK506" t="s">
        <v>102</v>
      </c>
      <c r="BL506" t="s">
        <v>213</v>
      </c>
      <c r="BM506" t="s">
        <v>8843</v>
      </c>
      <c r="BN506" t="s">
        <v>74</v>
      </c>
      <c r="BO506" t="s">
        <v>4799</v>
      </c>
      <c r="BP506" t="s">
        <v>74</v>
      </c>
      <c r="BQ506" t="s">
        <v>74</v>
      </c>
      <c r="BR506" t="s">
        <v>106</v>
      </c>
      <c r="BS506" t="s">
        <v>10218</v>
      </c>
      <c r="BT506" t="str">
        <f>HYPERLINK("https%3A%2F%2Fwww.webofscience.com%2Fwos%2Fwoscc%2Ffull-record%2FWOS:000549832900008","View Full Record in Web of Science")</f>
        <v>View Full Record in Web of Science</v>
      </c>
    </row>
    <row r="507" spans="1:72" x14ac:dyDescent="0.15">
      <c r="A507" t="s">
        <v>72</v>
      </c>
      <c r="B507" t="s">
        <v>10219</v>
      </c>
      <c r="C507" t="s">
        <v>74</v>
      </c>
      <c r="D507" t="s">
        <v>74</v>
      </c>
      <c r="E507" t="s">
        <v>74</v>
      </c>
      <c r="F507" t="s">
        <v>10220</v>
      </c>
      <c r="G507" t="s">
        <v>74</v>
      </c>
      <c r="H507" t="s">
        <v>74</v>
      </c>
      <c r="I507" t="s">
        <v>10221</v>
      </c>
      <c r="J507" t="s">
        <v>194</v>
      </c>
      <c r="K507" t="s">
        <v>74</v>
      </c>
      <c r="L507" t="s">
        <v>74</v>
      </c>
      <c r="M507" t="s">
        <v>78</v>
      </c>
      <c r="N507" t="s">
        <v>79</v>
      </c>
      <c r="O507" t="s">
        <v>74</v>
      </c>
      <c r="P507" t="s">
        <v>74</v>
      </c>
      <c r="Q507" t="s">
        <v>74</v>
      </c>
      <c r="R507" t="s">
        <v>74</v>
      </c>
      <c r="S507" t="s">
        <v>74</v>
      </c>
      <c r="T507" t="s">
        <v>10222</v>
      </c>
      <c r="U507" t="s">
        <v>10223</v>
      </c>
      <c r="V507" t="s">
        <v>10224</v>
      </c>
      <c r="W507" t="s">
        <v>10225</v>
      </c>
      <c r="X507" t="s">
        <v>10226</v>
      </c>
      <c r="Y507" t="s">
        <v>10227</v>
      </c>
      <c r="Z507" t="s">
        <v>10228</v>
      </c>
      <c r="AA507" t="s">
        <v>10229</v>
      </c>
      <c r="AB507" t="s">
        <v>10230</v>
      </c>
      <c r="AC507" t="s">
        <v>10231</v>
      </c>
      <c r="AD507" t="s">
        <v>10232</v>
      </c>
      <c r="AE507" t="s">
        <v>10233</v>
      </c>
      <c r="AF507" t="s">
        <v>74</v>
      </c>
      <c r="AG507">
        <v>43</v>
      </c>
      <c r="AH507">
        <v>18</v>
      </c>
      <c r="AI507">
        <v>19</v>
      </c>
      <c r="AJ507">
        <v>1</v>
      </c>
      <c r="AK507">
        <v>4</v>
      </c>
      <c r="AL507" t="s">
        <v>151</v>
      </c>
      <c r="AM507" t="s">
        <v>152</v>
      </c>
      <c r="AN507" t="s">
        <v>153</v>
      </c>
      <c r="AO507" t="s">
        <v>207</v>
      </c>
      <c r="AP507" t="s">
        <v>208</v>
      </c>
      <c r="AQ507" t="s">
        <v>74</v>
      </c>
      <c r="AR507" t="s">
        <v>209</v>
      </c>
      <c r="AS507" t="s">
        <v>210</v>
      </c>
      <c r="AT507" t="s">
        <v>7663</v>
      </c>
      <c r="AU507">
        <v>2020</v>
      </c>
      <c r="AV507">
        <v>125</v>
      </c>
      <c r="AW507">
        <v>6</v>
      </c>
      <c r="AX507" t="s">
        <v>74</v>
      </c>
      <c r="AY507" t="s">
        <v>74</v>
      </c>
      <c r="AZ507" t="s">
        <v>74</v>
      </c>
      <c r="BA507" t="s">
        <v>74</v>
      </c>
      <c r="BB507" t="s">
        <v>74</v>
      </c>
      <c r="BC507" t="s">
        <v>74</v>
      </c>
      <c r="BD507" t="s">
        <v>10234</v>
      </c>
      <c r="BE507" t="s">
        <v>10235</v>
      </c>
      <c r="BF507" t="str">
        <f>HYPERLINK("http://dx.doi.org/10.1029/2019JC015994","http://dx.doi.org/10.1029/2019JC015994")</f>
        <v>http://dx.doi.org/10.1029/2019JC015994</v>
      </c>
      <c r="BG507" t="s">
        <v>74</v>
      </c>
      <c r="BH507" t="s">
        <v>74</v>
      </c>
      <c r="BI507">
        <v>16</v>
      </c>
      <c r="BJ507" t="s">
        <v>213</v>
      </c>
      <c r="BK507" t="s">
        <v>102</v>
      </c>
      <c r="BL507" t="s">
        <v>213</v>
      </c>
      <c r="BM507" t="s">
        <v>8843</v>
      </c>
      <c r="BN507" t="s">
        <v>74</v>
      </c>
      <c r="BO507" t="s">
        <v>319</v>
      </c>
      <c r="BP507" t="s">
        <v>74</v>
      </c>
      <c r="BQ507" t="s">
        <v>74</v>
      </c>
      <c r="BR507" t="s">
        <v>106</v>
      </c>
      <c r="BS507" t="s">
        <v>10236</v>
      </c>
      <c r="BT507" t="str">
        <f>HYPERLINK("https%3A%2F%2Fwww.webofscience.com%2Fwos%2Fwoscc%2Ffull-record%2FWOS:000549832900001","View Full Record in Web of Science")</f>
        <v>View Full Record in Web of Science</v>
      </c>
    </row>
    <row r="508" spans="1:72" x14ac:dyDescent="0.15">
      <c r="A508" t="s">
        <v>72</v>
      </c>
      <c r="B508" t="s">
        <v>10237</v>
      </c>
      <c r="C508" t="s">
        <v>74</v>
      </c>
      <c r="D508" t="s">
        <v>74</v>
      </c>
      <c r="E508" t="s">
        <v>74</v>
      </c>
      <c r="F508" t="s">
        <v>10238</v>
      </c>
      <c r="G508" t="s">
        <v>74</v>
      </c>
      <c r="H508" t="s">
        <v>74</v>
      </c>
      <c r="I508" t="s">
        <v>10239</v>
      </c>
      <c r="J508" t="s">
        <v>10240</v>
      </c>
      <c r="K508" t="s">
        <v>74</v>
      </c>
      <c r="L508" t="s">
        <v>74</v>
      </c>
      <c r="M508" t="s">
        <v>78</v>
      </c>
      <c r="N508" t="s">
        <v>79</v>
      </c>
      <c r="O508" t="s">
        <v>74</v>
      </c>
      <c r="P508" t="s">
        <v>74</v>
      </c>
      <c r="Q508" t="s">
        <v>74</v>
      </c>
      <c r="R508" t="s">
        <v>74</v>
      </c>
      <c r="S508" t="s">
        <v>74</v>
      </c>
      <c r="T508" t="s">
        <v>10241</v>
      </c>
      <c r="U508" t="s">
        <v>10242</v>
      </c>
      <c r="V508" t="s">
        <v>10243</v>
      </c>
      <c r="W508" t="s">
        <v>10244</v>
      </c>
      <c r="X508" t="s">
        <v>1891</v>
      </c>
      <c r="Y508" t="s">
        <v>10245</v>
      </c>
      <c r="Z508" t="s">
        <v>10246</v>
      </c>
      <c r="AA508" t="s">
        <v>10247</v>
      </c>
      <c r="AB508" t="s">
        <v>10248</v>
      </c>
      <c r="AC508" t="s">
        <v>6355</v>
      </c>
      <c r="AD508" t="s">
        <v>6356</v>
      </c>
      <c r="AE508" t="s">
        <v>10249</v>
      </c>
      <c r="AF508" t="s">
        <v>74</v>
      </c>
      <c r="AG508">
        <v>66</v>
      </c>
      <c r="AH508">
        <v>11</v>
      </c>
      <c r="AI508">
        <v>12</v>
      </c>
      <c r="AJ508">
        <v>0</v>
      </c>
      <c r="AK508">
        <v>3</v>
      </c>
      <c r="AL508" t="s">
        <v>4638</v>
      </c>
      <c r="AM508" t="s">
        <v>1744</v>
      </c>
      <c r="AN508" t="s">
        <v>4639</v>
      </c>
      <c r="AO508" t="s">
        <v>10250</v>
      </c>
      <c r="AP508" t="s">
        <v>10251</v>
      </c>
      <c r="AQ508" t="s">
        <v>74</v>
      </c>
      <c r="AR508" t="s">
        <v>10252</v>
      </c>
      <c r="AS508" t="s">
        <v>10253</v>
      </c>
      <c r="AT508" t="s">
        <v>7663</v>
      </c>
      <c r="AU508">
        <v>2020</v>
      </c>
      <c r="AV508">
        <v>66</v>
      </c>
      <c r="AW508">
        <v>257</v>
      </c>
      <c r="AX508" t="s">
        <v>74</v>
      </c>
      <c r="AY508" t="s">
        <v>74</v>
      </c>
      <c r="AZ508" t="s">
        <v>74</v>
      </c>
      <c r="BA508" t="s">
        <v>74</v>
      </c>
      <c r="BB508">
        <v>509</v>
      </c>
      <c r="BC508">
        <v>519</v>
      </c>
      <c r="BD508" t="s">
        <v>10254</v>
      </c>
      <c r="BE508" t="s">
        <v>10255</v>
      </c>
      <c r="BF508" t="str">
        <f>HYPERLINK("http://dx.doi.org/10.1017/jog.2020.27","http://dx.doi.org/10.1017/jog.2020.27")</f>
        <v>http://dx.doi.org/10.1017/jog.2020.27</v>
      </c>
      <c r="BG508" t="s">
        <v>74</v>
      </c>
      <c r="BH508" t="s">
        <v>74</v>
      </c>
      <c r="BI508">
        <v>11</v>
      </c>
      <c r="BJ508" t="s">
        <v>694</v>
      </c>
      <c r="BK508" t="s">
        <v>102</v>
      </c>
      <c r="BL508" t="s">
        <v>695</v>
      </c>
      <c r="BM508" t="s">
        <v>10256</v>
      </c>
      <c r="BN508" t="s">
        <v>74</v>
      </c>
      <c r="BO508" t="s">
        <v>2071</v>
      </c>
      <c r="BP508" t="s">
        <v>74</v>
      </c>
      <c r="BQ508" t="s">
        <v>74</v>
      </c>
      <c r="BR508" t="s">
        <v>106</v>
      </c>
      <c r="BS508" t="s">
        <v>10257</v>
      </c>
      <c r="BT508" t="str">
        <f>HYPERLINK("https%3A%2F%2Fwww.webofscience.com%2Fwos%2Fwoscc%2Ffull-record%2FWOS:000531857800013","View Full Record in Web of Science")</f>
        <v>View Full Record in Web of Science</v>
      </c>
    </row>
    <row r="509" spans="1:72" x14ac:dyDescent="0.15">
      <c r="A509" t="s">
        <v>72</v>
      </c>
      <c r="B509" t="s">
        <v>10258</v>
      </c>
      <c r="C509" t="s">
        <v>74</v>
      </c>
      <c r="D509" t="s">
        <v>74</v>
      </c>
      <c r="E509" t="s">
        <v>74</v>
      </c>
      <c r="F509" t="s">
        <v>10259</v>
      </c>
      <c r="G509" t="s">
        <v>74</v>
      </c>
      <c r="H509" t="s">
        <v>74</v>
      </c>
      <c r="I509" t="s">
        <v>10260</v>
      </c>
      <c r="J509" t="s">
        <v>10261</v>
      </c>
      <c r="K509" t="s">
        <v>74</v>
      </c>
      <c r="L509" t="s">
        <v>74</v>
      </c>
      <c r="M509" t="s">
        <v>78</v>
      </c>
      <c r="N509" t="s">
        <v>79</v>
      </c>
      <c r="O509" t="s">
        <v>74</v>
      </c>
      <c r="P509" t="s">
        <v>74</v>
      </c>
      <c r="Q509" t="s">
        <v>74</v>
      </c>
      <c r="R509" t="s">
        <v>74</v>
      </c>
      <c r="S509" t="s">
        <v>74</v>
      </c>
      <c r="T509" t="s">
        <v>10262</v>
      </c>
      <c r="U509" t="s">
        <v>10263</v>
      </c>
      <c r="V509" t="s">
        <v>10264</v>
      </c>
      <c r="W509" t="s">
        <v>10265</v>
      </c>
      <c r="X509" t="s">
        <v>10266</v>
      </c>
      <c r="Y509" t="s">
        <v>10267</v>
      </c>
      <c r="Z509" t="s">
        <v>10268</v>
      </c>
      <c r="AA509" t="s">
        <v>10269</v>
      </c>
      <c r="AB509" t="s">
        <v>10270</v>
      </c>
      <c r="AC509" t="s">
        <v>10271</v>
      </c>
      <c r="AD509" t="s">
        <v>10272</v>
      </c>
      <c r="AE509" t="s">
        <v>10273</v>
      </c>
      <c r="AF509" t="s">
        <v>74</v>
      </c>
      <c r="AG509">
        <v>64</v>
      </c>
      <c r="AH509">
        <v>22</v>
      </c>
      <c r="AI509">
        <v>27</v>
      </c>
      <c r="AJ509">
        <v>6</v>
      </c>
      <c r="AK509">
        <v>96</v>
      </c>
      <c r="AL509" t="s">
        <v>284</v>
      </c>
      <c r="AM509" t="s">
        <v>285</v>
      </c>
      <c r="AN509" t="s">
        <v>286</v>
      </c>
      <c r="AO509" t="s">
        <v>10274</v>
      </c>
      <c r="AP509" t="s">
        <v>10275</v>
      </c>
      <c r="AQ509" t="s">
        <v>74</v>
      </c>
      <c r="AR509" t="s">
        <v>10276</v>
      </c>
      <c r="AS509" t="s">
        <v>10277</v>
      </c>
      <c r="AT509" t="s">
        <v>7663</v>
      </c>
      <c r="AU509">
        <v>2020</v>
      </c>
      <c r="AV509">
        <v>585</v>
      </c>
      <c r="AW509" t="s">
        <v>74</v>
      </c>
      <c r="AX509" t="s">
        <v>74</v>
      </c>
      <c r="AY509" t="s">
        <v>74</v>
      </c>
      <c r="AZ509" t="s">
        <v>74</v>
      </c>
      <c r="BA509" t="s">
        <v>74</v>
      </c>
      <c r="BB509" t="s">
        <v>74</v>
      </c>
      <c r="BC509" t="s">
        <v>74</v>
      </c>
      <c r="BD509">
        <v>124828</v>
      </c>
      <c r="BE509" t="s">
        <v>10278</v>
      </c>
      <c r="BF509" t="str">
        <f>HYPERLINK("http://dx.doi.org/10.1016/j.jhydrol.2020.124828","http://dx.doi.org/10.1016/j.jhydrol.2020.124828")</f>
        <v>http://dx.doi.org/10.1016/j.jhydrol.2020.124828</v>
      </c>
      <c r="BG509" t="s">
        <v>74</v>
      </c>
      <c r="BH509" t="s">
        <v>74</v>
      </c>
      <c r="BI509">
        <v>12</v>
      </c>
      <c r="BJ509" t="s">
        <v>10279</v>
      </c>
      <c r="BK509" t="s">
        <v>102</v>
      </c>
      <c r="BL509" t="s">
        <v>10280</v>
      </c>
      <c r="BM509" t="s">
        <v>10281</v>
      </c>
      <c r="BN509" t="s">
        <v>74</v>
      </c>
      <c r="BO509" t="s">
        <v>3716</v>
      </c>
      <c r="BP509" t="s">
        <v>74</v>
      </c>
      <c r="BQ509" t="s">
        <v>74</v>
      </c>
      <c r="BR509" t="s">
        <v>106</v>
      </c>
      <c r="BS509" t="s">
        <v>10282</v>
      </c>
      <c r="BT509" t="str">
        <f>HYPERLINK("https%3A%2F%2Fwww.webofscience.com%2Fwos%2Fwoscc%2Ffull-record%2FWOS:000544230000079","View Full Record in Web of Science")</f>
        <v>View Full Record in Web of Science</v>
      </c>
    </row>
    <row r="510" spans="1:72" x14ac:dyDescent="0.15">
      <c r="A510" t="s">
        <v>72</v>
      </c>
      <c r="B510" t="s">
        <v>10283</v>
      </c>
      <c r="C510" t="s">
        <v>74</v>
      </c>
      <c r="D510" t="s">
        <v>74</v>
      </c>
      <c r="E510" t="s">
        <v>74</v>
      </c>
      <c r="F510" t="s">
        <v>10284</v>
      </c>
      <c r="G510" t="s">
        <v>74</v>
      </c>
      <c r="H510" t="s">
        <v>74</v>
      </c>
      <c r="I510" t="s">
        <v>10285</v>
      </c>
      <c r="J510" t="s">
        <v>10286</v>
      </c>
      <c r="K510" t="s">
        <v>74</v>
      </c>
      <c r="L510" t="s">
        <v>74</v>
      </c>
      <c r="M510" t="s">
        <v>78</v>
      </c>
      <c r="N510" t="s">
        <v>79</v>
      </c>
      <c r="O510" t="s">
        <v>74</v>
      </c>
      <c r="P510" t="s">
        <v>74</v>
      </c>
      <c r="Q510" t="s">
        <v>74</v>
      </c>
      <c r="R510" t="s">
        <v>74</v>
      </c>
      <c r="S510" t="s">
        <v>74</v>
      </c>
      <c r="T510" t="s">
        <v>10287</v>
      </c>
      <c r="U510" t="s">
        <v>10288</v>
      </c>
      <c r="V510" t="s">
        <v>10289</v>
      </c>
      <c r="W510" t="s">
        <v>10290</v>
      </c>
      <c r="X510" t="s">
        <v>10291</v>
      </c>
      <c r="Y510" t="s">
        <v>10292</v>
      </c>
      <c r="Z510" t="s">
        <v>10293</v>
      </c>
      <c r="AA510" t="s">
        <v>10294</v>
      </c>
      <c r="AB510" t="s">
        <v>10295</v>
      </c>
      <c r="AC510" t="s">
        <v>10296</v>
      </c>
      <c r="AD510" t="s">
        <v>10297</v>
      </c>
      <c r="AE510" t="s">
        <v>10298</v>
      </c>
      <c r="AF510" t="s">
        <v>74</v>
      </c>
      <c r="AG510">
        <v>30</v>
      </c>
      <c r="AH510">
        <v>17</v>
      </c>
      <c r="AI510">
        <v>21</v>
      </c>
      <c r="AJ510">
        <v>2</v>
      </c>
      <c r="AK510">
        <v>16</v>
      </c>
      <c r="AL510" t="s">
        <v>4283</v>
      </c>
      <c r="AM510" t="s">
        <v>4284</v>
      </c>
      <c r="AN510" t="s">
        <v>4285</v>
      </c>
      <c r="AO510" t="s">
        <v>74</v>
      </c>
      <c r="AP510" t="s">
        <v>10299</v>
      </c>
      <c r="AQ510" t="s">
        <v>74</v>
      </c>
      <c r="AR510" t="s">
        <v>10300</v>
      </c>
      <c r="AS510" t="s">
        <v>10301</v>
      </c>
      <c r="AT510" t="s">
        <v>7663</v>
      </c>
      <c r="AU510">
        <v>2020</v>
      </c>
      <c r="AV510">
        <v>18</v>
      </c>
      <c r="AW510">
        <v>6</v>
      </c>
      <c r="AX510" t="s">
        <v>74</v>
      </c>
      <c r="AY510" t="s">
        <v>74</v>
      </c>
      <c r="AZ510" t="s">
        <v>74</v>
      </c>
      <c r="BA510" t="s">
        <v>74</v>
      </c>
      <c r="BB510" t="s">
        <v>74</v>
      </c>
      <c r="BC510" t="s">
        <v>74</v>
      </c>
      <c r="BD510">
        <v>327</v>
      </c>
      <c r="BE510" t="s">
        <v>10302</v>
      </c>
      <c r="BF510" t="str">
        <f>HYPERLINK("http://dx.doi.org/10.3390/md18060327","http://dx.doi.org/10.3390/md18060327")</f>
        <v>http://dx.doi.org/10.3390/md18060327</v>
      </c>
      <c r="BG510" t="s">
        <v>74</v>
      </c>
      <c r="BH510" t="s">
        <v>74</v>
      </c>
      <c r="BI510">
        <v>14</v>
      </c>
      <c r="BJ510" t="s">
        <v>10303</v>
      </c>
      <c r="BK510" t="s">
        <v>102</v>
      </c>
      <c r="BL510" t="s">
        <v>1032</v>
      </c>
      <c r="BM510" t="s">
        <v>10304</v>
      </c>
      <c r="BN510">
        <v>32586020</v>
      </c>
      <c r="BO510" t="s">
        <v>1778</v>
      </c>
      <c r="BP510" t="s">
        <v>74</v>
      </c>
      <c r="BQ510" t="s">
        <v>74</v>
      </c>
      <c r="BR510" t="s">
        <v>106</v>
      </c>
      <c r="BS510" t="s">
        <v>10305</v>
      </c>
      <c r="BT510" t="str">
        <f>HYPERLINK("https%3A%2F%2Fwww.webofscience.com%2Fwos%2Fwoscc%2Ffull-record%2FWOS:000551180900046","View Full Record in Web of Science")</f>
        <v>View Full Record in Web of Science</v>
      </c>
    </row>
    <row r="511" spans="1:72" x14ac:dyDescent="0.15">
      <c r="A511" t="s">
        <v>72</v>
      </c>
      <c r="B511" t="s">
        <v>10306</v>
      </c>
      <c r="C511" t="s">
        <v>74</v>
      </c>
      <c r="D511" t="s">
        <v>74</v>
      </c>
      <c r="E511" t="s">
        <v>74</v>
      </c>
      <c r="F511" t="s">
        <v>10307</v>
      </c>
      <c r="G511" t="s">
        <v>74</v>
      </c>
      <c r="H511" t="s">
        <v>74</v>
      </c>
      <c r="I511" t="s">
        <v>10308</v>
      </c>
      <c r="J511" t="s">
        <v>10286</v>
      </c>
      <c r="K511" t="s">
        <v>74</v>
      </c>
      <c r="L511" t="s">
        <v>74</v>
      </c>
      <c r="M511" t="s">
        <v>78</v>
      </c>
      <c r="N511" t="s">
        <v>9492</v>
      </c>
      <c r="O511" t="s">
        <v>10309</v>
      </c>
      <c r="P511" t="s">
        <v>10310</v>
      </c>
      <c r="Q511" t="s">
        <v>10311</v>
      </c>
      <c r="R511" t="s">
        <v>74</v>
      </c>
      <c r="S511" t="s">
        <v>74</v>
      </c>
      <c r="T511" t="s">
        <v>10312</v>
      </c>
      <c r="U511" t="s">
        <v>10313</v>
      </c>
      <c r="V511" t="s">
        <v>10314</v>
      </c>
      <c r="W511" t="s">
        <v>10315</v>
      </c>
      <c r="X511" t="s">
        <v>10316</v>
      </c>
      <c r="Y511" t="s">
        <v>10317</v>
      </c>
      <c r="Z511" t="s">
        <v>10318</v>
      </c>
      <c r="AA511" t="s">
        <v>10319</v>
      </c>
      <c r="AB511" t="s">
        <v>10320</v>
      </c>
      <c r="AC511" t="s">
        <v>10321</v>
      </c>
      <c r="AD511" t="s">
        <v>10322</v>
      </c>
      <c r="AE511" t="s">
        <v>10323</v>
      </c>
      <c r="AF511" t="s">
        <v>74</v>
      </c>
      <c r="AG511">
        <v>71</v>
      </c>
      <c r="AH511">
        <v>13</v>
      </c>
      <c r="AI511">
        <v>16</v>
      </c>
      <c r="AJ511">
        <v>3</v>
      </c>
      <c r="AK511">
        <v>16</v>
      </c>
      <c r="AL511" t="s">
        <v>4283</v>
      </c>
      <c r="AM511" t="s">
        <v>4284</v>
      </c>
      <c r="AN511" t="s">
        <v>4285</v>
      </c>
      <c r="AO511" t="s">
        <v>74</v>
      </c>
      <c r="AP511" t="s">
        <v>10299</v>
      </c>
      <c r="AQ511" t="s">
        <v>74</v>
      </c>
      <c r="AR511" t="s">
        <v>10300</v>
      </c>
      <c r="AS511" t="s">
        <v>10301</v>
      </c>
      <c r="AT511" t="s">
        <v>7663</v>
      </c>
      <c r="AU511">
        <v>2020</v>
      </c>
      <c r="AV511">
        <v>18</v>
      </c>
      <c r="AW511">
        <v>6</v>
      </c>
      <c r="AX511" t="s">
        <v>74</v>
      </c>
      <c r="AY511" t="s">
        <v>74</v>
      </c>
      <c r="AZ511" t="s">
        <v>74</v>
      </c>
      <c r="BA511" t="s">
        <v>74</v>
      </c>
      <c r="BB511" t="s">
        <v>74</v>
      </c>
      <c r="BC511" t="s">
        <v>74</v>
      </c>
      <c r="BD511">
        <v>298</v>
      </c>
      <c r="BE511" t="s">
        <v>10324</v>
      </c>
      <c r="BF511" t="str">
        <f>HYPERLINK("http://dx.doi.org/10.3390/md18060298","http://dx.doi.org/10.3390/md18060298")</f>
        <v>http://dx.doi.org/10.3390/md18060298</v>
      </c>
      <c r="BG511" t="s">
        <v>74</v>
      </c>
      <c r="BH511" t="s">
        <v>74</v>
      </c>
      <c r="BI511">
        <v>23</v>
      </c>
      <c r="BJ511" t="s">
        <v>10303</v>
      </c>
      <c r="BK511" t="s">
        <v>9555</v>
      </c>
      <c r="BL511" t="s">
        <v>1032</v>
      </c>
      <c r="BM511" t="s">
        <v>10304</v>
      </c>
      <c r="BN511">
        <v>32498449</v>
      </c>
      <c r="BO511" t="s">
        <v>3147</v>
      </c>
      <c r="BP511" t="s">
        <v>74</v>
      </c>
      <c r="BQ511" t="s">
        <v>74</v>
      </c>
      <c r="BR511" t="s">
        <v>106</v>
      </c>
      <c r="BS511" t="s">
        <v>10325</v>
      </c>
      <c r="BT511" t="str">
        <f>HYPERLINK("https%3A%2F%2Fwww.webofscience.com%2Fwos%2Fwoscc%2Ffull-record%2FWOS:000551180900012","View Full Record in Web of Science")</f>
        <v>View Full Record in Web of Science</v>
      </c>
    </row>
    <row r="512" spans="1:72" x14ac:dyDescent="0.15">
      <c r="A512" t="s">
        <v>72</v>
      </c>
      <c r="B512" t="s">
        <v>10326</v>
      </c>
      <c r="C512" t="s">
        <v>74</v>
      </c>
      <c r="D512" t="s">
        <v>74</v>
      </c>
      <c r="E512" t="s">
        <v>74</v>
      </c>
      <c r="F512" t="s">
        <v>10327</v>
      </c>
      <c r="G512" t="s">
        <v>74</v>
      </c>
      <c r="H512" t="s">
        <v>74</v>
      </c>
      <c r="I512" t="s">
        <v>10328</v>
      </c>
      <c r="J512" t="s">
        <v>219</v>
      </c>
      <c r="K512" t="s">
        <v>74</v>
      </c>
      <c r="L512" t="s">
        <v>74</v>
      </c>
      <c r="M512" t="s">
        <v>78</v>
      </c>
      <c r="N512" t="s">
        <v>79</v>
      </c>
      <c r="O512" t="s">
        <v>74</v>
      </c>
      <c r="P512" t="s">
        <v>74</v>
      </c>
      <c r="Q512" t="s">
        <v>74</v>
      </c>
      <c r="R512" t="s">
        <v>74</v>
      </c>
      <c r="S512" t="s">
        <v>74</v>
      </c>
      <c r="T512" t="s">
        <v>10329</v>
      </c>
      <c r="U512" t="s">
        <v>10330</v>
      </c>
      <c r="V512" t="s">
        <v>10331</v>
      </c>
      <c r="W512" t="s">
        <v>10332</v>
      </c>
      <c r="X512" t="s">
        <v>10333</v>
      </c>
      <c r="Y512" t="s">
        <v>2277</v>
      </c>
      <c r="Z512" t="s">
        <v>10334</v>
      </c>
      <c r="AA512" t="s">
        <v>74</v>
      </c>
      <c r="AB512" t="s">
        <v>2279</v>
      </c>
      <c r="AC512" t="s">
        <v>2280</v>
      </c>
      <c r="AD512" t="s">
        <v>2281</v>
      </c>
      <c r="AE512" t="s">
        <v>10335</v>
      </c>
      <c r="AF512" t="s">
        <v>74</v>
      </c>
      <c r="AG512">
        <v>78</v>
      </c>
      <c r="AH512">
        <v>43</v>
      </c>
      <c r="AI512">
        <v>46</v>
      </c>
      <c r="AJ512">
        <v>8</v>
      </c>
      <c r="AK512">
        <v>75</v>
      </c>
      <c r="AL512" t="s">
        <v>92</v>
      </c>
      <c r="AM512" t="s">
        <v>93</v>
      </c>
      <c r="AN512" t="s">
        <v>94</v>
      </c>
      <c r="AO512" t="s">
        <v>232</v>
      </c>
      <c r="AP512" t="s">
        <v>233</v>
      </c>
      <c r="AQ512" t="s">
        <v>74</v>
      </c>
      <c r="AR512" t="s">
        <v>234</v>
      </c>
      <c r="AS512" t="s">
        <v>235</v>
      </c>
      <c r="AT512" t="s">
        <v>7663</v>
      </c>
      <c r="AU512">
        <v>2020</v>
      </c>
      <c r="AV512">
        <v>155</v>
      </c>
      <c r="AW512" t="s">
        <v>74</v>
      </c>
      <c r="AX512" t="s">
        <v>74</v>
      </c>
      <c r="AY512" t="s">
        <v>74</v>
      </c>
      <c r="AZ512" t="s">
        <v>74</v>
      </c>
      <c r="BA512" t="s">
        <v>74</v>
      </c>
      <c r="BB512" t="s">
        <v>74</v>
      </c>
      <c r="BC512" t="s">
        <v>74</v>
      </c>
      <c r="BD512">
        <v>110962</v>
      </c>
      <c r="BE512" t="s">
        <v>10336</v>
      </c>
      <c r="BF512" t="str">
        <f>HYPERLINK("http://dx.doi.org/10.1016/j.marpolbul.2020.110962","http://dx.doi.org/10.1016/j.marpolbul.2020.110962")</f>
        <v>http://dx.doi.org/10.1016/j.marpolbul.2020.110962</v>
      </c>
      <c r="BG512" t="s">
        <v>74</v>
      </c>
      <c r="BH512" t="s">
        <v>74</v>
      </c>
      <c r="BI512">
        <v>12</v>
      </c>
      <c r="BJ512" t="s">
        <v>237</v>
      </c>
      <c r="BK512" t="s">
        <v>102</v>
      </c>
      <c r="BL512" t="s">
        <v>238</v>
      </c>
      <c r="BM512" t="s">
        <v>9994</v>
      </c>
      <c r="BN512">
        <v>32469791</v>
      </c>
      <c r="BO512" t="s">
        <v>448</v>
      </c>
      <c r="BP512" t="s">
        <v>74</v>
      </c>
      <c r="BQ512" t="s">
        <v>74</v>
      </c>
      <c r="BR512" t="s">
        <v>106</v>
      </c>
      <c r="BS512" t="s">
        <v>10337</v>
      </c>
      <c r="BT512" t="str">
        <f>HYPERLINK("https%3A%2F%2Fwww.webofscience.com%2Fwos%2Fwoscc%2Ffull-record%2FWOS:000536184300002","View Full Record in Web of Science")</f>
        <v>View Full Record in Web of Science</v>
      </c>
    </row>
    <row r="513" spans="1:72" x14ac:dyDescent="0.15">
      <c r="A513" t="s">
        <v>72</v>
      </c>
      <c r="B513" t="s">
        <v>10338</v>
      </c>
      <c r="C513" t="s">
        <v>74</v>
      </c>
      <c r="D513" t="s">
        <v>74</v>
      </c>
      <c r="E513" t="s">
        <v>74</v>
      </c>
      <c r="F513" t="s">
        <v>10339</v>
      </c>
      <c r="G513" t="s">
        <v>74</v>
      </c>
      <c r="H513" t="s">
        <v>74</v>
      </c>
      <c r="I513" t="s">
        <v>10340</v>
      </c>
      <c r="J513" t="s">
        <v>8914</v>
      </c>
      <c r="K513" t="s">
        <v>74</v>
      </c>
      <c r="L513" t="s">
        <v>74</v>
      </c>
      <c r="M513" t="s">
        <v>78</v>
      </c>
      <c r="N513" t="s">
        <v>79</v>
      </c>
      <c r="O513" t="s">
        <v>74</v>
      </c>
      <c r="P513" t="s">
        <v>74</v>
      </c>
      <c r="Q513" t="s">
        <v>74</v>
      </c>
      <c r="R513" t="s">
        <v>74</v>
      </c>
      <c r="S513" t="s">
        <v>74</v>
      </c>
      <c r="T513" t="s">
        <v>10341</v>
      </c>
      <c r="U513" t="s">
        <v>10342</v>
      </c>
      <c r="V513" t="s">
        <v>10343</v>
      </c>
      <c r="W513" t="s">
        <v>10344</v>
      </c>
      <c r="X513" t="s">
        <v>10345</v>
      </c>
      <c r="Y513" t="s">
        <v>10346</v>
      </c>
      <c r="Z513" t="s">
        <v>10347</v>
      </c>
      <c r="AA513" t="s">
        <v>10348</v>
      </c>
      <c r="AB513" t="s">
        <v>10349</v>
      </c>
      <c r="AC513" t="s">
        <v>10350</v>
      </c>
      <c r="AD513" t="s">
        <v>10351</v>
      </c>
      <c r="AE513" t="s">
        <v>10352</v>
      </c>
      <c r="AF513" t="s">
        <v>74</v>
      </c>
      <c r="AG513">
        <v>58</v>
      </c>
      <c r="AH513">
        <v>12</v>
      </c>
      <c r="AI513">
        <v>12</v>
      </c>
      <c r="AJ513">
        <v>0</v>
      </c>
      <c r="AK513">
        <v>4</v>
      </c>
      <c r="AL513" t="s">
        <v>4283</v>
      </c>
      <c r="AM513" t="s">
        <v>4284</v>
      </c>
      <c r="AN513" t="s">
        <v>4285</v>
      </c>
      <c r="AO513" t="s">
        <v>74</v>
      </c>
      <c r="AP513" t="s">
        <v>8927</v>
      </c>
      <c r="AQ513" t="s">
        <v>74</v>
      </c>
      <c r="AR513" t="s">
        <v>8914</v>
      </c>
      <c r="AS513" t="s">
        <v>8928</v>
      </c>
      <c r="AT513" t="s">
        <v>7663</v>
      </c>
      <c r="AU513">
        <v>2020</v>
      </c>
      <c r="AV513">
        <v>8</v>
      </c>
      <c r="AW513">
        <v>6</v>
      </c>
      <c r="AX513" t="s">
        <v>74</v>
      </c>
      <c r="AY513" t="s">
        <v>74</v>
      </c>
      <c r="AZ513" t="s">
        <v>74</v>
      </c>
      <c r="BA513" t="s">
        <v>74</v>
      </c>
      <c r="BB513" t="s">
        <v>74</v>
      </c>
      <c r="BC513" t="s">
        <v>74</v>
      </c>
      <c r="BD513">
        <v>942</v>
      </c>
      <c r="BE513" t="s">
        <v>10353</v>
      </c>
      <c r="BF513" t="str">
        <f>HYPERLINK("http://dx.doi.org/10.3390/microorganisms8060942","http://dx.doi.org/10.3390/microorganisms8060942")</f>
        <v>http://dx.doi.org/10.3390/microorganisms8060942</v>
      </c>
      <c r="BG513" t="s">
        <v>74</v>
      </c>
      <c r="BH513" t="s">
        <v>74</v>
      </c>
      <c r="BI513">
        <v>15</v>
      </c>
      <c r="BJ513" t="s">
        <v>2045</v>
      </c>
      <c r="BK513" t="s">
        <v>102</v>
      </c>
      <c r="BL513" t="s">
        <v>2045</v>
      </c>
      <c r="BM513" t="s">
        <v>10354</v>
      </c>
      <c r="BN513">
        <v>32585947</v>
      </c>
      <c r="BO513" t="s">
        <v>1778</v>
      </c>
      <c r="BP513" t="s">
        <v>74</v>
      </c>
      <c r="BQ513" t="s">
        <v>74</v>
      </c>
      <c r="BR513" t="s">
        <v>106</v>
      </c>
      <c r="BS513" t="s">
        <v>10355</v>
      </c>
      <c r="BT513" t="str">
        <f>HYPERLINK("https%3A%2F%2Fwww.webofscience.com%2Fwos%2Fwoscc%2Ffull-record%2FWOS:000549282100001","View Full Record in Web of Science")</f>
        <v>View Full Record in Web of Science</v>
      </c>
    </row>
    <row r="514" spans="1:72" x14ac:dyDescent="0.15">
      <c r="A514" t="s">
        <v>72</v>
      </c>
      <c r="B514" t="s">
        <v>10356</v>
      </c>
      <c r="C514" t="s">
        <v>74</v>
      </c>
      <c r="D514" t="s">
        <v>74</v>
      </c>
      <c r="E514" t="s">
        <v>74</v>
      </c>
      <c r="F514" t="s">
        <v>10357</v>
      </c>
      <c r="G514" t="s">
        <v>74</v>
      </c>
      <c r="H514" t="s">
        <v>74</v>
      </c>
      <c r="I514" t="s">
        <v>10358</v>
      </c>
      <c r="J514" t="s">
        <v>4320</v>
      </c>
      <c r="K514" t="s">
        <v>74</v>
      </c>
      <c r="L514" t="s">
        <v>74</v>
      </c>
      <c r="M514" t="s">
        <v>78</v>
      </c>
      <c r="N514" t="s">
        <v>79</v>
      </c>
      <c r="O514" t="s">
        <v>74</v>
      </c>
      <c r="P514" t="s">
        <v>74</v>
      </c>
      <c r="Q514" t="s">
        <v>74</v>
      </c>
      <c r="R514" t="s">
        <v>74</v>
      </c>
      <c r="S514" t="s">
        <v>74</v>
      </c>
      <c r="T514" t="s">
        <v>10359</v>
      </c>
      <c r="U514" t="s">
        <v>10360</v>
      </c>
      <c r="V514" t="s">
        <v>10361</v>
      </c>
      <c r="W514" t="s">
        <v>10362</v>
      </c>
      <c r="X514" t="s">
        <v>10363</v>
      </c>
      <c r="Y514" t="s">
        <v>10364</v>
      </c>
      <c r="Z514" t="s">
        <v>10365</v>
      </c>
      <c r="AA514" t="s">
        <v>10366</v>
      </c>
      <c r="AB514" t="s">
        <v>10367</v>
      </c>
      <c r="AC514" t="s">
        <v>10368</v>
      </c>
      <c r="AD514" t="s">
        <v>10369</v>
      </c>
      <c r="AE514" t="s">
        <v>10370</v>
      </c>
      <c r="AF514" t="s">
        <v>74</v>
      </c>
      <c r="AG514">
        <v>24</v>
      </c>
      <c r="AH514">
        <v>9</v>
      </c>
      <c r="AI514">
        <v>12</v>
      </c>
      <c r="AJ514">
        <v>3</v>
      </c>
      <c r="AK514">
        <v>15</v>
      </c>
      <c r="AL514" t="s">
        <v>4283</v>
      </c>
      <c r="AM514" t="s">
        <v>4284</v>
      </c>
      <c r="AN514" t="s">
        <v>4285</v>
      </c>
      <c r="AO514" t="s">
        <v>74</v>
      </c>
      <c r="AP514" t="s">
        <v>4333</v>
      </c>
      <c r="AQ514" t="s">
        <v>74</v>
      </c>
      <c r="AR514" t="s">
        <v>4334</v>
      </c>
      <c r="AS514" t="s">
        <v>4335</v>
      </c>
      <c r="AT514" t="s">
        <v>7663</v>
      </c>
      <c r="AU514">
        <v>2020</v>
      </c>
      <c r="AV514">
        <v>10</v>
      </c>
      <c r="AW514">
        <v>6</v>
      </c>
      <c r="AX514" t="s">
        <v>74</v>
      </c>
      <c r="AY514" t="s">
        <v>74</v>
      </c>
      <c r="AZ514" t="s">
        <v>74</v>
      </c>
      <c r="BA514" t="s">
        <v>74</v>
      </c>
      <c r="BB514" t="s">
        <v>74</v>
      </c>
      <c r="BC514" t="s">
        <v>74</v>
      </c>
      <c r="BD514">
        <v>529</v>
      </c>
      <c r="BE514" t="s">
        <v>10371</v>
      </c>
      <c r="BF514" t="str">
        <f>HYPERLINK("http://dx.doi.org/10.3390/min10060529","http://dx.doi.org/10.3390/min10060529")</f>
        <v>http://dx.doi.org/10.3390/min10060529</v>
      </c>
      <c r="BG514" t="s">
        <v>74</v>
      </c>
      <c r="BH514" t="s">
        <v>74</v>
      </c>
      <c r="BI514">
        <v>14</v>
      </c>
      <c r="BJ514" t="s">
        <v>4337</v>
      </c>
      <c r="BK514" t="s">
        <v>102</v>
      </c>
      <c r="BL514" t="s">
        <v>4337</v>
      </c>
      <c r="BM514" t="s">
        <v>10372</v>
      </c>
      <c r="BN514" t="s">
        <v>74</v>
      </c>
      <c r="BO514" t="s">
        <v>105</v>
      </c>
      <c r="BP514" t="s">
        <v>74</v>
      </c>
      <c r="BQ514" t="s">
        <v>74</v>
      </c>
      <c r="BR514" t="s">
        <v>106</v>
      </c>
      <c r="BS514" t="s">
        <v>10373</v>
      </c>
      <c r="BT514" t="str">
        <f>HYPERLINK("https%3A%2F%2Fwww.webofscience.com%2Fwos%2Fwoscc%2Ffull-record%2FWOS:000551097800001","View Full Record in Web of Science")</f>
        <v>View Full Record in Web of Science</v>
      </c>
    </row>
    <row r="515" spans="1:72" x14ac:dyDescent="0.15">
      <c r="A515" t="s">
        <v>72</v>
      </c>
      <c r="B515" t="s">
        <v>10374</v>
      </c>
      <c r="C515" t="s">
        <v>74</v>
      </c>
      <c r="D515" t="s">
        <v>74</v>
      </c>
      <c r="E515" t="s">
        <v>74</v>
      </c>
      <c r="F515" t="s">
        <v>10375</v>
      </c>
      <c r="G515" t="s">
        <v>74</v>
      </c>
      <c r="H515" t="s">
        <v>74</v>
      </c>
      <c r="I515" t="s">
        <v>10376</v>
      </c>
      <c r="J515" t="s">
        <v>10377</v>
      </c>
      <c r="K515" t="s">
        <v>74</v>
      </c>
      <c r="L515" t="s">
        <v>74</v>
      </c>
      <c r="M515" t="s">
        <v>78</v>
      </c>
      <c r="N515" t="s">
        <v>79</v>
      </c>
      <c r="O515" t="s">
        <v>74</v>
      </c>
      <c r="P515" t="s">
        <v>74</v>
      </c>
      <c r="Q515" t="s">
        <v>74</v>
      </c>
      <c r="R515" t="s">
        <v>74</v>
      </c>
      <c r="S515" t="s">
        <v>74</v>
      </c>
      <c r="T515" t="s">
        <v>10378</v>
      </c>
      <c r="U515" t="s">
        <v>10379</v>
      </c>
      <c r="V515" t="s">
        <v>10380</v>
      </c>
      <c r="W515" t="s">
        <v>10381</v>
      </c>
      <c r="X515" t="s">
        <v>10382</v>
      </c>
      <c r="Y515" t="s">
        <v>10383</v>
      </c>
      <c r="Z515" t="s">
        <v>10384</v>
      </c>
      <c r="AA515" t="s">
        <v>10385</v>
      </c>
      <c r="AB515" t="s">
        <v>10386</v>
      </c>
      <c r="AC515" t="s">
        <v>10387</v>
      </c>
      <c r="AD515" t="s">
        <v>688</v>
      </c>
      <c r="AE515" t="s">
        <v>74</v>
      </c>
      <c r="AF515" t="s">
        <v>74</v>
      </c>
      <c r="AG515">
        <v>101</v>
      </c>
      <c r="AH515">
        <v>32</v>
      </c>
      <c r="AI515">
        <v>33</v>
      </c>
      <c r="AJ515">
        <v>1</v>
      </c>
      <c r="AK515">
        <v>30</v>
      </c>
      <c r="AL515" t="s">
        <v>994</v>
      </c>
      <c r="AM515" t="s">
        <v>995</v>
      </c>
      <c r="AN515" t="s">
        <v>996</v>
      </c>
      <c r="AO515" t="s">
        <v>10388</v>
      </c>
      <c r="AP515" t="s">
        <v>10389</v>
      </c>
      <c r="AQ515" t="s">
        <v>74</v>
      </c>
      <c r="AR515" t="s">
        <v>10390</v>
      </c>
      <c r="AS515" t="s">
        <v>10391</v>
      </c>
      <c r="AT515" t="s">
        <v>7663</v>
      </c>
      <c r="AU515">
        <v>2020</v>
      </c>
      <c r="AV515">
        <v>29</v>
      </c>
      <c r="AW515">
        <v>11</v>
      </c>
      <c r="AX515" t="s">
        <v>74</v>
      </c>
      <c r="AY515" t="s">
        <v>74</v>
      </c>
      <c r="AZ515" t="s">
        <v>74</v>
      </c>
      <c r="BA515" t="s">
        <v>74</v>
      </c>
      <c r="BB515">
        <v>2109</v>
      </c>
      <c r="BC515">
        <v>2122</v>
      </c>
      <c r="BD515" t="s">
        <v>74</v>
      </c>
      <c r="BE515" t="s">
        <v>10392</v>
      </c>
      <c r="BF515" t="str">
        <f>HYPERLINK("http://dx.doi.org/10.1111/mec.15385","http://dx.doi.org/10.1111/mec.15385")</f>
        <v>http://dx.doi.org/10.1111/mec.15385</v>
      </c>
      <c r="BG515" t="s">
        <v>74</v>
      </c>
      <c r="BH515" t="s">
        <v>74</v>
      </c>
      <c r="BI515">
        <v>14</v>
      </c>
      <c r="BJ515" t="s">
        <v>10393</v>
      </c>
      <c r="BK515" t="s">
        <v>102</v>
      </c>
      <c r="BL515" t="s">
        <v>10394</v>
      </c>
      <c r="BM515" t="s">
        <v>10395</v>
      </c>
      <c r="BN515">
        <v>32060961</v>
      </c>
      <c r="BO515" t="s">
        <v>8424</v>
      </c>
      <c r="BP515" t="s">
        <v>74</v>
      </c>
      <c r="BQ515" t="s">
        <v>74</v>
      </c>
      <c r="BR515" t="s">
        <v>106</v>
      </c>
      <c r="BS515" t="s">
        <v>10396</v>
      </c>
      <c r="BT515" t="str">
        <f>HYPERLINK("https%3A%2F%2Fwww.webofscience.com%2Fwos%2Fwoscc%2Ffull-record%2FWOS:000543235900014","View Full Record in Web of Science")</f>
        <v>View Full Record in Web of Science</v>
      </c>
    </row>
    <row r="516" spans="1:72" x14ac:dyDescent="0.15">
      <c r="A516" t="s">
        <v>72</v>
      </c>
      <c r="B516" t="s">
        <v>10397</v>
      </c>
      <c r="C516" t="s">
        <v>74</v>
      </c>
      <c r="D516" t="s">
        <v>74</v>
      </c>
      <c r="E516" t="s">
        <v>74</v>
      </c>
      <c r="F516" t="s">
        <v>10398</v>
      </c>
      <c r="G516" t="s">
        <v>74</v>
      </c>
      <c r="H516" t="s">
        <v>74</v>
      </c>
      <c r="I516" t="s">
        <v>10399</v>
      </c>
      <c r="J516" t="s">
        <v>839</v>
      </c>
      <c r="K516" t="s">
        <v>74</v>
      </c>
      <c r="L516" t="s">
        <v>74</v>
      </c>
      <c r="M516" t="s">
        <v>78</v>
      </c>
      <c r="N516" t="s">
        <v>79</v>
      </c>
      <c r="O516" t="s">
        <v>74</v>
      </c>
      <c r="P516" t="s">
        <v>74</v>
      </c>
      <c r="Q516" t="s">
        <v>74</v>
      </c>
      <c r="R516" t="s">
        <v>74</v>
      </c>
      <c r="S516" t="s">
        <v>74</v>
      </c>
      <c r="T516" t="s">
        <v>10400</v>
      </c>
      <c r="U516" t="s">
        <v>10401</v>
      </c>
      <c r="V516" t="s">
        <v>10402</v>
      </c>
      <c r="W516" t="s">
        <v>10403</v>
      </c>
      <c r="X516" t="s">
        <v>10404</v>
      </c>
      <c r="Y516" t="s">
        <v>10405</v>
      </c>
      <c r="Z516" t="s">
        <v>10406</v>
      </c>
      <c r="AA516" t="s">
        <v>10407</v>
      </c>
      <c r="AB516" t="s">
        <v>10408</v>
      </c>
      <c r="AC516" t="s">
        <v>10409</v>
      </c>
      <c r="AD516" t="s">
        <v>10410</v>
      </c>
      <c r="AE516" t="s">
        <v>10411</v>
      </c>
      <c r="AF516" t="s">
        <v>74</v>
      </c>
      <c r="AG516">
        <v>50</v>
      </c>
      <c r="AH516">
        <v>8</v>
      </c>
      <c r="AI516">
        <v>9</v>
      </c>
      <c r="AJ516">
        <v>8</v>
      </c>
      <c r="AK516">
        <v>58</v>
      </c>
      <c r="AL516" t="s">
        <v>398</v>
      </c>
      <c r="AM516" t="s">
        <v>399</v>
      </c>
      <c r="AN516" t="s">
        <v>400</v>
      </c>
      <c r="AO516" t="s">
        <v>849</v>
      </c>
      <c r="AP516" t="s">
        <v>850</v>
      </c>
      <c r="AQ516" t="s">
        <v>74</v>
      </c>
      <c r="AR516" t="s">
        <v>851</v>
      </c>
      <c r="AS516" t="s">
        <v>852</v>
      </c>
      <c r="AT516" t="s">
        <v>9394</v>
      </c>
      <c r="AU516">
        <v>2020</v>
      </c>
      <c r="AV516">
        <v>242</v>
      </c>
      <c r="AW516" t="s">
        <v>74</v>
      </c>
      <c r="AX516" t="s">
        <v>74</v>
      </c>
      <c r="AY516" t="s">
        <v>74</v>
      </c>
      <c r="AZ516" t="s">
        <v>74</v>
      </c>
      <c r="BA516" t="s">
        <v>74</v>
      </c>
      <c r="BB516" t="s">
        <v>74</v>
      </c>
      <c r="BC516" t="s">
        <v>74</v>
      </c>
      <c r="BD516">
        <v>111736</v>
      </c>
      <c r="BE516" t="s">
        <v>10412</v>
      </c>
      <c r="BF516" t="str">
        <f>HYPERLINK("http://dx.doi.org/10.1016/j.rse.2020.111736","http://dx.doi.org/10.1016/j.rse.2020.111736")</f>
        <v>http://dx.doi.org/10.1016/j.rse.2020.111736</v>
      </c>
      <c r="BG516" t="s">
        <v>74</v>
      </c>
      <c r="BH516" t="s">
        <v>74</v>
      </c>
      <c r="BI516">
        <v>12</v>
      </c>
      <c r="BJ516" t="s">
        <v>854</v>
      </c>
      <c r="BK516" t="s">
        <v>102</v>
      </c>
      <c r="BL516" t="s">
        <v>855</v>
      </c>
      <c r="BM516" t="s">
        <v>10413</v>
      </c>
      <c r="BN516" t="s">
        <v>74</v>
      </c>
      <c r="BO516" t="s">
        <v>74</v>
      </c>
      <c r="BP516" t="s">
        <v>74</v>
      </c>
      <c r="BQ516" t="s">
        <v>74</v>
      </c>
      <c r="BR516" t="s">
        <v>106</v>
      </c>
      <c r="BS516" t="s">
        <v>10414</v>
      </c>
      <c r="BT516" t="str">
        <f>HYPERLINK("https%3A%2F%2Fwww.webofscience.com%2Fwos%2Fwoscc%2Ffull-record%2FWOS:000523965600028","View Full Record in Web of Science")</f>
        <v>View Full Record in Web of Science</v>
      </c>
    </row>
    <row r="517" spans="1:72" x14ac:dyDescent="0.15">
      <c r="A517" t="s">
        <v>72</v>
      </c>
      <c r="B517" t="s">
        <v>10415</v>
      </c>
      <c r="C517" t="s">
        <v>74</v>
      </c>
      <c r="D517" t="s">
        <v>74</v>
      </c>
      <c r="E517" t="s">
        <v>74</v>
      </c>
      <c r="F517" t="s">
        <v>10416</v>
      </c>
      <c r="G517" t="s">
        <v>74</v>
      </c>
      <c r="H517" t="s">
        <v>74</v>
      </c>
      <c r="I517" t="s">
        <v>10417</v>
      </c>
      <c r="J517" t="s">
        <v>9297</v>
      </c>
      <c r="K517" t="s">
        <v>74</v>
      </c>
      <c r="L517" t="s">
        <v>74</v>
      </c>
      <c r="M517" t="s">
        <v>78</v>
      </c>
      <c r="N517" t="s">
        <v>79</v>
      </c>
      <c r="O517" t="s">
        <v>74</v>
      </c>
      <c r="P517" t="s">
        <v>74</v>
      </c>
      <c r="Q517" t="s">
        <v>74</v>
      </c>
      <c r="R517" t="s">
        <v>74</v>
      </c>
      <c r="S517" t="s">
        <v>74</v>
      </c>
      <c r="T517" t="s">
        <v>74</v>
      </c>
      <c r="U517" t="s">
        <v>10418</v>
      </c>
      <c r="V517" t="s">
        <v>10419</v>
      </c>
      <c r="W517" t="s">
        <v>10420</v>
      </c>
      <c r="X517" t="s">
        <v>10421</v>
      </c>
      <c r="Y517" t="s">
        <v>10422</v>
      </c>
      <c r="Z517" t="s">
        <v>10423</v>
      </c>
      <c r="AA517" t="s">
        <v>10424</v>
      </c>
      <c r="AB517" t="s">
        <v>10425</v>
      </c>
      <c r="AC517" t="s">
        <v>10426</v>
      </c>
      <c r="AD517" t="s">
        <v>10426</v>
      </c>
      <c r="AE517" t="s">
        <v>10427</v>
      </c>
      <c r="AF517" t="s">
        <v>74</v>
      </c>
      <c r="AG517">
        <v>58</v>
      </c>
      <c r="AH517">
        <v>234</v>
      </c>
      <c r="AI517">
        <v>253</v>
      </c>
      <c r="AJ517">
        <v>20</v>
      </c>
      <c r="AK517">
        <v>154</v>
      </c>
      <c r="AL517" t="s">
        <v>6607</v>
      </c>
      <c r="AM517" t="s">
        <v>152</v>
      </c>
      <c r="AN517" t="s">
        <v>6608</v>
      </c>
      <c r="AO517" t="s">
        <v>9308</v>
      </c>
      <c r="AP517" t="s">
        <v>74</v>
      </c>
      <c r="AQ517" t="s">
        <v>74</v>
      </c>
      <c r="AR517" t="s">
        <v>9309</v>
      </c>
      <c r="AS517" t="s">
        <v>9310</v>
      </c>
      <c r="AT517" t="s">
        <v>7663</v>
      </c>
      <c r="AU517">
        <v>2020</v>
      </c>
      <c r="AV517">
        <v>6</v>
      </c>
      <c r="AW517">
        <v>23</v>
      </c>
      <c r="AX517" t="s">
        <v>74</v>
      </c>
      <c r="AY517" t="s">
        <v>74</v>
      </c>
      <c r="AZ517" t="s">
        <v>74</v>
      </c>
      <c r="BA517" t="s">
        <v>74</v>
      </c>
      <c r="BB517" t="s">
        <v>74</v>
      </c>
      <c r="BC517" t="s">
        <v>74</v>
      </c>
      <c r="BD517" t="s">
        <v>10428</v>
      </c>
      <c r="BE517" t="s">
        <v>10429</v>
      </c>
      <c r="BF517" t="str">
        <f>HYPERLINK("http://dx.doi.org/10.1126/sciadv.aay8493","http://dx.doi.org/10.1126/sciadv.aay8493")</f>
        <v>http://dx.doi.org/10.1126/sciadv.aay8493</v>
      </c>
      <c r="BG517" t="s">
        <v>74</v>
      </c>
      <c r="BH517" t="s">
        <v>74</v>
      </c>
      <c r="BI517">
        <v>8</v>
      </c>
      <c r="BJ517" t="s">
        <v>1125</v>
      </c>
      <c r="BK517" t="s">
        <v>102</v>
      </c>
      <c r="BL517" t="s">
        <v>1126</v>
      </c>
      <c r="BM517" t="s">
        <v>10430</v>
      </c>
      <c r="BN517">
        <v>32548254</v>
      </c>
      <c r="BO517" t="s">
        <v>1778</v>
      </c>
      <c r="BP517" t="s">
        <v>162</v>
      </c>
      <c r="BQ517" t="s">
        <v>163</v>
      </c>
      <c r="BR517" t="s">
        <v>106</v>
      </c>
      <c r="BS517" t="s">
        <v>10431</v>
      </c>
      <c r="BT517" t="str">
        <f>HYPERLINK("https%3A%2F%2Fwww.webofscience.com%2Fwos%2Fwoscc%2Ffull-record%2FWOS:000540787200007","View Full Record in Web of Science")</f>
        <v>View Full Record in Web of Science</v>
      </c>
    </row>
    <row r="518" spans="1:72" x14ac:dyDescent="0.15">
      <c r="A518" t="s">
        <v>72</v>
      </c>
      <c r="B518" t="s">
        <v>10432</v>
      </c>
      <c r="C518" t="s">
        <v>74</v>
      </c>
      <c r="D518" t="s">
        <v>74</v>
      </c>
      <c r="E518" t="s">
        <v>74</v>
      </c>
      <c r="F518" t="s">
        <v>10433</v>
      </c>
      <c r="G518" t="s">
        <v>74</v>
      </c>
      <c r="H518" t="s">
        <v>74</v>
      </c>
      <c r="I518" t="s">
        <v>10434</v>
      </c>
      <c r="J518" t="s">
        <v>4652</v>
      </c>
      <c r="K518" t="s">
        <v>74</v>
      </c>
      <c r="L518" t="s">
        <v>74</v>
      </c>
      <c r="M518" t="s">
        <v>78</v>
      </c>
      <c r="N518" t="s">
        <v>245</v>
      </c>
      <c r="O518" t="s">
        <v>74</v>
      </c>
      <c r="P518" t="s">
        <v>74</v>
      </c>
      <c r="Q518" t="s">
        <v>74</v>
      </c>
      <c r="R518" t="s">
        <v>74</v>
      </c>
      <c r="S518" t="s">
        <v>74</v>
      </c>
      <c r="T518" t="s">
        <v>10435</v>
      </c>
      <c r="U518" t="s">
        <v>10436</v>
      </c>
      <c r="V518" t="s">
        <v>10437</v>
      </c>
      <c r="W518" t="s">
        <v>10438</v>
      </c>
      <c r="X518" t="s">
        <v>9301</v>
      </c>
      <c r="Y518" t="s">
        <v>10439</v>
      </c>
      <c r="Z518" t="s">
        <v>10440</v>
      </c>
      <c r="AA518" t="s">
        <v>74</v>
      </c>
      <c r="AB518" t="s">
        <v>10441</v>
      </c>
      <c r="AC518" t="s">
        <v>74</v>
      </c>
      <c r="AD518" t="s">
        <v>74</v>
      </c>
      <c r="AE518" t="s">
        <v>74</v>
      </c>
      <c r="AF518" t="s">
        <v>74</v>
      </c>
      <c r="AG518">
        <v>36</v>
      </c>
      <c r="AH518">
        <v>4</v>
      </c>
      <c r="AI518">
        <v>4</v>
      </c>
      <c r="AJ518">
        <v>1</v>
      </c>
      <c r="AK518">
        <v>21</v>
      </c>
      <c r="AL518" t="s">
        <v>4283</v>
      </c>
      <c r="AM518" t="s">
        <v>4284</v>
      </c>
      <c r="AN518" t="s">
        <v>4285</v>
      </c>
      <c r="AO518" t="s">
        <v>74</v>
      </c>
      <c r="AP518" t="s">
        <v>4665</v>
      </c>
      <c r="AQ518" t="s">
        <v>74</v>
      </c>
      <c r="AR518" t="s">
        <v>4666</v>
      </c>
      <c r="AS518" t="s">
        <v>4667</v>
      </c>
      <c r="AT518" t="s">
        <v>7663</v>
      </c>
      <c r="AU518">
        <v>2020</v>
      </c>
      <c r="AV518">
        <v>12</v>
      </c>
      <c r="AW518">
        <v>11</v>
      </c>
      <c r="AX518" t="s">
        <v>74</v>
      </c>
      <c r="AY518" t="s">
        <v>74</v>
      </c>
      <c r="AZ518" t="s">
        <v>74</v>
      </c>
      <c r="BA518" t="s">
        <v>74</v>
      </c>
      <c r="BB518" t="s">
        <v>74</v>
      </c>
      <c r="BC518" t="s">
        <v>74</v>
      </c>
      <c r="BD518">
        <v>4518</v>
      </c>
      <c r="BE518" t="s">
        <v>10442</v>
      </c>
      <c r="BF518" t="str">
        <f>HYPERLINK("http://dx.doi.org/10.3390/su12114518","http://dx.doi.org/10.3390/su12114518")</f>
        <v>http://dx.doi.org/10.3390/su12114518</v>
      </c>
      <c r="BG518" t="s">
        <v>74</v>
      </c>
      <c r="BH518" t="s">
        <v>74</v>
      </c>
      <c r="BI518">
        <v>8</v>
      </c>
      <c r="BJ518" t="s">
        <v>1751</v>
      </c>
      <c r="BK518" t="s">
        <v>925</v>
      </c>
      <c r="BL518" t="s">
        <v>1752</v>
      </c>
      <c r="BM518" t="s">
        <v>10443</v>
      </c>
      <c r="BN518" t="s">
        <v>74</v>
      </c>
      <c r="BO518" t="s">
        <v>1778</v>
      </c>
      <c r="BP518" t="s">
        <v>74</v>
      </c>
      <c r="BQ518" t="s">
        <v>74</v>
      </c>
      <c r="BR518" t="s">
        <v>106</v>
      </c>
      <c r="BS518" t="s">
        <v>10444</v>
      </c>
      <c r="BT518" t="str">
        <f>HYPERLINK("https%3A%2F%2Fwww.webofscience.com%2Fwos%2Fwoscc%2Ffull-record%2FWOS:000543391800181","View Full Record in Web of Science")</f>
        <v>View Full Record in Web of Science</v>
      </c>
    </row>
    <row r="519" spans="1:72" x14ac:dyDescent="0.15">
      <c r="A519" t="s">
        <v>72</v>
      </c>
      <c r="B519" t="s">
        <v>10445</v>
      </c>
      <c r="C519" t="s">
        <v>74</v>
      </c>
      <c r="D519" t="s">
        <v>74</v>
      </c>
      <c r="E519" t="s">
        <v>74</v>
      </c>
      <c r="F519" t="s">
        <v>10446</v>
      </c>
      <c r="G519" t="s">
        <v>74</v>
      </c>
      <c r="H519" t="s">
        <v>74</v>
      </c>
      <c r="I519" t="s">
        <v>10447</v>
      </c>
      <c r="J519" t="s">
        <v>2785</v>
      </c>
      <c r="K519" t="s">
        <v>74</v>
      </c>
      <c r="L519" t="s">
        <v>74</v>
      </c>
      <c r="M519" t="s">
        <v>78</v>
      </c>
      <c r="N519" t="s">
        <v>79</v>
      </c>
      <c r="O519" t="s">
        <v>74</v>
      </c>
      <c r="P519" t="s">
        <v>74</v>
      </c>
      <c r="Q519" t="s">
        <v>74</v>
      </c>
      <c r="R519" t="s">
        <v>74</v>
      </c>
      <c r="S519" t="s">
        <v>74</v>
      </c>
      <c r="T519" t="s">
        <v>10448</v>
      </c>
      <c r="U519" t="s">
        <v>10449</v>
      </c>
      <c r="V519" t="s">
        <v>10450</v>
      </c>
      <c r="W519" t="s">
        <v>10451</v>
      </c>
      <c r="X519" t="s">
        <v>10452</v>
      </c>
      <c r="Y519" t="s">
        <v>10453</v>
      </c>
      <c r="Z519" t="s">
        <v>10454</v>
      </c>
      <c r="AA519" t="s">
        <v>10455</v>
      </c>
      <c r="AB519" t="s">
        <v>10456</v>
      </c>
      <c r="AC519" t="s">
        <v>10457</v>
      </c>
      <c r="AD519" t="s">
        <v>10458</v>
      </c>
      <c r="AE519" t="s">
        <v>10459</v>
      </c>
      <c r="AF519" t="s">
        <v>74</v>
      </c>
      <c r="AG519">
        <v>59</v>
      </c>
      <c r="AH519">
        <v>4</v>
      </c>
      <c r="AI519">
        <v>4</v>
      </c>
      <c r="AJ519">
        <v>0</v>
      </c>
      <c r="AK519">
        <v>1</v>
      </c>
      <c r="AL519" t="s">
        <v>92</v>
      </c>
      <c r="AM519" t="s">
        <v>93</v>
      </c>
      <c r="AN519" t="s">
        <v>94</v>
      </c>
      <c r="AO519" t="s">
        <v>2797</v>
      </c>
      <c r="AP519" t="s">
        <v>74</v>
      </c>
      <c r="AQ519" t="s">
        <v>74</v>
      </c>
      <c r="AR519" t="s">
        <v>2799</v>
      </c>
      <c r="AS519" t="s">
        <v>2800</v>
      </c>
      <c r="AT519" t="s">
        <v>9394</v>
      </c>
      <c r="AU519">
        <v>2020</v>
      </c>
      <c r="AV519">
        <v>237</v>
      </c>
      <c r="AW519" t="s">
        <v>74</v>
      </c>
      <c r="AX519" t="s">
        <v>74</v>
      </c>
      <c r="AY519" t="s">
        <v>74</v>
      </c>
      <c r="AZ519" t="s">
        <v>74</v>
      </c>
      <c r="BA519" t="s">
        <v>74</v>
      </c>
      <c r="BB519" t="s">
        <v>74</v>
      </c>
      <c r="BC519" t="s">
        <v>74</v>
      </c>
      <c r="BD519">
        <v>106305</v>
      </c>
      <c r="BE519" t="s">
        <v>10460</v>
      </c>
      <c r="BF519" t="str">
        <f>HYPERLINK("http://dx.doi.org/10.1016/j.quascirev.2020.106305","http://dx.doi.org/10.1016/j.quascirev.2020.106305")</f>
        <v>http://dx.doi.org/10.1016/j.quascirev.2020.106305</v>
      </c>
      <c r="BG519" t="s">
        <v>74</v>
      </c>
      <c r="BH519" t="s">
        <v>74</v>
      </c>
      <c r="BI519">
        <v>13</v>
      </c>
      <c r="BJ519" t="s">
        <v>694</v>
      </c>
      <c r="BK519" t="s">
        <v>102</v>
      </c>
      <c r="BL519" t="s">
        <v>695</v>
      </c>
      <c r="BM519" t="s">
        <v>10461</v>
      </c>
      <c r="BN519" t="s">
        <v>74</v>
      </c>
      <c r="BO519" t="s">
        <v>74</v>
      </c>
      <c r="BP519" t="s">
        <v>74</v>
      </c>
      <c r="BQ519" t="s">
        <v>74</v>
      </c>
      <c r="BR519" t="s">
        <v>106</v>
      </c>
      <c r="BS519" t="s">
        <v>10462</v>
      </c>
      <c r="BT519" t="str">
        <f>HYPERLINK("https%3A%2F%2Fwww.webofscience.com%2Fwos%2Fwoscc%2Ffull-record%2FWOS:000533150700006","View Full Record in Web of Science")</f>
        <v>View Full Record in Web of Science</v>
      </c>
    </row>
    <row r="520" spans="1:72" x14ac:dyDescent="0.15">
      <c r="A520" t="s">
        <v>72</v>
      </c>
      <c r="B520" t="s">
        <v>10463</v>
      </c>
      <c r="C520" t="s">
        <v>74</v>
      </c>
      <c r="D520" t="s">
        <v>74</v>
      </c>
      <c r="E520" t="s">
        <v>74</v>
      </c>
      <c r="F520" t="s">
        <v>10464</v>
      </c>
      <c r="G520" t="s">
        <v>74</v>
      </c>
      <c r="H520" t="s">
        <v>74</v>
      </c>
      <c r="I520" t="s">
        <v>10465</v>
      </c>
      <c r="J520" t="s">
        <v>2785</v>
      </c>
      <c r="K520" t="s">
        <v>74</v>
      </c>
      <c r="L520" t="s">
        <v>74</v>
      </c>
      <c r="M520" t="s">
        <v>78</v>
      </c>
      <c r="N520" t="s">
        <v>79</v>
      </c>
      <c r="O520" t="s">
        <v>74</v>
      </c>
      <c r="P520" t="s">
        <v>74</v>
      </c>
      <c r="Q520" t="s">
        <v>74</v>
      </c>
      <c r="R520" t="s">
        <v>74</v>
      </c>
      <c r="S520" t="s">
        <v>74</v>
      </c>
      <c r="T520" t="s">
        <v>10466</v>
      </c>
      <c r="U520" t="s">
        <v>10467</v>
      </c>
      <c r="V520" t="s">
        <v>10468</v>
      </c>
      <c r="W520" t="s">
        <v>10469</v>
      </c>
      <c r="X520" t="s">
        <v>10470</v>
      </c>
      <c r="Y520" t="s">
        <v>10471</v>
      </c>
      <c r="Z520" t="s">
        <v>10472</v>
      </c>
      <c r="AA520" t="s">
        <v>10473</v>
      </c>
      <c r="AB520" t="s">
        <v>10474</v>
      </c>
      <c r="AC520" t="s">
        <v>10475</v>
      </c>
      <c r="AD520" t="s">
        <v>10476</v>
      </c>
      <c r="AE520" t="s">
        <v>10477</v>
      </c>
      <c r="AF520" t="s">
        <v>74</v>
      </c>
      <c r="AG520">
        <v>99</v>
      </c>
      <c r="AH520">
        <v>12</v>
      </c>
      <c r="AI520">
        <v>12</v>
      </c>
      <c r="AJ520">
        <v>0</v>
      </c>
      <c r="AK520">
        <v>12</v>
      </c>
      <c r="AL520" t="s">
        <v>92</v>
      </c>
      <c r="AM520" t="s">
        <v>93</v>
      </c>
      <c r="AN520" t="s">
        <v>94</v>
      </c>
      <c r="AO520" t="s">
        <v>2797</v>
      </c>
      <c r="AP520" t="s">
        <v>2798</v>
      </c>
      <c r="AQ520" t="s">
        <v>74</v>
      </c>
      <c r="AR520" t="s">
        <v>2799</v>
      </c>
      <c r="AS520" t="s">
        <v>2800</v>
      </c>
      <c r="AT520" t="s">
        <v>9394</v>
      </c>
      <c r="AU520">
        <v>2020</v>
      </c>
      <c r="AV520">
        <v>237</v>
      </c>
      <c r="AW520" t="s">
        <v>74</v>
      </c>
      <c r="AX520" t="s">
        <v>74</v>
      </c>
      <c r="AY520" t="s">
        <v>74</v>
      </c>
      <c r="AZ520" t="s">
        <v>74</v>
      </c>
      <c r="BA520" t="s">
        <v>74</v>
      </c>
      <c r="BB520" t="s">
        <v>74</v>
      </c>
      <c r="BC520" t="s">
        <v>74</v>
      </c>
      <c r="BD520">
        <v>106307</v>
      </c>
      <c r="BE520" t="s">
        <v>10478</v>
      </c>
      <c r="BF520" t="str">
        <f>HYPERLINK("http://dx.doi.org/10.1016/j.quascirev.2020.106307","http://dx.doi.org/10.1016/j.quascirev.2020.106307")</f>
        <v>http://dx.doi.org/10.1016/j.quascirev.2020.106307</v>
      </c>
      <c r="BG520" t="s">
        <v>74</v>
      </c>
      <c r="BH520" t="s">
        <v>74</v>
      </c>
      <c r="BI520">
        <v>15</v>
      </c>
      <c r="BJ520" t="s">
        <v>694</v>
      </c>
      <c r="BK520" t="s">
        <v>102</v>
      </c>
      <c r="BL520" t="s">
        <v>695</v>
      </c>
      <c r="BM520" t="s">
        <v>10461</v>
      </c>
      <c r="BN520" t="s">
        <v>74</v>
      </c>
      <c r="BO520" t="s">
        <v>74</v>
      </c>
      <c r="BP520" t="s">
        <v>74</v>
      </c>
      <c r="BQ520" t="s">
        <v>74</v>
      </c>
      <c r="BR520" t="s">
        <v>106</v>
      </c>
      <c r="BS520" t="s">
        <v>10479</v>
      </c>
      <c r="BT520" t="str">
        <f>HYPERLINK("https%3A%2F%2Fwww.webofscience.com%2Fwos%2Fwoscc%2Ffull-record%2FWOS:000533150700002","View Full Record in Web of Science")</f>
        <v>View Full Record in Web of Science</v>
      </c>
    </row>
    <row r="521" spans="1:72" x14ac:dyDescent="0.15">
      <c r="A521" t="s">
        <v>72</v>
      </c>
      <c r="B521" t="s">
        <v>10480</v>
      </c>
      <c r="C521" t="s">
        <v>74</v>
      </c>
      <c r="D521" t="s">
        <v>74</v>
      </c>
      <c r="E521" t="s">
        <v>74</v>
      </c>
      <c r="F521" t="s">
        <v>10481</v>
      </c>
      <c r="G521" t="s">
        <v>74</v>
      </c>
      <c r="H521" t="s">
        <v>74</v>
      </c>
      <c r="I521" t="s">
        <v>10482</v>
      </c>
      <c r="J521" t="s">
        <v>2785</v>
      </c>
      <c r="K521" t="s">
        <v>74</v>
      </c>
      <c r="L521" t="s">
        <v>74</v>
      </c>
      <c r="M521" t="s">
        <v>78</v>
      </c>
      <c r="N521" t="s">
        <v>79</v>
      </c>
      <c r="O521" t="s">
        <v>74</v>
      </c>
      <c r="P521" t="s">
        <v>74</v>
      </c>
      <c r="Q521" t="s">
        <v>74</v>
      </c>
      <c r="R521" t="s">
        <v>74</v>
      </c>
      <c r="S521" t="s">
        <v>74</v>
      </c>
      <c r="T521" t="s">
        <v>10483</v>
      </c>
      <c r="U521" t="s">
        <v>10484</v>
      </c>
      <c r="V521" t="s">
        <v>10485</v>
      </c>
      <c r="W521" t="s">
        <v>10486</v>
      </c>
      <c r="X521" t="s">
        <v>10487</v>
      </c>
      <c r="Y521" t="s">
        <v>10488</v>
      </c>
      <c r="Z521" t="s">
        <v>10489</v>
      </c>
      <c r="AA521" t="s">
        <v>10490</v>
      </c>
      <c r="AB521" t="s">
        <v>10491</v>
      </c>
      <c r="AC521" t="s">
        <v>10492</v>
      </c>
      <c r="AD521" t="s">
        <v>10493</v>
      </c>
      <c r="AE521" t="s">
        <v>10494</v>
      </c>
      <c r="AF521" t="s">
        <v>74</v>
      </c>
      <c r="AG521">
        <v>77</v>
      </c>
      <c r="AH521">
        <v>22</v>
      </c>
      <c r="AI521">
        <v>23</v>
      </c>
      <c r="AJ521">
        <v>1</v>
      </c>
      <c r="AK521">
        <v>27</v>
      </c>
      <c r="AL521" t="s">
        <v>92</v>
      </c>
      <c r="AM521" t="s">
        <v>93</v>
      </c>
      <c r="AN521" t="s">
        <v>94</v>
      </c>
      <c r="AO521" t="s">
        <v>2797</v>
      </c>
      <c r="AP521" t="s">
        <v>74</v>
      </c>
      <c r="AQ521" t="s">
        <v>74</v>
      </c>
      <c r="AR521" t="s">
        <v>2799</v>
      </c>
      <c r="AS521" t="s">
        <v>2800</v>
      </c>
      <c r="AT521" t="s">
        <v>9394</v>
      </c>
      <c r="AU521">
        <v>2020</v>
      </c>
      <c r="AV521">
        <v>237</v>
      </c>
      <c r="AW521" t="s">
        <v>74</v>
      </c>
      <c r="AX521" t="s">
        <v>74</v>
      </c>
      <c r="AY521" t="s">
        <v>74</v>
      </c>
      <c r="AZ521" t="s">
        <v>74</v>
      </c>
      <c r="BA521" t="s">
        <v>74</v>
      </c>
      <c r="BB521" t="s">
        <v>74</v>
      </c>
      <c r="BC521" t="s">
        <v>74</v>
      </c>
      <c r="BD521">
        <v>106299</v>
      </c>
      <c r="BE521" t="s">
        <v>10495</v>
      </c>
      <c r="BF521" t="str">
        <f>HYPERLINK("http://dx.doi.org/10.1016/j.quascirev.2020.106299","http://dx.doi.org/10.1016/j.quascirev.2020.106299")</f>
        <v>http://dx.doi.org/10.1016/j.quascirev.2020.106299</v>
      </c>
      <c r="BG521" t="s">
        <v>74</v>
      </c>
      <c r="BH521" t="s">
        <v>74</v>
      </c>
      <c r="BI521">
        <v>15</v>
      </c>
      <c r="BJ521" t="s">
        <v>694</v>
      </c>
      <c r="BK521" t="s">
        <v>102</v>
      </c>
      <c r="BL521" t="s">
        <v>695</v>
      </c>
      <c r="BM521" t="s">
        <v>10461</v>
      </c>
      <c r="BN521" t="s">
        <v>74</v>
      </c>
      <c r="BO521" t="s">
        <v>976</v>
      </c>
      <c r="BP521" t="s">
        <v>74</v>
      </c>
      <c r="BQ521" t="s">
        <v>74</v>
      </c>
      <c r="BR521" t="s">
        <v>106</v>
      </c>
      <c r="BS521" t="s">
        <v>10496</v>
      </c>
      <c r="BT521" t="str">
        <f>HYPERLINK("https%3A%2F%2Fwww.webofscience.com%2Fwos%2Fwoscc%2Ffull-record%2FWOS:000533150700011","View Full Record in Web of Science")</f>
        <v>View Full Record in Web of Science</v>
      </c>
    </row>
    <row r="522" spans="1:72" x14ac:dyDescent="0.15">
      <c r="A522" t="s">
        <v>72</v>
      </c>
      <c r="B522" t="s">
        <v>10497</v>
      </c>
      <c r="C522" t="s">
        <v>74</v>
      </c>
      <c r="D522" t="s">
        <v>74</v>
      </c>
      <c r="E522" t="s">
        <v>74</v>
      </c>
      <c r="F522" t="s">
        <v>10498</v>
      </c>
      <c r="G522" t="s">
        <v>74</v>
      </c>
      <c r="H522" t="s">
        <v>74</v>
      </c>
      <c r="I522" t="s">
        <v>10499</v>
      </c>
      <c r="J522" t="s">
        <v>8270</v>
      </c>
      <c r="K522" t="s">
        <v>74</v>
      </c>
      <c r="L522" t="s">
        <v>74</v>
      </c>
      <c r="M522" t="s">
        <v>78</v>
      </c>
      <c r="N522" t="s">
        <v>79</v>
      </c>
      <c r="O522" t="s">
        <v>74</v>
      </c>
      <c r="P522" t="s">
        <v>74</v>
      </c>
      <c r="Q522" t="s">
        <v>74</v>
      </c>
      <c r="R522" t="s">
        <v>74</v>
      </c>
      <c r="S522" t="s">
        <v>74</v>
      </c>
      <c r="T522" t="s">
        <v>10500</v>
      </c>
      <c r="U522" t="s">
        <v>10501</v>
      </c>
      <c r="V522" t="s">
        <v>10502</v>
      </c>
      <c r="W522" t="s">
        <v>10503</v>
      </c>
      <c r="X522" t="s">
        <v>10504</v>
      </c>
      <c r="Y522" t="s">
        <v>10505</v>
      </c>
      <c r="Z522" t="s">
        <v>10506</v>
      </c>
      <c r="AA522" t="s">
        <v>74</v>
      </c>
      <c r="AB522" t="s">
        <v>10507</v>
      </c>
      <c r="AC522" t="s">
        <v>74</v>
      </c>
      <c r="AD522" t="s">
        <v>74</v>
      </c>
      <c r="AE522" t="s">
        <v>74</v>
      </c>
      <c r="AF522" t="s">
        <v>74</v>
      </c>
      <c r="AG522">
        <v>40</v>
      </c>
      <c r="AH522">
        <v>8</v>
      </c>
      <c r="AI522">
        <v>8</v>
      </c>
      <c r="AJ522">
        <v>1</v>
      </c>
      <c r="AK522">
        <v>27</v>
      </c>
      <c r="AL522" t="s">
        <v>4638</v>
      </c>
      <c r="AM522" t="s">
        <v>399</v>
      </c>
      <c r="AN522" t="s">
        <v>4867</v>
      </c>
      <c r="AO522" t="s">
        <v>8274</v>
      </c>
      <c r="AP522" t="s">
        <v>8275</v>
      </c>
      <c r="AQ522" t="s">
        <v>74</v>
      </c>
      <c r="AR522" t="s">
        <v>8276</v>
      </c>
      <c r="AS522" t="s">
        <v>8277</v>
      </c>
      <c r="AT522" t="s">
        <v>7663</v>
      </c>
      <c r="AU522">
        <v>2020</v>
      </c>
      <c r="AV522">
        <v>32</v>
      </c>
      <c r="AW522">
        <v>3</v>
      </c>
      <c r="AX522" t="s">
        <v>74</v>
      </c>
      <c r="AY522" t="s">
        <v>74</v>
      </c>
      <c r="AZ522" t="s">
        <v>74</v>
      </c>
      <c r="BA522" t="s">
        <v>74</v>
      </c>
      <c r="BB522">
        <v>168</v>
      </c>
      <c r="BC522">
        <v>179</v>
      </c>
      <c r="BD522" t="s">
        <v>10508</v>
      </c>
      <c r="BE522" t="s">
        <v>10509</v>
      </c>
      <c r="BF522" t="str">
        <f>HYPERLINK("http://dx.doi.org/10.1017/S0954102019000579","http://dx.doi.org/10.1017/S0954102019000579")</f>
        <v>http://dx.doi.org/10.1017/S0954102019000579</v>
      </c>
      <c r="BG522" t="s">
        <v>74</v>
      </c>
      <c r="BH522" t="s">
        <v>74</v>
      </c>
      <c r="BI522">
        <v>12</v>
      </c>
      <c r="BJ522" t="s">
        <v>8279</v>
      </c>
      <c r="BK522" t="s">
        <v>102</v>
      </c>
      <c r="BL522" t="s">
        <v>8280</v>
      </c>
      <c r="BM522" t="s">
        <v>8281</v>
      </c>
      <c r="BN522" t="s">
        <v>74</v>
      </c>
      <c r="BO522" t="s">
        <v>74</v>
      </c>
      <c r="BP522" t="s">
        <v>74</v>
      </c>
      <c r="BQ522" t="s">
        <v>74</v>
      </c>
      <c r="BR522" t="s">
        <v>106</v>
      </c>
      <c r="BS522" t="s">
        <v>10510</v>
      </c>
      <c r="BT522" t="str">
        <f>HYPERLINK("https%3A%2F%2Fwww.webofscience.com%2Fwos%2Fwoscc%2Ffull-record%2FWOS:000532284500002","View Full Record in Web of Science")</f>
        <v>View Full Record in Web of Science</v>
      </c>
    </row>
    <row r="523" spans="1:72" x14ac:dyDescent="0.15">
      <c r="A523" t="s">
        <v>72</v>
      </c>
      <c r="B523" t="s">
        <v>10511</v>
      </c>
      <c r="C523" t="s">
        <v>74</v>
      </c>
      <c r="D523" t="s">
        <v>74</v>
      </c>
      <c r="E523" t="s">
        <v>74</v>
      </c>
      <c r="F523" t="s">
        <v>10512</v>
      </c>
      <c r="G523" t="s">
        <v>74</v>
      </c>
      <c r="H523" t="s">
        <v>74</v>
      </c>
      <c r="I523" t="s">
        <v>10513</v>
      </c>
      <c r="J523" t="s">
        <v>8270</v>
      </c>
      <c r="K523" t="s">
        <v>74</v>
      </c>
      <c r="L523" t="s">
        <v>74</v>
      </c>
      <c r="M523" t="s">
        <v>78</v>
      </c>
      <c r="N523" t="s">
        <v>79</v>
      </c>
      <c r="O523" t="s">
        <v>74</v>
      </c>
      <c r="P523" t="s">
        <v>74</v>
      </c>
      <c r="Q523" t="s">
        <v>74</v>
      </c>
      <c r="R523" t="s">
        <v>74</v>
      </c>
      <c r="S523" t="s">
        <v>74</v>
      </c>
      <c r="T523" t="s">
        <v>10514</v>
      </c>
      <c r="U523" t="s">
        <v>10515</v>
      </c>
      <c r="V523" t="s">
        <v>10516</v>
      </c>
      <c r="W523" t="s">
        <v>10517</v>
      </c>
      <c r="X523" t="s">
        <v>74</v>
      </c>
      <c r="Y523" t="s">
        <v>10518</v>
      </c>
      <c r="Z523" t="s">
        <v>10519</v>
      </c>
      <c r="AA523" t="s">
        <v>74</v>
      </c>
      <c r="AB523" t="s">
        <v>10520</v>
      </c>
      <c r="AC523" t="s">
        <v>10521</v>
      </c>
      <c r="AD523" t="s">
        <v>10522</v>
      </c>
      <c r="AE523" t="s">
        <v>10523</v>
      </c>
      <c r="AF523" t="s">
        <v>74</v>
      </c>
      <c r="AG523">
        <v>28</v>
      </c>
      <c r="AH523">
        <v>3</v>
      </c>
      <c r="AI523">
        <v>4</v>
      </c>
      <c r="AJ523">
        <v>3</v>
      </c>
      <c r="AK523">
        <v>42</v>
      </c>
      <c r="AL523" t="s">
        <v>4638</v>
      </c>
      <c r="AM523" t="s">
        <v>399</v>
      </c>
      <c r="AN523" t="s">
        <v>4867</v>
      </c>
      <c r="AO523" t="s">
        <v>8274</v>
      </c>
      <c r="AP523" t="s">
        <v>8275</v>
      </c>
      <c r="AQ523" t="s">
        <v>74</v>
      </c>
      <c r="AR523" t="s">
        <v>8276</v>
      </c>
      <c r="AS523" t="s">
        <v>8277</v>
      </c>
      <c r="AT523" t="s">
        <v>7663</v>
      </c>
      <c r="AU523">
        <v>2020</v>
      </c>
      <c r="AV523">
        <v>32</v>
      </c>
      <c r="AW523">
        <v>3</v>
      </c>
      <c r="AX523" t="s">
        <v>74</v>
      </c>
      <c r="AY523" t="s">
        <v>74</v>
      </c>
      <c r="AZ523" t="s">
        <v>74</v>
      </c>
      <c r="BA523" t="s">
        <v>74</v>
      </c>
      <c r="BB523">
        <v>180</v>
      </c>
      <c r="BC523">
        <v>185</v>
      </c>
      <c r="BD523" t="s">
        <v>10524</v>
      </c>
      <c r="BE523" t="s">
        <v>10525</v>
      </c>
      <c r="BF523" t="str">
        <f>HYPERLINK("http://dx.doi.org/10.1017/S0954102020000048","http://dx.doi.org/10.1017/S0954102020000048")</f>
        <v>http://dx.doi.org/10.1017/S0954102020000048</v>
      </c>
      <c r="BG523" t="s">
        <v>74</v>
      </c>
      <c r="BH523" t="s">
        <v>74</v>
      </c>
      <c r="BI523">
        <v>6</v>
      </c>
      <c r="BJ523" t="s">
        <v>8279</v>
      </c>
      <c r="BK523" t="s">
        <v>102</v>
      </c>
      <c r="BL523" t="s">
        <v>8280</v>
      </c>
      <c r="BM523" t="s">
        <v>8281</v>
      </c>
      <c r="BN523" t="s">
        <v>74</v>
      </c>
      <c r="BO523" t="s">
        <v>189</v>
      </c>
      <c r="BP523" t="s">
        <v>74</v>
      </c>
      <c r="BQ523" t="s">
        <v>74</v>
      </c>
      <c r="BR523" t="s">
        <v>106</v>
      </c>
      <c r="BS523" t="s">
        <v>10526</v>
      </c>
      <c r="BT523" t="str">
        <f>HYPERLINK("https%3A%2F%2Fwww.webofscience.com%2Fwos%2Fwoscc%2Ffull-record%2FWOS:000532284500003","View Full Record in Web of Science")</f>
        <v>View Full Record in Web of Science</v>
      </c>
    </row>
    <row r="524" spans="1:72" x14ac:dyDescent="0.15">
      <c r="A524" t="s">
        <v>72</v>
      </c>
      <c r="B524" t="s">
        <v>10527</v>
      </c>
      <c r="C524" t="s">
        <v>74</v>
      </c>
      <c r="D524" t="s">
        <v>74</v>
      </c>
      <c r="E524" t="s">
        <v>74</v>
      </c>
      <c r="F524" t="s">
        <v>10528</v>
      </c>
      <c r="G524" t="s">
        <v>74</v>
      </c>
      <c r="H524" t="s">
        <v>74</v>
      </c>
      <c r="I524" t="s">
        <v>10529</v>
      </c>
      <c r="J524" t="s">
        <v>8270</v>
      </c>
      <c r="K524" t="s">
        <v>74</v>
      </c>
      <c r="L524" t="s">
        <v>74</v>
      </c>
      <c r="M524" t="s">
        <v>78</v>
      </c>
      <c r="N524" t="s">
        <v>79</v>
      </c>
      <c r="O524" t="s">
        <v>74</v>
      </c>
      <c r="P524" t="s">
        <v>74</v>
      </c>
      <c r="Q524" t="s">
        <v>74</v>
      </c>
      <c r="R524" t="s">
        <v>74</v>
      </c>
      <c r="S524" t="s">
        <v>74</v>
      </c>
      <c r="T524" t="s">
        <v>10530</v>
      </c>
      <c r="U524" t="s">
        <v>10531</v>
      </c>
      <c r="V524" t="s">
        <v>10532</v>
      </c>
      <c r="W524" t="s">
        <v>10533</v>
      </c>
      <c r="X524" t="s">
        <v>10534</v>
      </c>
      <c r="Y524" t="s">
        <v>10535</v>
      </c>
      <c r="Z524" t="s">
        <v>10536</v>
      </c>
      <c r="AA524" t="s">
        <v>10537</v>
      </c>
      <c r="AB524" t="s">
        <v>10538</v>
      </c>
      <c r="AC524" t="s">
        <v>10539</v>
      </c>
      <c r="AD524" t="s">
        <v>10540</v>
      </c>
      <c r="AE524" t="s">
        <v>10541</v>
      </c>
      <c r="AF524" t="s">
        <v>74</v>
      </c>
      <c r="AG524">
        <v>42</v>
      </c>
      <c r="AH524">
        <v>2</v>
      </c>
      <c r="AI524">
        <v>2</v>
      </c>
      <c r="AJ524">
        <v>3</v>
      </c>
      <c r="AK524">
        <v>20</v>
      </c>
      <c r="AL524" t="s">
        <v>4638</v>
      </c>
      <c r="AM524" t="s">
        <v>399</v>
      </c>
      <c r="AN524" t="s">
        <v>4867</v>
      </c>
      <c r="AO524" t="s">
        <v>8274</v>
      </c>
      <c r="AP524" t="s">
        <v>8275</v>
      </c>
      <c r="AQ524" t="s">
        <v>74</v>
      </c>
      <c r="AR524" t="s">
        <v>8276</v>
      </c>
      <c r="AS524" t="s">
        <v>8277</v>
      </c>
      <c r="AT524" t="s">
        <v>7663</v>
      </c>
      <c r="AU524">
        <v>2020</v>
      </c>
      <c r="AV524">
        <v>32</v>
      </c>
      <c r="AW524">
        <v>3</v>
      </c>
      <c r="AX524" t="s">
        <v>74</v>
      </c>
      <c r="AY524" t="s">
        <v>74</v>
      </c>
      <c r="AZ524" t="s">
        <v>74</v>
      </c>
      <c r="BA524" t="s">
        <v>74</v>
      </c>
      <c r="BB524">
        <v>186</v>
      </c>
      <c r="BC524">
        <v>198</v>
      </c>
      <c r="BD524" t="s">
        <v>10542</v>
      </c>
      <c r="BE524" t="s">
        <v>10543</v>
      </c>
      <c r="BF524" t="str">
        <f>HYPERLINK("http://dx.doi.org/10.1017/S0954102019000567","http://dx.doi.org/10.1017/S0954102019000567")</f>
        <v>http://dx.doi.org/10.1017/S0954102019000567</v>
      </c>
      <c r="BG524" t="s">
        <v>74</v>
      </c>
      <c r="BH524" t="s">
        <v>74</v>
      </c>
      <c r="BI524">
        <v>13</v>
      </c>
      <c r="BJ524" t="s">
        <v>8279</v>
      </c>
      <c r="BK524" t="s">
        <v>102</v>
      </c>
      <c r="BL524" t="s">
        <v>8280</v>
      </c>
      <c r="BM524" t="s">
        <v>8281</v>
      </c>
      <c r="BN524" t="s">
        <v>74</v>
      </c>
      <c r="BO524" t="s">
        <v>74</v>
      </c>
      <c r="BP524" t="s">
        <v>74</v>
      </c>
      <c r="BQ524" t="s">
        <v>74</v>
      </c>
      <c r="BR524" t="s">
        <v>106</v>
      </c>
      <c r="BS524" t="s">
        <v>10544</v>
      </c>
      <c r="BT524" t="str">
        <f>HYPERLINK("https%3A%2F%2Fwww.webofscience.com%2Fwos%2Fwoscc%2Ffull-record%2FWOS:000532284500004","View Full Record in Web of Science")</f>
        <v>View Full Record in Web of Science</v>
      </c>
    </row>
    <row r="525" spans="1:72" x14ac:dyDescent="0.15">
      <c r="A525" t="s">
        <v>72</v>
      </c>
      <c r="B525" t="s">
        <v>10545</v>
      </c>
      <c r="C525" t="s">
        <v>74</v>
      </c>
      <c r="D525" t="s">
        <v>74</v>
      </c>
      <c r="E525" t="s">
        <v>74</v>
      </c>
      <c r="F525" t="s">
        <v>10546</v>
      </c>
      <c r="G525" t="s">
        <v>74</v>
      </c>
      <c r="H525" t="s">
        <v>74</v>
      </c>
      <c r="I525" t="s">
        <v>10547</v>
      </c>
      <c r="J525" t="s">
        <v>8270</v>
      </c>
      <c r="K525" t="s">
        <v>74</v>
      </c>
      <c r="L525" t="s">
        <v>74</v>
      </c>
      <c r="M525" t="s">
        <v>78</v>
      </c>
      <c r="N525" t="s">
        <v>79</v>
      </c>
      <c r="O525" t="s">
        <v>74</v>
      </c>
      <c r="P525" t="s">
        <v>74</v>
      </c>
      <c r="Q525" t="s">
        <v>74</v>
      </c>
      <c r="R525" t="s">
        <v>74</v>
      </c>
      <c r="S525" t="s">
        <v>74</v>
      </c>
      <c r="T525" t="s">
        <v>10548</v>
      </c>
      <c r="U525" t="s">
        <v>10549</v>
      </c>
      <c r="V525" t="s">
        <v>10550</v>
      </c>
      <c r="W525" t="s">
        <v>10551</v>
      </c>
      <c r="X525" t="s">
        <v>10552</v>
      </c>
      <c r="Y525" t="s">
        <v>10553</v>
      </c>
      <c r="Z525" t="s">
        <v>10554</v>
      </c>
      <c r="AA525" t="s">
        <v>10555</v>
      </c>
      <c r="AB525" t="s">
        <v>10556</v>
      </c>
      <c r="AC525" t="s">
        <v>10557</v>
      </c>
      <c r="AD525" t="s">
        <v>10558</v>
      </c>
      <c r="AE525" t="s">
        <v>10559</v>
      </c>
      <c r="AF525" t="s">
        <v>74</v>
      </c>
      <c r="AG525">
        <v>54</v>
      </c>
      <c r="AH525">
        <v>9</v>
      </c>
      <c r="AI525">
        <v>10</v>
      </c>
      <c r="AJ525">
        <v>0</v>
      </c>
      <c r="AK525">
        <v>20</v>
      </c>
      <c r="AL525" t="s">
        <v>4638</v>
      </c>
      <c r="AM525" t="s">
        <v>399</v>
      </c>
      <c r="AN525" t="s">
        <v>4867</v>
      </c>
      <c r="AO525" t="s">
        <v>8274</v>
      </c>
      <c r="AP525" t="s">
        <v>8275</v>
      </c>
      <c r="AQ525" t="s">
        <v>74</v>
      </c>
      <c r="AR525" t="s">
        <v>8276</v>
      </c>
      <c r="AS525" t="s">
        <v>8277</v>
      </c>
      <c r="AT525" t="s">
        <v>7663</v>
      </c>
      <c r="AU525">
        <v>2020</v>
      </c>
      <c r="AV525">
        <v>32</v>
      </c>
      <c r="AW525">
        <v>3</v>
      </c>
      <c r="AX525" t="s">
        <v>74</v>
      </c>
      <c r="AY525" t="s">
        <v>74</v>
      </c>
      <c r="AZ525" t="s">
        <v>74</v>
      </c>
      <c r="BA525" t="s">
        <v>74</v>
      </c>
      <c r="BB525">
        <v>199</v>
      </c>
      <c r="BC525">
        <v>209</v>
      </c>
      <c r="BD525" t="s">
        <v>74</v>
      </c>
      <c r="BE525" t="s">
        <v>10560</v>
      </c>
      <c r="BF525" t="str">
        <f>HYPERLINK("http://dx.doi.org/10.1017/S0954102020000085","http://dx.doi.org/10.1017/S0954102020000085")</f>
        <v>http://dx.doi.org/10.1017/S0954102020000085</v>
      </c>
      <c r="BG525" t="s">
        <v>74</v>
      </c>
      <c r="BH525" t="s">
        <v>74</v>
      </c>
      <c r="BI525">
        <v>11</v>
      </c>
      <c r="BJ525" t="s">
        <v>8279</v>
      </c>
      <c r="BK525" t="s">
        <v>102</v>
      </c>
      <c r="BL525" t="s">
        <v>8280</v>
      </c>
      <c r="BM525" t="s">
        <v>8281</v>
      </c>
      <c r="BN525" t="s">
        <v>74</v>
      </c>
      <c r="BO525" t="s">
        <v>1474</v>
      </c>
      <c r="BP525" t="s">
        <v>74</v>
      </c>
      <c r="BQ525" t="s">
        <v>74</v>
      </c>
      <c r="BR525" t="s">
        <v>106</v>
      </c>
      <c r="BS525" t="s">
        <v>10561</v>
      </c>
      <c r="BT525" t="str">
        <f>HYPERLINK("https%3A%2F%2Fwww.webofscience.com%2Fwos%2Fwoscc%2Ffull-record%2FWOS:000532284500005","View Full Record in Web of Science")</f>
        <v>View Full Record in Web of Science</v>
      </c>
    </row>
    <row r="526" spans="1:72" x14ac:dyDescent="0.15">
      <c r="A526" t="s">
        <v>72</v>
      </c>
      <c r="B526" t="s">
        <v>10562</v>
      </c>
      <c r="C526" t="s">
        <v>74</v>
      </c>
      <c r="D526" t="s">
        <v>74</v>
      </c>
      <c r="E526" t="s">
        <v>74</v>
      </c>
      <c r="F526" t="s">
        <v>10563</v>
      </c>
      <c r="G526" t="s">
        <v>74</v>
      </c>
      <c r="H526" t="s">
        <v>74</v>
      </c>
      <c r="I526" t="s">
        <v>10564</v>
      </c>
      <c r="J526" t="s">
        <v>8270</v>
      </c>
      <c r="K526" t="s">
        <v>74</v>
      </c>
      <c r="L526" t="s">
        <v>74</v>
      </c>
      <c r="M526" t="s">
        <v>78</v>
      </c>
      <c r="N526" t="s">
        <v>79</v>
      </c>
      <c r="O526" t="s">
        <v>74</v>
      </c>
      <c r="P526" t="s">
        <v>74</v>
      </c>
      <c r="Q526" t="s">
        <v>74</v>
      </c>
      <c r="R526" t="s">
        <v>74</v>
      </c>
      <c r="S526" t="s">
        <v>74</v>
      </c>
      <c r="T526" t="s">
        <v>10565</v>
      </c>
      <c r="U526" t="s">
        <v>10566</v>
      </c>
      <c r="V526" t="s">
        <v>10567</v>
      </c>
      <c r="W526" t="s">
        <v>10568</v>
      </c>
      <c r="X526" t="s">
        <v>10569</v>
      </c>
      <c r="Y526" t="s">
        <v>10570</v>
      </c>
      <c r="Z526" t="s">
        <v>10571</v>
      </c>
      <c r="AA526" t="s">
        <v>10572</v>
      </c>
      <c r="AB526" t="s">
        <v>10573</v>
      </c>
      <c r="AC526" t="s">
        <v>10574</v>
      </c>
      <c r="AD526" t="s">
        <v>1860</v>
      </c>
      <c r="AE526" t="s">
        <v>10575</v>
      </c>
      <c r="AF526" t="s">
        <v>74</v>
      </c>
      <c r="AG526">
        <v>53</v>
      </c>
      <c r="AH526">
        <v>0</v>
      </c>
      <c r="AI526">
        <v>2</v>
      </c>
      <c r="AJ526">
        <v>1</v>
      </c>
      <c r="AK526">
        <v>10</v>
      </c>
      <c r="AL526" t="s">
        <v>4638</v>
      </c>
      <c r="AM526" t="s">
        <v>399</v>
      </c>
      <c r="AN526" t="s">
        <v>4867</v>
      </c>
      <c r="AO526" t="s">
        <v>8274</v>
      </c>
      <c r="AP526" t="s">
        <v>8275</v>
      </c>
      <c r="AQ526" t="s">
        <v>74</v>
      </c>
      <c r="AR526" t="s">
        <v>8276</v>
      </c>
      <c r="AS526" t="s">
        <v>8277</v>
      </c>
      <c r="AT526" t="s">
        <v>7663</v>
      </c>
      <c r="AU526">
        <v>2020</v>
      </c>
      <c r="AV526">
        <v>32</v>
      </c>
      <c r="AW526">
        <v>3</v>
      </c>
      <c r="AX526" t="s">
        <v>74</v>
      </c>
      <c r="AY526" t="s">
        <v>74</v>
      </c>
      <c r="AZ526" t="s">
        <v>74</v>
      </c>
      <c r="BA526" t="s">
        <v>74</v>
      </c>
      <c r="BB526">
        <v>210</v>
      </c>
      <c r="BC526">
        <v>222</v>
      </c>
      <c r="BD526" t="s">
        <v>10576</v>
      </c>
      <c r="BE526" t="s">
        <v>10577</v>
      </c>
      <c r="BF526" t="str">
        <f>HYPERLINK("http://dx.doi.org/10.1017/S0954102020000097","http://dx.doi.org/10.1017/S0954102020000097")</f>
        <v>http://dx.doi.org/10.1017/S0954102020000097</v>
      </c>
      <c r="BG526" t="s">
        <v>74</v>
      </c>
      <c r="BH526" t="s">
        <v>74</v>
      </c>
      <c r="BI526">
        <v>13</v>
      </c>
      <c r="BJ526" t="s">
        <v>8279</v>
      </c>
      <c r="BK526" t="s">
        <v>102</v>
      </c>
      <c r="BL526" t="s">
        <v>8280</v>
      </c>
      <c r="BM526" t="s">
        <v>8281</v>
      </c>
      <c r="BN526" t="s">
        <v>74</v>
      </c>
      <c r="BO526" t="s">
        <v>74</v>
      </c>
      <c r="BP526" t="s">
        <v>74</v>
      </c>
      <c r="BQ526" t="s">
        <v>74</v>
      </c>
      <c r="BR526" t="s">
        <v>106</v>
      </c>
      <c r="BS526" t="s">
        <v>10578</v>
      </c>
      <c r="BT526" t="str">
        <f>HYPERLINK("https%3A%2F%2Fwww.webofscience.com%2Fwos%2Fwoscc%2Ffull-record%2FWOS:000532284500006","View Full Record in Web of Science")</f>
        <v>View Full Record in Web of Science</v>
      </c>
    </row>
    <row r="527" spans="1:72" x14ac:dyDescent="0.15">
      <c r="A527" t="s">
        <v>72</v>
      </c>
      <c r="B527" t="s">
        <v>10579</v>
      </c>
      <c r="C527" t="s">
        <v>74</v>
      </c>
      <c r="D527" t="s">
        <v>74</v>
      </c>
      <c r="E527" t="s">
        <v>74</v>
      </c>
      <c r="F527" t="s">
        <v>10580</v>
      </c>
      <c r="G527" t="s">
        <v>74</v>
      </c>
      <c r="H527" t="s">
        <v>74</v>
      </c>
      <c r="I527" t="s">
        <v>10581</v>
      </c>
      <c r="J527" t="s">
        <v>8270</v>
      </c>
      <c r="K527" t="s">
        <v>74</v>
      </c>
      <c r="L527" t="s">
        <v>74</v>
      </c>
      <c r="M527" t="s">
        <v>78</v>
      </c>
      <c r="N527" t="s">
        <v>79</v>
      </c>
      <c r="O527" t="s">
        <v>74</v>
      </c>
      <c r="P527" t="s">
        <v>74</v>
      </c>
      <c r="Q527" t="s">
        <v>74</v>
      </c>
      <c r="R527" t="s">
        <v>74</v>
      </c>
      <c r="S527" t="s">
        <v>74</v>
      </c>
      <c r="T527" t="s">
        <v>10582</v>
      </c>
      <c r="U527" t="s">
        <v>10583</v>
      </c>
      <c r="V527" t="s">
        <v>10584</v>
      </c>
      <c r="W527" t="s">
        <v>10585</v>
      </c>
      <c r="X527" t="s">
        <v>10586</v>
      </c>
      <c r="Y527" t="s">
        <v>10587</v>
      </c>
      <c r="Z527" t="s">
        <v>10588</v>
      </c>
      <c r="AA527" t="s">
        <v>74</v>
      </c>
      <c r="AB527" t="s">
        <v>74</v>
      </c>
      <c r="AC527" t="s">
        <v>10589</v>
      </c>
      <c r="AD527" t="s">
        <v>10590</v>
      </c>
      <c r="AE527" t="s">
        <v>10591</v>
      </c>
      <c r="AF527" t="s">
        <v>74</v>
      </c>
      <c r="AG527">
        <v>35</v>
      </c>
      <c r="AH527">
        <v>4</v>
      </c>
      <c r="AI527">
        <v>5</v>
      </c>
      <c r="AJ527">
        <v>1</v>
      </c>
      <c r="AK527">
        <v>10</v>
      </c>
      <c r="AL527" t="s">
        <v>4638</v>
      </c>
      <c r="AM527" t="s">
        <v>399</v>
      </c>
      <c r="AN527" t="s">
        <v>4867</v>
      </c>
      <c r="AO527" t="s">
        <v>8274</v>
      </c>
      <c r="AP527" t="s">
        <v>8275</v>
      </c>
      <c r="AQ527" t="s">
        <v>74</v>
      </c>
      <c r="AR527" t="s">
        <v>8276</v>
      </c>
      <c r="AS527" t="s">
        <v>8277</v>
      </c>
      <c r="AT527" t="s">
        <v>7663</v>
      </c>
      <c r="AU527">
        <v>2020</v>
      </c>
      <c r="AV527">
        <v>32</v>
      </c>
      <c r="AW527">
        <v>3</v>
      </c>
      <c r="AX527" t="s">
        <v>74</v>
      </c>
      <c r="AY527" t="s">
        <v>74</v>
      </c>
      <c r="AZ527" t="s">
        <v>74</v>
      </c>
      <c r="BA527" t="s">
        <v>74</v>
      </c>
      <c r="BB527">
        <v>223</v>
      </c>
      <c r="BC527">
        <v>237</v>
      </c>
      <c r="BD527" t="s">
        <v>10592</v>
      </c>
      <c r="BE527" t="s">
        <v>10593</v>
      </c>
      <c r="BF527" t="str">
        <f>HYPERLINK("http://dx.doi.org/10.1017/S0954102020000036","http://dx.doi.org/10.1017/S0954102020000036")</f>
        <v>http://dx.doi.org/10.1017/S0954102020000036</v>
      </c>
      <c r="BG527" t="s">
        <v>74</v>
      </c>
      <c r="BH527" t="s">
        <v>74</v>
      </c>
      <c r="BI527">
        <v>15</v>
      </c>
      <c r="BJ527" t="s">
        <v>8279</v>
      </c>
      <c r="BK527" t="s">
        <v>102</v>
      </c>
      <c r="BL527" t="s">
        <v>8280</v>
      </c>
      <c r="BM527" t="s">
        <v>8281</v>
      </c>
      <c r="BN527" t="s">
        <v>74</v>
      </c>
      <c r="BO527" t="s">
        <v>74</v>
      </c>
      <c r="BP527" t="s">
        <v>74</v>
      </c>
      <c r="BQ527" t="s">
        <v>74</v>
      </c>
      <c r="BR527" t="s">
        <v>106</v>
      </c>
      <c r="BS527" t="s">
        <v>10594</v>
      </c>
      <c r="BT527" t="str">
        <f>HYPERLINK("https%3A%2F%2Fwww.webofscience.com%2Fwos%2Fwoscc%2Ffull-record%2FWOS:000532284500007","View Full Record in Web of Science")</f>
        <v>View Full Record in Web of Science</v>
      </c>
    </row>
    <row r="528" spans="1:72" x14ac:dyDescent="0.15">
      <c r="A528" t="s">
        <v>72</v>
      </c>
      <c r="B528" t="s">
        <v>10595</v>
      </c>
      <c r="C528" t="s">
        <v>74</v>
      </c>
      <c r="D528" t="s">
        <v>74</v>
      </c>
      <c r="E528" t="s">
        <v>74</v>
      </c>
      <c r="F528" t="s">
        <v>10596</v>
      </c>
      <c r="G528" t="s">
        <v>74</v>
      </c>
      <c r="H528" t="s">
        <v>74</v>
      </c>
      <c r="I528" t="s">
        <v>10597</v>
      </c>
      <c r="J528" t="s">
        <v>10598</v>
      </c>
      <c r="K528" t="s">
        <v>74</v>
      </c>
      <c r="L528" t="s">
        <v>74</v>
      </c>
      <c r="M528" t="s">
        <v>78</v>
      </c>
      <c r="N528" t="s">
        <v>79</v>
      </c>
      <c r="O528" t="s">
        <v>74</v>
      </c>
      <c r="P528" t="s">
        <v>74</v>
      </c>
      <c r="Q528" t="s">
        <v>74</v>
      </c>
      <c r="R528" t="s">
        <v>74</v>
      </c>
      <c r="S528" t="s">
        <v>74</v>
      </c>
      <c r="T528" t="s">
        <v>10599</v>
      </c>
      <c r="U528" t="s">
        <v>10600</v>
      </c>
      <c r="V528" t="s">
        <v>10601</v>
      </c>
      <c r="W528" t="s">
        <v>10602</v>
      </c>
      <c r="X528" t="s">
        <v>10603</v>
      </c>
      <c r="Y528" t="s">
        <v>10604</v>
      </c>
      <c r="Z528" t="s">
        <v>10605</v>
      </c>
      <c r="AA528" t="s">
        <v>10606</v>
      </c>
      <c r="AB528" t="s">
        <v>10607</v>
      </c>
      <c r="AC528" t="s">
        <v>10608</v>
      </c>
      <c r="AD528" t="s">
        <v>10609</v>
      </c>
      <c r="AE528" t="s">
        <v>10610</v>
      </c>
      <c r="AF528" t="s">
        <v>74</v>
      </c>
      <c r="AG528">
        <v>33</v>
      </c>
      <c r="AH528">
        <v>6</v>
      </c>
      <c r="AI528">
        <v>6</v>
      </c>
      <c r="AJ528">
        <v>3</v>
      </c>
      <c r="AK528">
        <v>16</v>
      </c>
      <c r="AL528" t="s">
        <v>10611</v>
      </c>
      <c r="AM528" t="s">
        <v>1025</v>
      </c>
      <c r="AN528" t="s">
        <v>10612</v>
      </c>
      <c r="AO528" t="s">
        <v>10613</v>
      </c>
      <c r="AP528" t="s">
        <v>10614</v>
      </c>
      <c r="AQ528" t="s">
        <v>74</v>
      </c>
      <c r="AR528" t="s">
        <v>10598</v>
      </c>
      <c r="AS528" t="s">
        <v>10615</v>
      </c>
      <c r="AT528" t="s">
        <v>7663</v>
      </c>
      <c r="AU528">
        <v>2020</v>
      </c>
      <c r="AV528">
        <v>133</v>
      </c>
      <c r="AW528" t="s">
        <v>74</v>
      </c>
      <c r="AX528" t="s">
        <v>74</v>
      </c>
      <c r="AY528" t="s">
        <v>74</v>
      </c>
      <c r="AZ528" t="s">
        <v>74</v>
      </c>
      <c r="BA528" t="s">
        <v>74</v>
      </c>
      <c r="BB528" t="s">
        <v>74</v>
      </c>
      <c r="BC528" t="s">
        <v>74</v>
      </c>
      <c r="BD528">
        <v>107450</v>
      </c>
      <c r="BE528" t="s">
        <v>10616</v>
      </c>
      <c r="BF528" t="str">
        <f>HYPERLINK("http://dx.doi.org/10.1016/j.bioelechem.2019.107450","http://dx.doi.org/10.1016/j.bioelechem.2019.107450")</f>
        <v>http://dx.doi.org/10.1016/j.bioelechem.2019.107450</v>
      </c>
      <c r="BG528" t="s">
        <v>74</v>
      </c>
      <c r="BH528" t="s">
        <v>74</v>
      </c>
      <c r="BI528">
        <v>9</v>
      </c>
      <c r="BJ528" t="s">
        <v>10617</v>
      </c>
      <c r="BK528" t="s">
        <v>102</v>
      </c>
      <c r="BL528" t="s">
        <v>10618</v>
      </c>
      <c r="BM528" t="s">
        <v>10619</v>
      </c>
      <c r="BN528">
        <v>31978857</v>
      </c>
      <c r="BO528" t="s">
        <v>189</v>
      </c>
      <c r="BP528" t="s">
        <v>74</v>
      </c>
      <c r="BQ528" t="s">
        <v>74</v>
      </c>
      <c r="BR528" t="s">
        <v>106</v>
      </c>
      <c r="BS528" t="s">
        <v>10620</v>
      </c>
      <c r="BT528" t="str">
        <f>HYPERLINK("https%3A%2F%2Fwww.webofscience.com%2Fwos%2Fwoscc%2Ffull-record%2FWOS:000531827700031","View Full Record in Web of Science")</f>
        <v>View Full Record in Web of Science</v>
      </c>
    </row>
    <row r="529" spans="1:72" x14ac:dyDescent="0.15">
      <c r="A529" t="s">
        <v>72</v>
      </c>
      <c r="B529" t="s">
        <v>10621</v>
      </c>
      <c r="C529" t="s">
        <v>74</v>
      </c>
      <c r="D529" t="s">
        <v>74</v>
      </c>
      <c r="E529" t="s">
        <v>74</v>
      </c>
      <c r="F529" t="s">
        <v>10622</v>
      </c>
      <c r="G529" t="s">
        <v>74</v>
      </c>
      <c r="H529" t="s">
        <v>74</v>
      </c>
      <c r="I529" t="s">
        <v>10623</v>
      </c>
      <c r="J529" t="s">
        <v>10624</v>
      </c>
      <c r="K529" t="s">
        <v>74</v>
      </c>
      <c r="L529" t="s">
        <v>74</v>
      </c>
      <c r="M529" t="s">
        <v>78</v>
      </c>
      <c r="N529" t="s">
        <v>79</v>
      </c>
      <c r="O529" t="s">
        <v>74</v>
      </c>
      <c r="P529" t="s">
        <v>74</v>
      </c>
      <c r="Q529" t="s">
        <v>74</v>
      </c>
      <c r="R529" t="s">
        <v>74</v>
      </c>
      <c r="S529" t="s">
        <v>74</v>
      </c>
      <c r="T529" t="s">
        <v>74</v>
      </c>
      <c r="U529" t="s">
        <v>10625</v>
      </c>
      <c r="V529" t="s">
        <v>10626</v>
      </c>
      <c r="W529" t="s">
        <v>10627</v>
      </c>
      <c r="X529" t="s">
        <v>10628</v>
      </c>
      <c r="Y529" t="s">
        <v>10629</v>
      </c>
      <c r="Z529" t="s">
        <v>10630</v>
      </c>
      <c r="AA529" t="s">
        <v>74</v>
      </c>
      <c r="AB529" t="s">
        <v>10631</v>
      </c>
      <c r="AC529" t="s">
        <v>10632</v>
      </c>
      <c r="AD529" t="s">
        <v>10632</v>
      </c>
      <c r="AE529" t="s">
        <v>10633</v>
      </c>
      <c r="AF529" t="s">
        <v>74</v>
      </c>
      <c r="AG529">
        <v>21</v>
      </c>
      <c r="AH529">
        <v>0</v>
      </c>
      <c r="AI529">
        <v>0</v>
      </c>
      <c r="AJ529">
        <v>0</v>
      </c>
      <c r="AK529">
        <v>3</v>
      </c>
      <c r="AL529" t="s">
        <v>10634</v>
      </c>
      <c r="AM529" t="s">
        <v>10635</v>
      </c>
      <c r="AN529" t="s">
        <v>10636</v>
      </c>
      <c r="AO529" t="s">
        <v>10637</v>
      </c>
      <c r="AP529" t="s">
        <v>10638</v>
      </c>
      <c r="AQ529" t="s">
        <v>74</v>
      </c>
      <c r="AR529" t="s">
        <v>10639</v>
      </c>
      <c r="AS529" t="s">
        <v>10640</v>
      </c>
      <c r="AT529" t="s">
        <v>9394</v>
      </c>
      <c r="AU529">
        <v>2020</v>
      </c>
      <c r="AV529">
        <v>34</v>
      </c>
      <c r="AW529">
        <v>2</v>
      </c>
      <c r="AX529" t="s">
        <v>74</v>
      </c>
      <c r="AY529" t="s">
        <v>74</v>
      </c>
      <c r="AZ529" t="s">
        <v>74</v>
      </c>
      <c r="BA529" t="s">
        <v>74</v>
      </c>
      <c r="BB529" t="s">
        <v>74</v>
      </c>
      <c r="BC529" t="s">
        <v>74</v>
      </c>
      <c r="BD529">
        <v>4020003</v>
      </c>
      <c r="BE529" t="s">
        <v>10641</v>
      </c>
      <c r="BF529" t="str">
        <f>HYPERLINK("http://dx.doi.org/10.1061/(ASCE)CR.1943-5495.0000206","http://dx.doi.org/10.1061/(ASCE)CR.1943-5495.0000206")</f>
        <v>http://dx.doi.org/10.1061/(ASCE)CR.1943-5495.0000206</v>
      </c>
      <c r="BG529" t="s">
        <v>74</v>
      </c>
      <c r="BH529" t="s">
        <v>74</v>
      </c>
      <c r="BI529">
        <v>5</v>
      </c>
      <c r="BJ529" t="s">
        <v>8642</v>
      </c>
      <c r="BK529" t="s">
        <v>102</v>
      </c>
      <c r="BL529" t="s">
        <v>8643</v>
      </c>
      <c r="BM529" t="s">
        <v>10642</v>
      </c>
      <c r="BN529" t="s">
        <v>74</v>
      </c>
      <c r="BO529" t="s">
        <v>74</v>
      </c>
      <c r="BP529" t="s">
        <v>74</v>
      </c>
      <c r="BQ529" t="s">
        <v>74</v>
      </c>
      <c r="BR529" t="s">
        <v>106</v>
      </c>
      <c r="BS529" t="s">
        <v>10643</v>
      </c>
      <c r="BT529" t="str">
        <f>HYPERLINK("https%3A%2F%2Fwww.webofscience.com%2Fwos%2Fwoscc%2Ffull-record%2FWOS:000531747200010","View Full Record in Web of Science")</f>
        <v>View Full Record in Web of Science</v>
      </c>
    </row>
    <row r="530" spans="1:72" x14ac:dyDescent="0.15">
      <c r="A530" t="s">
        <v>72</v>
      </c>
      <c r="B530" t="s">
        <v>10644</v>
      </c>
      <c r="C530" t="s">
        <v>74</v>
      </c>
      <c r="D530" t="s">
        <v>74</v>
      </c>
      <c r="E530" t="s">
        <v>74</v>
      </c>
      <c r="F530" t="s">
        <v>10645</v>
      </c>
      <c r="G530" t="s">
        <v>74</v>
      </c>
      <c r="H530" t="s">
        <v>74</v>
      </c>
      <c r="I530" t="s">
        <v>10646</v>
      </c>
      <c r="J530" t="s">
        <v>10647</v>
      </c>
      <c r="K530" t="s">
        <v>74</v>
      </c>
      <c r="L530" t="s">
        <v>74</v>
      </c>
      <c r="M530" t="s">
        <v>78</v>
      </c>
      <c r="N530" t="s">
        <v>79</v>
      </c>
      <c r="O530" t="s">
        <v>74</v>
      </c>
      <c r="P530" t="s">
        <v>74</v>
      </c>
      <c r="Q530" t="s">
        <v>74</v>
      </c>
      <c r="R530" t="s">
        <v>74</v>
      </c>
      <c r="S530" t="s">
        <v>74</v>
      </c>
      <c r="T530" t="s">
        <v>10648</v>
      </c>
      <c r="U530" t="s">
        <v>10649</v>
      </c>
      <c r="V530" t="s">
        <v>10650</v>
      </c>
      <c r="W530" t="s">
        <v>10651</v>
      </c>
      <c r="X530" t="s">
        <v>10652</v>
      </c>
      <c r="Y530" t="s">
        <v>10653</v>
      </c>
      <c r="Z530" t="s">
        <v>10654</v>
      </c>
      <c r="AA530" t="s">
        <v>10655</v>
      </c>
      <c r="AB530" t="s">
        <v>10656</v>
      </c>
      <c r="AC530" t="s">
        <v>10657</v>
      </c>
      <c r="AD530" t="s">
        <v>10658</v>
      </c>
      <c r="AE530" t="s">
        <v>74</v>
      </c>
      <c r="AF530" t="s">
        <v>74</v>
      </c>
      <c r="AG530">
        <v>37</v>
      </c>
      <c r="AH530">
        <v>11</v>
      </c>
      <c r="AI530">
        <v>11</v>
      </c>
      <c r="AJ530">
        <v>6</v>
      </c>
      <c r="AK530">
        <v>19</v>
      </c>
      <c r="AL530" t="s">
        <v>5953</v>
      </c>
      <c r="AM530" t="s">
        <v>5954</v>
      </c>
      <c r="AN530" t="s">
        <v>5955</v>
      </c>
      <c r="AO530" t="s">
        <v>10659</v>
      </c>
      <c r="AP530" t="s">
        <v>10660</v>
      </c>
      <c r="AQ530" t="s">
        <v>74</v>
      </c>
      <c r="AR530" t="s">
        <v>10661</v>
      </c>
      <c r="AS530" t="s">
        <v>10662</v>
      </c>
      <c r="AT530" t="s">
        <v>7663</v>
      </c>
      <c r="AU530">
        <v>2020</v>
      </c>
      <c r="AV530">
        <v>192</v>
      </c>
      <c r="AW530">
        <v>2</v>
      </c>
      <c r="AX530" t="s">
        <v>74</v>
      </c>
      <c r="AY530" t="s">
        <v>74</v>
      </c>
      <c r="AZ530" t="s">
        <v>74</v>
      </c>
      <c r="BA530" t="s">
        <v>74</v>
      </c>
      <c r="BB530">
        <v>401</v>
      </c>
      <c r="BC530">
        <v>407</v>
      </c>
      <c r="BD530" t="s">
        <v>74</v>
      </c>
      <c r="BE530" t="s">
        <v>10663</v>
      </c>
      <c r="BF530" t="str">
        <f>HYPERLINK("http://dx.doi.org/10.1007/s00605-019-01332-3","http://dx.doi.org/10.1007/s00605-019-01332-3")</f>
        <v>http://dx.doi.org/10.1007/s00605-019-01332-3</v>
      </c>
      <c r="BG530" t="s">
        <v>74</v>
      </c>
      <c r="BH530" t="s">
        <v>74</v>
      </c>
      <c r="BI530">
        <v>7</v>
      </c>
      <c r="BJ530" t="s">
        <v>9192</v>
      </c>
      <c r="BK530" t="s">
        <v>102</v>
      </c>
      <c r="BL530" t="s">
        <v>9192</v>
      </c>
      <c r="BM530" t="s">
        <v>10664</v>
      </c>
      <c r="BN530">
        <v>32421059</v>
      </c>
      <c r="BO530" t="s">
        <v>10665</v>
      </c>
      <c r="BP530" t="s">
        <v>74</v>
      </c>
      <c r="BQ530" t="s">
        <v>74</v>
      </c>
      <c r="BR530" t="s">
        <v>106</v>
      </c>
      <c r="BS530" t="s">
        <v>10666</v>
      </c>
      <c r="BT530" t="str">
        <f>HYPERLINK("https%3A%2F%2Fwww.webofscience.com%2Fwos%2Fwoscc%2Ffull-record%2FWOS:000532810600007","View Full Record in Web of Science")</f>
        <v>View Full Record in Web of Science</v>
      </c>
    </row>
    <row r="531" spans="1:72" x14ac:dyDescent="0.15">
      <c r="A531" t="s">
        <v>72</v>
      </c>
      <c r="B531" t="s">
        <v>10667</v>
      </c>
      <c r="C531" t="s">
        <v>74</v>
      </c>
      <c r="D531" t="s">
        <v>74</v>
      </c>
      <c r="E531" t="s">
        <v>74</v>
      </c>
      <c r="F531" t="s">
        <v>10668</v>
      </c>
      <c r="G531" t="s">
        <v>74</v>
      </c>
      <c r="H531" t="s">
        <v>74</v>
      </c>
      <c r="I531" t="s">
        <v>10669</v>
      </c>
      <c r="J531" t="s">
        <v>10240</v>
      </c>
      <c r="K531" t="s">
        <v>74</v>
      </c>
      <c r="L531" t="s">
        <v>74</v>
      </c>
      <c r="M531" t="s">
        <v>78</v>
      </c>
      <c r="N531" t="s">
        <v>79</v>
      </c>
      <c r="O531" t="s">
        <v>74</v>
      </c>
      <c r="P531" t="s">
        <v>74</v>
      </c>
      <c r="Q531" t="s">
        <v>74</v>
      </c>
      <c r="R531" t="s">
        <v>74</v>
      </c>
      <c r="S531" t="s">
        <v>74</v>
      </c>
      <c r="T531" t="s">
        <v>10670</v>
      </c>
      <c r="U531" t="s">
        <v>10671</v>
      </c>
      <c r="V531" t="s">
        <v>10672</v>
      </c>
      <c r="W531" t="s">
        <v>10673</v>
      </c>
      <c r="X531" t="s">
        <v>10674</v>
      </c>
      <c r="Y531" t="s">
        <v>10675</v>
      </c>
      <c r="Z531" t="s">
        <v>10676</v>
      </c>
      <c r="AA531" t="s">
        <v>74</v>
      </c>
      <c r="AB531" t="s">
        <v>10677</v>
      </c>
      <c r="AC531" t="s">
        <v>10678</v>
      </c>
      <c r="AD531" t="s">
        <v>8753</v>
      </c>
      <c r="AE531" t="s">
        <v>10679</v>
      </c>
      <c r="AF531" t="s">
        <v>74</v>
      </c>
      <c r="AG531">
        <v>34</v>
      </c>
      <c r="AH531">
        <v>7</v>
      </c>
      <c r="AI531">
        <v>7</v>
      </c>
      <c r="AJ531">
        <v>0</v>
      </c>
      <c r="AK531">
        <v>3</v>
      </c>
      <c r="AL531" t="s">
        <v>4638</v>
      </c>
      <c r="AM531" t="s">
        <v>1744</v>
      </c>
      <c r="AN531" t="s">
        <v>4639</v>
      </c>
      <c r="AO531" t="s">
        <v>10250</v>
      </c>
      <c r="AP531" t="s">
        <v>10251</v>
      </c>
      <c r="AQ531" t="s">
        <v>74</v>
      </c>
      <c r="AR531" t="s">
        <v>10252</v>
      </c>
      <c r="AS531" t="s">
        <v>10253</v>
      </c>
      <c r="AT531" t="s">
        <v>7663</v>
      </c>
      <c r="AU531">
        <v>2020</v>
      </c>
      <c r="AV531">
        <v>66</v>
      </c>
      <c r="AW531">
        <v>257</v>
      </c>
      <c r="AX531" t="s">
        <v>74</v>
      </c>
      <c r="AY531" t="s">
        <v>74</v>
      </c>
      <c r="AZ531" t="s">
        <v>74</v>
      </c>
      <c r="BA531" t="s">
        <v>74</v>
      </c>
      <c r="BB531">
        <v>349</v>
      </c>
      <c r="BC531">
        <v>361</v>
      </c>
      <c r="BD531" t="s">
        <v>10680</v>
      </c>
      <c r="BE531" t="s">
        <v>10681</v>
      </c>
      <c r="BF531" t="str">
        <f>HYPERLINK("http://dx.doi.org/10.1017/jog.2019.101","http://dx.doi.org/10.1017/jog.2019.101")</f>
        <v>http://dx.doi.org/10.1017/jog.2019.101</v>
      </c>
      <c r="BG531" t="s">
        <v>74</v>
      </c>
      <c r="BH531" t="s">
        <v>74</v>
      </c>
      <c r="BI531">
        <v>13</v>
      </c>
      <c r="BJ531" t="s">
        <v>694</v>
      </c>
      <c r="BK531" t="s">
        <v>102</v>
      </c>
      <c r="BL531" t="s">
        <v>695</v>
      </c>
      <c r="BM531" t="s">
        <v>10256</v>
      </c>
      <c r="BN531" t="s">
        <v>74</v>
      </c>
      <c r="BO531" t="s">
        <v>1778</v>
      </c>
      <c r="BP531" t="s">
        <v>74</v>
      </c>
      <c r="BQ531" t="s">
        <v>74</v>
      </c>
      <c r="BR531" t="s">
        <v>106</v>
      </c>
      <c r="BS531" t="s">
        <v>10682</v>
      </c>
      <c r="BT531" t="str">
        <f>HYPERLINK("https%3A%2F%2Fwww.webofscience.com%2Fwos%2Fwoscc%2Ffull-record%2FWOS:000531857800001","View Full Record in Web of Science")</f>
        <v>View Full Record in Web of Science</v>
      </c>
    </row>
    <row r="532" spans="1:72" x14ac:dyDescent="0.15">
      <c r="A532" t="s">
        <v>72</v>
      </c>
      <c r="B532" t="s">
        <v>10683</v>
      </c>
      <c r="C532" t="s">
        <v>74</v>
      </c>
      <c r="D532" t="s">
        <v>74</v>
      </c>
      <c r="E532" t="s">
        <v>74</v>
      </c>
      <c r="F532" t="s">
        <v>10684</v>
      </c>
      <c r="G532" t="s">
        <v>74</v>
      </c>
      <c r="H532" t="s">
        <v>74</v>
      </c>
      <c r="I532" t="s">
        <v>10685</v>
      </c>
      <c r="J532" t="s">
        <v>10240</v>
      </c>
      <c r="K532" t="s">
        <v>74</v>
      </c>
      <c r="L532" t="s">
        <v>74</v>
      </c>
      <c r="M532" t="s">
        <v>78</v>
      </c>
      <c r="N532" t="s">
        <v>79</v>
      </c>
      <c r="O532" t="s">
        <v>74</v>
      </c>
      <c r="P532" t="s">
        <v>74</v>
      </c>
      <c r="Q532" t="s">
        <v>74</v>
      </c>
      <c r="R532" t="s">
        <v>74</v>
      </c>
      <c r="S532" t="s">
        <v>74</v>
      </c>
      <c r="T532" t="s">
        <v>10686</v>
      </c>
      <c r="U532" t="s">
        <v>10687</v>
      </c>
      <c r="V532" t="s">
        <v>10688</v>
      </c>
      <c r="W532" t="s">
        <v>10689</v>
      </c>
      <c r="X532" t="s">
        <v>10690</v>
      </c>
      <c r="Y532" t="s">
        <v>74</v>
      </c>
      <c r="Z532" t="s">
        <v>10691</v>
      </c>
      <c r="AA532" t="s">
        <v>74</v>
      </c>
      <c r="AB532" t="s">
        <v>74</v>
      </c>
      <c r="AC532" t="s">
        <v>10692</v>
      </c>
      <c r="AD532" t="s">
        <v>10693</v>
      </c>
      <c r="AE532" t="s">
        <v>10694</v>
      </c>
      <c r="AF532" t="s">
        <v>74</v>
      </c>
      <c r="AG532">
        <v>54</v>
      </c>
      <c r="AH532">
        <v>10</v>
      </c>
      <c r="AI532">
        <v>10</v>
      </c>
      <c r="AJ532">
        <v>1</v>
      </c>
      <c r="AK532">
        <v>12</v>
      </c>
      <c r="AL532" t="s">
        <v>4638</v>
      </c>
      <c r="AM532" t="s">
        <v>1744</v>
      </c>
      <c r="AN532" t="s">
        <v>4639</v>
      </c>
      <c r="AO532" t="s">
        <v>10250</v>
      </c>
      <c r="AP532" t="s">
        <v>10251</v>
      </c>
      <c r="AQ532" t="s">
        <v>74</v>
      </c>
      <c r="AR532" t="s">
        <v>10252</v>
      </c>
      <c r="AS532" t="s">
        <v>10253</v>
      </c>
      <c r="AT532" t="s">
        <v>7663</v>
      </c>
      <c r="AU532">
        <v>2020</v>
      </c>
      <c r="AV532">
        <v>66</v>
      </c>
      <c r="AW532">
        <v>257</v>
      </c>
      <c r="AX532" t="s">
        <v>74</v>
      </c>
      <c r="AY532" t="s">
        <v>74</v>
      </c>
      <c r="AZ532" t="s">
        <v>74</v>
      </c>
      <c r="BA532" t="s">
        <v>74</v>
      </c>
      <c r="BB532">
        <v>401</v>
      </c>
      <c r="BC532">
        <v>414</v>
      </c>
      <c r="BD532" t="s">
        <v>10695</v>
      </c>
      <c r="BE532" t="s">
        <v>10696</v>
      </c>
      <c r="BF532" t="str">
        <f>HYPERLINK("http://dx.doi.org/10.1017/jog.2020.15","http://dx.doi.org/10.1017/jog.2020.15")</f>
        <v>http://dx.doi.org/10.1017/jog.2020.15</v>
      </c>
      <c r="BG532" t="s">
        <v>74</v>
      </c>
      <c r="BH532" t="s">
        <v>74</v>
      </c>
      <c r="BI532">
        <v>14</v>
      </c>
      <c r="BJ532" t="s">
        <v>694</v>
      </c>
      <c r="BK532" t="s">
        <v>102</v>
      </c>
      <c r="BL532" t="s">
        <v>695</v>
      </c>
      <c r="BM532" t="s">
        <v>10256</v>
      </c>
      <c r="BN532" t="s">
        <v>74</v>
      </c>
      <c r="BO532" t="s">
        <v>105</v>
      </c>
      <c r="BP532" t="s">
        <v>74</v>
      </c>
      <c r="BQ532" t="s">
        <v>74</v>
      </c>
      <c r="BR532" t="s">
        <v>106</v>
      </c>
      <c r="BS532" t="s">
        <v>10697</v>
      </c>
      <c r="BT532" t="str">
        <f>HYPERLINK("https%3A%2F%2Fwww.webofscience.com%2Fwos%2Fwoscc%2Ffull-record%2FWOS:000531857800005","View Full Record in Web of Science")</f>
        <v>View Full Record in Web of Science</v>
      </c>
    </row>
    <row r="533" spans="1:72" x14ac:dyDescent="0.15">
      <c r="A533" t="s">
        <v>72</v>
      </c>
      <c r="B533" t="s">
        <v>10698</v>
      </c>
      <c r="C533" t="s">
        <v>74</v>
      </c>
      <c r="D533" t="s">
        <v>74</v>
      </c>
      <c r="E533" t="s">
        <v>74</v>
      </c>
      <c r="F533" t="s">
        <v>10699</v>
      </c>
      <c r="G533" t="s">
        <v>74</v>
      </c>
      <c r="H533" t="s">
        <v>74</v>
      </c>
      <c r="I533" t="s">
        <v>10700</v>
      </c>
      <c r="J533" t="s">
        <v>10240</v>
      </c>
      <c r="K533" t="s">
        <v>74</v>
      </c>
      <c r="L533" t="s">
        <v>74</v>
      </c>
      <c r="M533" t="s">
        <v>78</v>
      </c>
      <c r="N533" t="s">
        <v>79</v>
      </c>
      <c r="O533" t="s">
        <v>74</v>
      </c>
      <c r="P533" t="s">
        <v>74</v>
      </c>
      <c r="Q533" t="s">
        <v>74</v>
      </c>
      <c r="R533" t="s">
        <v>74</v>
      </c>
      <c r="S533" t="s">
        <v>74</v>
      </c>
      <c r="T533" t="s">
        <v>10701</v>
      </c>
      <c r="U533" t="s">
        <v>10702</v>
      </c>
      <c r="V533" t="s">
        <v>10703</v>
      </c>
      <c r="W533" t="s">
        <v>10704</v>
      </c>
      <c r="X533" t="s">
        <v>10705</v>
      </c>
      <c r="Y533" t="s">
        <v>10706</v>
      </c>
      <c r="Z533" t="s">
        <v>10707</v>
      </c>
      <c r="AA533" t="s">
        <v>74</v>
      </c>
      <c r="AB533" t="s">
        <v>10708</v>
      </c>
      <c r="AC533" t="s">
        <v>10709</v>
      </c>
      <c r="AD533" t="s">
        <v>10710</v>
      </c>
      <c r="AE533" t="s">
        <v>10711</v>
      </c>
      <c r="AF533" t="s">
        <v>74</v>
      </c>
      <c r="AG533">
        <v>57</v>
      </c>
      <c r="AH533">
        <v>11</v>
      </c>
      <c r="AI533">
        <v>12</v>
      </c>
      <c r="AJ533">
        <v>2</v>
      </c>
      <c r="AK533">
        <v>13</v>
      </c>
      <c r="AL533" t="s">
        <v>4638</v>
      </c>
      <c r="AM533" t="s">
        <v>1744</v>
      </c>
      <c r="AN533" t="s">
        <v>4639</v>
      </c>
      <c r="AO533" t="s">
        <v>10250</v>
      </c>
      <c r="AP533" t="s">
        <v>10251</v>
      </c>
      <c r="AQ533" t="s">
        <v>74</v>
      </c>
      <c r="AR533" t="s">
        <v>10252</v>
      </c>
      <c r="AS533" t="s">
        <v>10253</v>
      </c>
      <c r="AT533" t="s">
        <v>7663</v>
      </c>
      <c r="AU533">
        <v>2020</v>
      </c>
      <c r="AV533">
        <v>66</v>
      </c>
      <c r="AW533">
        <v>257</v>
      </c>
      <c r="AX533" t="s">
        <v>74</v>
      </c>
      <c r="AY533" t="s">
        <v>74</v>
      </c>
      <c r="AZ533" t="s">
        <v>74</v>
      </c>
      <c r="BA533" t="s">
        <v>74</v>
      </c>
      <c r="BB533">
        <v>457</v>
      </c>
      <c r="BC533">
        <v>470</v>
      </c>
      <c r="BD533" t="s">
        <v>74</v>
      </c>
      <c r="BE533" t="s">
        <v>10712</v>
      </c>
      <c r="BF533" t="str">
        <f>HYPERLINK("http://dx.doi.org/10.1017/jog.2020.21","http://dx.doi.org/10.1017/jog.2020.21")</f>
        <v>http://dx.doi.org/10.1017/jog.2020.21</v>
      </c>
      <c r="BG533" t="s">
        <v>74</v>
      </c>
      <c r="BH533" t="s">
        <v>74</v>
      </c>
      <c r="BI533">
        <v>14</v>
      </c>
      <c r="BJ533" t="s">
        <v>694</v>
      </c>
      <c r="BK533" t="s">
        <v>102</v>
      </c>
      <c r="BL533" t="s">
        <v>695</v>
      </c>
      <c r="BM533" t="s">
        <v>10256</v>
      </c>
      <c r="BN533" t="s">
        <v>74</v>
      </c>
      <c r="BO533" t="s">
        <v>1778</v>
      </c>
      <c r="BP533" t="s">
        <v>74</v>
      </c>
      <c r="BQ533" t="s">
        <v>74</v>
      </c>
      <c r="BR533" t="s">
        <v>106</v>
      </c>
      <c r="BS533" t="s">
        <v>10713</v>
      </c>
      <c r="BT533" t="str">
        <f>HYPERLINK("https%3A%2F%2Fwww.webofscience.com%2Fwos%2Fwoscc%2Ffull-record%2FWOS:000531857800009","View Full Record in Web of Science")</f>
        <v>View Full Record in Web of Science</v>
      </c>
    </row>
    <row r="534" spans="1:72" x14ac:dyDescent="0.15">
      <c r="A534" t="s">
        <v>72</v>
      </c>
      <c r="B534" t="s">
        <v>10714</v>
      </c>
      <c r="C534" t="s">
        <v>74</v>
      </c>
      <c r="D534" t="s">
        <v>74</v>
      </c>
      <c r="E534" t="s">
        <v>74</v>
      </c>
      <c r="F534" t="s">
        <v>10715</v>
      </c>
      <c r="G534" t="s">
        <v>74</v>
      </c>
      <c r="H534" t="s">
        <v>74</v>
      </c>
      <c r="I534" t="s">
        <v>10716</v>
      </c>
      <c r="J534" t="s">
        <v>10240</v>
      </c>
      <c r="K534" t="s">
        <v>74</v>
      </c>
      <c r="L534" t="s">
        <v>74</v>
      </c>
      <c r="M534" t="s">
        <v>78</v>
      </c>
      <c r="N534" t="s">
        <v>79</v>
      </c>
      <c r="O534" t="s">
        <v>74</v>
      </c>
      <c r="P534" t="s">
        <v>74</v>
      </c>
      <c r="Q534" t="s">
        <v>74</v>
      </c>
      <c r="R534" t="s">
        <v>74</v>
      </c>
      <c r="S534" t="s">
        <v>74</v>
      </c>
      <c r="T534" t="s">
        <v>10717</v>
      </c>
      <c r="U534" t="s">
        <v>10718</v>
      </c>
      <c r="V534" t="s">
        <v>10719</v>
      </c>
      <c r="W534" t="s">
        <v>10720</v>
      </c>
      <c r="X534" t="s">
        <v>10721</v>
      </c>
      <c r="Y534" t="s">
        <v>10722</v>
      </c>
      <c r="Z534" t="s">
        <v>10723</v>
      </c>
      <c r="AA534" t="s">
        <v>10724</v>
      </c>
      <c r="AB534" t="s">
        <v>10725</v>
      </c>
      <c r="AC534" t="s">
        <v>10726</v>
      </c>
      <c r="AD534" t="s">
        <v>992</v>
      </c>
      <c r="AE534" t="s">
        <v>10727</v>
      </c>
      <c r="AF534" t="s">
        <v>74</v>
      </c>
      <c r="AG534">
        <v>55</v>
      </c>
      <c r="AH534">
        <v>31</v>
      </c>
      <c r="AI534">
        <v>33</v>
      </c>
      <c r="AJ534">
        <v>0</v>
      </c>
      <c r="AK534">
        <v>14</v>
      </c>
      <c r="AL534" t="s">
        <v>4638</v>
      </c>
      <c r="AM534" t="s">
        <v>1744</v>
      </c>
      <c r="AN534" t="s">
        <v>4639</v>
      </c>
      <c r="AO534" t="s">
        <v>10250</v>
      </c>
      <c r="AP534" t="s">
        <v>10251</v>
      </c>
      <c r="AQ534" t="s">
        <v>74</v>
      </c>
      <c r="AR534" t="s">
        <v>10252</v>
      </c>
      <c r="AS534" t="s">
        <v>10253</v>
      </c>
      <c r="AT534" t="s">
        <v>7663</v>
      </c>
      <c r="AU534">
        <v>2020</v>
      </c>
      <c r="AV534">
        <v>66</v>
      </c>
      <c r="AW534">
        <v>257</v>
      </c>
      <c r="AX534" t="s">
        <v>74</v>
      </c>
      <c r="AY534" t="s">
        <v>74</v>
      </c>
      <c r="AZ534" t="s">
        <v>74</v>
      </c>
      <c r="BA534" t="s">
        <v>74</v>
      </c>
      <c r="BB534">
        <v>485</v>
      </c>
      <c r="BC534">
        <v>495</v>
      </c>
      <c r="BD534" t="s">
        <v>10728</v>
      </c>
      <c r="BE534" t="s">
        <v>10729</v>
      </c>
      <c r="BF534" t="str">
        <f>HYPERLINK("http://dx.doi.org/10.1017/jog.2020.20","http://dx.doi.org/10.1017/jog.2020.20")</f>
        <v>http://dx.doi.org/10.1017/jog.2020.20</v>
      </c>
      <c r="BG534" t="s">
        <v>74</v>
      </c>
      <c r="BH534" t="s">
        <v>74</v>
      </c>
      <c r="BI534">
        <v>11</v>
      </c>
      <c r="BJ534" t="s">
        <v>694</v>
      </c>
      <c r="BK534" t="s">
        <v>102</v>
      </c>
      <c r="BL534" t="s">
        <v>695</v>
      </c>
      <c r="BM534" t="s">
        <v>10256</v>
      </c>
      <c r="BN534" t="s">
        <v>74</v>
      </c>
      <c r="BO534" t="s">
        <v>10730</v>
      </c>
      <c r="BP534" t="s">
        <v>74</v>
      </c>
      <c r="BQ534" t="s">
        <v>74</v>
      </c>
      <c r="BR534" t="s">
        <v>106</v>
      </c>
      <c r="BS534" t="s">
        <v>10731</v>
      </c>
      <c r="BT534" t="str">
        <f>HYPERLINK("https%3A%2F%2Fwww.webofscience.com%2Fwos%2Fwoscc%2Ffull-record%2FWOS:000531857800011","View Full Record in Web of Science")</f>
        <v>View Full Record in Web of Science</v>
      </c>
    </row>
    <row r="535" spans="1:72" x14ac:dyDescent="0.15">
      <c r="A535" t="s">
        <v>72</v>
      </c>
      <c r="B535" t="s">
        <v>10732</v>
      </c>
      <c r="C535" t="s">
        <v>74</v>
      </c>
      <c r="D535" t="s">
        <v>74</v>
      </c>
      <c r="E535" t="s">
        <v>74</v>
      </c>
      <c r="F535" t="s">
        <v>10733</v>
      </c>
      <c r="G535" t="s">
        <v>74</v>
      </c>
      <c r="H535" t="s">
        <v>10734</v>
      </c>
      <c r="I535" t="s">
        <v>10735</v>
      </c>
      <c r="J535" t="s">
        <v>453</v>
      </c>
      <c r="K535" t="s">
        <v>74</v>
      </c>
      <c r="L535" t="s">
        <v>74</v>
      </c>
      <c r="M535" t="s">
        <v>78</v>
      </c>
      <c r="N535" t="s">
        <v>79</v>
      </c>
      <c r="O535" t="s">
        <v>74</v>
      </c>
      <c r="P535" t="s">
        <v>74</v>
      </c>
      <c r="Q535" t="s">
        <v>74</v>
      </c>
      <c r="R535" t="s">
        <v>74</v>
      </c>
      <c r="S535" t="s">
        <v>74</v>
      </c>
      <c r="T535" t="s">
        <v>10736</v>
      </c>
      <c r="U535" t="s">
        <v>10737</v>
      </c>
      <c r="V535" t="s">
        <v>10738</v>
      </c>
      <c r="W535" t="s">
        <v>10739</v>
      </c>
      <c r="X535" t="s">
        <v>10740</v>
      </c>
      <c r="Y535" t="s">
        <v>10741</v>
      </c>
      <c r="Z535" t="s">
        <v>10742</v>
      </c>
      <c r="AA535" t="s">
        <v>10743</v>
      </c>
      <c r="AB535" t="s">
        <v>10744</v>
      </c>
      <c r="AC535" t="s">
        <v>10745</v>
      </c>
      <c r="AD535" t="s">
        <v>10746</v>
      </c>
      <c r="AE535" t="s">
        <v>10747</v>
      </c>
      <c r="AF535" t="s">
        <v>74</v>
      </c>
      <c r="AG535">
        <v>83</v>
      </c>
      <c r="AH535">
        <v>16</v>
      </c>
      <c r="AI535">
        <v>18</v>
      </c>
      <c r="AJ535">
        <v>0</v>
      </c>
      <c r="AK535">
        <v>16</v>
      </c>
      <c r="AL535" t="s">
        <v>284</v>
      </c>
      <c r="AM535" t="s">
        <v>285</v>
      </c>
      <c r="AN535" t="s">
        <v>286</v>
      </c>
      <c r="AO535" t="s">
        <v>466</v>
      </c>
      <c r="AP535" t="s">
        <v>467</v>
      </c>
      <c r="AQ535" t="s">
        <v>74</v>
      </c>
      <c r="AR535" t="s">
        <v>468</v>
      </c>
      <c r="AS535" t="s">
        <v>469</v>
      </c>
      <c r="AT535" t="s">
        <v>7663</v>
      </c>
      <c r="AU535">
        <v>2020</v>
      </c>
      <c r="AV535">
        <v>82</v>
      </c>
      <c r="AW535" t="s">
        <v>74</v>
      </c>
      <c r="AX535" t="s">
        <v>74</v>
      </c>
      <c r="AY535" t="s">
        <v>74</v>
      </c>
      <c r="AZ535" t="s">
        <v>74</v>
      </c>
      <c r="BA535" t="s">
        <v>74</v>
      </c>
      <c r="BB535">
        <v>1</v>
      </c>
      <c r="BC535">
        <v>11</v>
      </c>
      <c r="BD535" t="s">
        <v>74</v>
      </c>
      <c r="BE535" t="s">
        <v>10748</v>
      </c>
      <c r="BF535" t="str">
        <f>HYPERLINK("http://dx.doi.org/10.1016/j.gr.2019.12.007","http://dx.doi.org/10.1016/j.gr.2019.12.007")</f>
        <v>http://dx.doi.org/10.1016/j.gr.2019.12.007</v>
      </c>
      <c r="BG535" t="s">
        <v>74</v>
      </c>
      <c r="BH535" t="s">
        <v>74</v>
      </c>
      <c r="BI535">
        <v>11</v>
      </c>
      <c r="BJ535" t="s">
        <v>471</v>
      </c>
      <c r="BK535" t="s">
        <v>102</v>
      </c>
      <c r="BL535" t="s">
        <v>472</v>
      </c>
      <c r="BM535" t="s">
        <v>10749</v>
      </c>
      <c r="BN535" t="s">
        <v>74</v>
      </c>
      <c r="BO535" t="s">
        <v>294</v>
      </c>
      <c r="BP535" t="s">
        <v>74</v>
      </c>
      <c r="BQ535" t="s">
        <v>74</v>
      </c>
      <c r="BR535" t="s">
        <v>106</v>
      </c>
      <c r="BS535" t="s">
        <v>10750</v>
      </c>
      <c r="BT535" t="str">
        <f>HYPERLINK("https%3A%2F%2Fwww.webofscience.com%2Fwos%2Fwoscc%2Ffull-record%2FWOS:000530084800001","View Full Record in Web of Science")</f>
        <v>View Full Record in Web of Science</v>
      </c>
    </row>
    <row r="536" spans="1:72" x14ac:dyDescent="0.15">
      <c r="A536" t="s">
        <v>72</v>
      </c>
      <c r="B536" t="s">
        <v>10751</v>
      </c>
      <c r="C536" t="s">
        <v>74</v>
      </c>
      <c r="D536" t="s">
        <v>74</v>
      </c>
      <c r="E536" t="s">
        <v>74</v>
      </c>
      <c r="F536" t="s">
        <v>10752</v>
      </c>
      <c r="G536" t="s">
        <v>74</v>
      </c>
      <c r="H536" t="s">
        <v>74</v>
      </c>
      <c r="I536" t="s">
        <v>10753</v>
      </c>
      <c r="J536" t="s">
        <v>453</v>
      </c>
      <c r="K536" t="s">
        <v>74</v>
      </c>
      <c r="L536" t="s">
        <v>74</v>
      </c>
      <c r="M536" t="s">
        <v>78</v>
      </c>
      <c r="N536" t="s">
        <v>79</v>
      </c>
      <c r="O536" t="s">
        <v>74</v>
      </c>
      <c r="P536" t="s">
        <v>74</v>
      </c>
      <c r="Q536" t="s">
        <v>74</v>
      </c>
      <c r="R536" t="s">
        <v>74</v>
      </c>
      <c r="S536" t="s">
        <v>74</v>
      </c>
      <c r="T536" t="s">
        <v>10754</v>
      </c>
      <c r="U536" t="s">
        <v>10755</v>
      </c>
      <c r="V536" t="s">
        <v>10756</v>
      </c>
      <c r="W536" t="s">
        <v>10757</v>
      </c>
      <c r="X536" t="s">
        <v>10758</v>
      </c>
      <c r="Y536" t="s">
        <v>10759</v>
      </c>
      <c r="Z536" t="s">
        <v>10760</v>
      </c>
      <c r="AA536" t="s">
        <v>10761</v>
      </c>
      <c r="AB536" t="s">
        <v>10762</v>
      </c>
      <c r="AC536" t="s">
        <v>10763</v>
      </c>
      <c r="AD536" t="s">
        <v>10764</v>
      </c>
      <c r="AE536" t="s">
        <v>10765</v>
      </c>
      <c r="AF536" t="s">
        <v>74</v>
      </c>
      <c r="AG536">
        <v>93</v>
      </c>
      <c r="AH536">
        <v>7</v>
      </c>
      <c r="AI536">
        <v>7</v>
      </c>
      <c r="AJ536">
        <v>1</v>
      </c>
      <c r="AK536">
        <v>7</v>
      </c>
      <c r="AL536" t="s">
        <v>284</v>
      </c>
      <c r="AM536" t="s">
        <v>285</v>
      </c>
      <c r="AN536" t="s">
        <v>713</v>
      </c>
      <c r="AO536" t="s">
        <v>466</v>
      </c>
      <c r="AP536" t="s">
        <v>467</v>
      </c>
      <c r="AQ536" t="s">
        <v>74</v>
      </c>
      <c r="AR536" t="s">
        <v>468</v>
      </c>
      <c r="AS536" t="s">
        <v>469</v>
      </c>
      <c r="AT536" t="s">
        <v>7663</v>
      </c>
      <c r="AU536">
        <v>2020</v>
      </c>
      <c r="AV536">
        <v>82</v>
      </c>
      <c r="AW536" t="s">
        <v>74</v>
      </c>
      <c r="AX536" t="s">
        <v>74</v>
      </c>
      <c r="AY536" t="s">
        <v>74</v>
      </c>
      <c r="AZ536" t="s">
        <v>74</v>
      </c>
      <c r="BA536" t="s">
        <v>74</v>
      </c>
      <c r="BB536">
        <v>151</v>
      </c>
      <c r="BC536">
        <v>170</v>
      </c>
      <c r="BD536" t="s">
        <v>74</v>
      </c>
      <c r="BE536" t="s">
        <v>10766</v>
      </c>
      <c r="BF536" t="str">
        <f>HYPERLINK("http://dx.doi.org/10.1016/j.gr.2019.12.014","http://dx.doi.org/10.1016/j.gr.2019.12.014")</f>
        <v>http://dx.doi.org/10.1016/j.gr.2019.12.014</v>
      </c>
      <c r="BG536" t="s">
        <v>74</v>
      </c>
      <c r="BH536" t="s">
        <v>74</v>
      </c>
      <c r="BI536">
        <v>20</v>
      </c>
      <c r="BJ536" t="s">
        <v>471</v>
      </c>
      <c r="BK536" t="s">
        <v>102</v>
      </c>
      <c r="BL536" t="s">
        <v>472</v>
      </c>
      <c r="BM536" t="s">
        <v>10749</v>
      </c>
      <c r="BN536" t="s">
        <v>74</v>
      </c>
      <c r="BO536" t="s">
        <v>74</v>
      </c>
      <c r="BP536" t="s">
        <v>74</v>
      </c>
      <c r="BQ536" t="s">
        <v>74</v>
      </c>
      <c r="BR536" t="s">
        <v>106</v>
      </c>
      <c r="BS536" t="s">
        <v>10767</v>
      </c>
      <c r="BT536" t="str">
        <f>HYPERLINK("https%3A%2F%2Fwww.webofscience.com%2Fwos%2Fwoscc%2Ffull-record%2FWOS:000530084800009","View Full Record in Web of Science")</f>
        <v>View Full Record in Web of Science</v>
      </c>
    </row>
    <row r="537" spans="1:72" x14ac:dyDescent="0.15">
      <c r="A537" t="s">
        <v>72</v>
      </c>
      <c r="B537" t="s">
        <v>10768</v>
      </c>
      <c r="C537" t="s">
        <v>74</v>
      </c>
      <c r="D537" t="s">
        <v>74</v>
      </c>
      <c r="E537" t="s">
        <v>74</v>
      </c>
      <c r="F537" t="s">
        <v>10769</v>
      </c>
      <c r="G537" t="s">
        <v>74</v>
      </c>
      <c r="H537" t="s">
        <v>74</v>
      </c>
      <c r="I537" t="s">
        <v>10770</v>
      </c>
      <c r="J537" t="s">
        <v>10771</v>
      </c>
      <c r="K537" t="s">
        <v>74</v>
      </c>
      <c r="L537" t="s">
        <v>74</v>
      </c>
      <c r="M537" t="s">
        <v>78</v>
      </c>
      <c r="N537" t="s">
        <v>79</v>
      </c>
      <c r="O537" t="s">
        <v>74</v>
      </c>
      <c r="P537" t="s">
        <v>74</v>
      </c>
      <c r="Q537" t="s">
        <v>74</v>
      </c>
      <c r="R537" t="s">
        <v>74</v>
      </c>
      <c r="S537" t="s">
        <v>74</v>
      </c>
      <c r="T537" t="s">
        <v>10772</v>
      </c>
      <c r="U537" t="s">
        <v>74</v>
      </c>
      <c r="V537" t="s">
        <v>10773</v>
      </c>
      <c r="W537" t="s">
        <v>10774</v>
      </c>
      <c r="X537" t="s">
        <v>10775</v>
      </c>
      <c r="Y537" t="s">
        <v>10776</v>
      </c>
      <c r="Z537" t="s">
        <v>10777</v>
      </c>
      <c r="AA537" t="s">
        <v>74</v>
      </c>
      <c r="AB537" t="s">
        <v>74</v>
      </c>
      <c r="AC537" t="s">
        <v>74</v>
      </c>
      <c r="AD537" t="s">
        <v>74</v>
      </c>
      <c r="AE537" t="s">
        <v>74</v>
      </c>
      <c r="AF537" t="s">
        <v>74</v>
      </c>
      <c r="AG537">
        <v>22</v>
      </c>
      <c r="AH537">
        <v>4</v>
      </c>
      <c r="AI537">
        <v>4</v>
      </c>
      <c r="AJ537">
        <v>0</v>
      </c>
      <c r="AK537">
        <v>1</v>
      </c>
      <c r="AL537" t="s">
        <v>1321</v>
      </c>
      <c r="AM537" t="s">
        <v>1322</v>
      </c>
      <c r="AN537" t="s">
        <v>1323</v>
      </c>
      <c r="AO537" t="s">
        <v>10778</v>
      </c>
      <c r="AP537" t="s">
        <v>10779</v>
      </c>
      <c r="AQ537" t="s">
        <v>74</v>
      </c>
      <c r="AR537" t="s">
        <v>10780</v>
      </c>
      <c r="AS537" t="s">
        <v>10781</v>
      </c>
      <c r="AT537" t="s">
        <v>7663</v>
      </c>
      <c r="AU537">
        <v>2020</v>
      </c>
      <c r="AV537">
        <v>14</v>
      </c>
      <c r="AW537">
        <v>2</v>
      </c>
      <c r="AX537" t="s">
        <v>74</v>
      </c>
      <c r="AY537" t="s">
        <v>74</v>
      </c>
      <c r="AZ537" t="s">
        <v>74</v>
      </c>
      <c r="BA537" t="s">
        <v>74</v>
      </c>
      <c r="BB537">
        <v>467</v>
      </c>
      <c r="BC537">
        <v>479</v>
      </c>
      <c r="BD537" t="s">
        <v>74</v>
      </c>
      <c r="BE537" t="s">
        <v>10782</v>
      </c>
      <c r="BF537" t="str">
        <f>HYPERLINK("http://dx.doi.org/10.1007/s12008-019-00629-9","http://dx.doi.org/10.1007/s12008-019-00629-9")</f>
        <v>http://dx.doi.org/10.1007/s12008-019-00629-9</v>
      </c>
      <c r="BG537" t="s">
        <v>74</v>
      </c>
      <c r="BH537" t="s">
        <v>74</v>
      </c>
      <c r="BI537">
        <v>13</v>
      </c>
      <c r="BJ537" t="s">
        <v>10783</v>
      </c>
      <c r="BK537" t="s">
        <v>3838</v>
      </c>
      <c r="BL537" t="s">
        <v>6515</v>
      </c>
      <c r="BM537" t="s">
        <v>10784</v>
      </c>
      <c r="BN537" t="s">
        <v>74</v>
      </c>
      <c r="BO537" t="s">
        <v>74</v>
      </c>
      <c r="BP537" t="s">
        <v>74</v>
      </c>
      <c r="BQ537" t="s">
        <v>74</v>
      </c>
      <c r="BR537" t="s">
        <v>106</v>
      </c>
      <c r="BS537" t="s">
        <v>10785</v>
      </c>
      <c r="BT537" t="str">
        <f>HYPERLINK("https%3A%2F%2Fwww.webofscience.com%2Fwos%2Fwoscc%2Ffull-record%2FWOS:000529407800010","View Full Record in Web of Science")</f>
        <v>View Full Record in Web of Science</v>
      </c>
    </row>
    <row r="538" spans="1:72" x14ac:dyDescent="0.15">
      <c r="A538" t="s">
        <v>72</v>
      </c>
      <c r="B538" t="s">
        <v>10786</v>
      </c>
      <c r="C538" t="s">
        <v>74</v>
      </c>
      <c r="D538" t="s">
        <v>74</v>
      </c>
      <c r="E538" t="s">
        <v>74</v>
      </c>
      <c r="F538" t="s">
        <v>10787</v>
      </c>
      <c r="G538" t="s">
        <v>74</v>
      </c>
      <c r="H538" t="s">
        <v>74</v>
      </c>
      <c r="I538" t="s">
        <v>10788</v>
      </c>
      <c r="J538" t="s">
        <v>10182</v>
      </c>
      <c r="K538" t="s">
        <v>74</v>
      </c>
      <c r="L538" t="s">
        <v>74</v>
      </c>
      <c r="M538" t="s">
        <v>78</v>
      </c>
      <c r="N538" t="s">
        <v>79</v>
      </c>
      <c r="O538" t="s">
        <v>74</v>
      </c>
      <c r="P538" t="s">
        <v>74</v>
      </c>
      <c r="Q538" t="s">
        <v>74</v>
      </c>
      <c r="R538" t="s">
        <v>74</v>
      </c>
      <c r="S538" t="s">
        <v>74</v>
      </c>
      <c r="T538" t="s">
        <v>74</v>
      </c>
      <c r="U538" t="s">
        <v>10789</v>
      </c>
      <c r="V538" t="s">
        <v>10790</v>
      </c>
      <c r="W538" t="s">
        <v>10791</v>
      </c>
      <c r="X538" t="s">
        <v>10792</v>
      </c>
      <c r="Y538" t="s">
        <v>10793</v>
      </c>
      <c r="Z538" t="s">
        <v>10794</v>
      </c>
      <c r="AA538" t="s">
        <v>10795</v>
      </c>
      <c r="AB538" t="s">
        <v>10796</v>
      </c>
      <c r="AC538" t="s">
        <v>10797</v>
      </c>
      <c r="AD538" t="s">
        <v>10798</v>
      </c>
      <c r="AE538" t="s">
        <v>10799</v>
      </c>
      <c r="AF538" t="s">
        <v>74</v>
      </c>
      <c r="AG538">
        <v>33</v>
      </c>
      <c r="AH538">
        <v>3</v>
      </c>
      <c r="AI538">
        <v>3</v>
      </c>
      <c r="AJ538">
        <v>0</v>
      </c>
      <c r="AK538">
        <v>8</v>
      </c>
      <c r="AL538" t="s">
        <v>284</v>
      </c>
      <c r="AM538" t="s">
        <v>285</v>
      </c>
      <c r="AN538" t="s">
        <v>286</v>
      </c>
      <c r="AO538" t="s">
        <v>10194</v>
      </c>
      <c r="AP538" t="s">
        <v>10195</v>
      </c>
      <c r="AQ538" t="s">
        <v>74</v>
      </c>
      <c r="AR538" t="s">
        <v>10196</v>
      </c>
      <c r="AS538" t="s">
        <v>10197</v>
      </c>
      <c r="AT538" t="s">
        <v>7663</v>
      </c>
      <c r="AU538">
        <v>2020</v>
      </c>
      <c r="AV538">
        <v>527</v>
      </c>
      <c r="AW538" t="s">
        <v>74</v>
      </c>
      <c r="AX538" t="s">
        <v>74</v>
      </c>
      <c r="AY538" t="s">
        <v>74</v>
      </c>
      <c r="AZ538" t="s">
        <v>74</v>
      </c>
      <c r="BA538" t="s">
        <v>74</v>
      </c>
      <c r="BB538" t="s">
        <v>74</v>
      </c>
      <c r="BC538" t="s">
        <v>74</v>
      </c>
      <c r="BD538">
        <v>151360</v>
      </c>
      <c r="BE538" t="s">
        <v>10800</v>
      </c>
      <c r="BF538" t="str">
        <f>HYPERLINK("http://dx.doi.org/10.1016/j.jembe.2020.151360","http://dx.doi.org/10.1016/j.jembe.2020.151360")</f>
        <v>http://dx.doi.org/10.1016/j.jembe.2020.151360</v>
      </c>
      <c r="BG538" t="s">
        <v>74</v>
      </c>
      <c r="BH538" t="s">
        <v>74</v>
      </c>
      <c r="BI538">
        <v>8</v>
      </c>
      <c r="BJ538" t="s">
        <v>7787</v>
      </c>
      <c r="BK538" t="s">
        <v>102</v>
      </c>
      <c r="BL538" t="s">
        <v>238</v>
      </c>
      <c r="BM538" t="s">
        <v>10199</v>
      </c>
      <c r="BN538" t="s">
        <v>74</v>
      </c>
      <c r="BO538" t="s">
        <v>319</v>
      </c>
      <c r="BP538" t="s">
        <v>74</v>
      </c>
      <c r="BQ538" t="s">
        <v>74</v>
      </c>
      <c r="BR538" t="s">
        <v>106</v>
      </c>
      <c r="BS538" t="s">
        <v>10801</v>
      </c>
      <c r="BT538" t="str">
        <f>HYPERLINK("https%3A%2F%2Fwww.webofscience.com%2Fwos%2Fwoscc%2Ffull-record%2FWOS:000529798200005","View Full Record in Web of Science")</f>
        <v>View Full Record in Web of Science</v>
      </c>
    </row>
    <row r="539" spans="1:72" x14ac:dyDescent="0.15">
      <c r="A539" t="s">
        <v>72</v>
      </c>
      <c r="B539" t="s">
        <v>10802</v>
      </c>
      <c r="C539" t="s">
        <v>74</v>
      </c>
      <c r="D539" t="s">
        <v>74</v>
      </c>
      <c r="E539" t="s">
        <v>74</v>
      </c>
      <c r="F539" t="s">
        <v>10803</v>
      </c>
      <c r="G539" t="s">
        <v>74</v>
      </c>
      <c r="H539" t="s">
        <v>74</v>
      </c>
      <c r="I539" t="s">
        <v>10804</v>
      </c>
      <c r="J539" t="s">
        <v>10805</v>
      </c>
      <c r="K539" t="s">
        <v>74</v>
      </c>
      <c r="L539" t="s">
        <v>74</v>
      </c>
      <c r="M539" t="s">
        <v>78</v>
      </c>
      <c r="N539" t="s">
        <v>79</v>
      </c>
      <c r="O539" t="s">
        <v>74</v>
      </c>
      <c r="P539" t="s">
        <v>74</v>
      </c>
      <c r="Q539" t="s">
        <v>74</v>
      </c>
      <c r="R539" t="s">
        <v>74</v>
      </c>
      <c r="S539" t="s">
        <v>74</v>
      </c>
      <c r="T539" t="s">
        <v>10806</v>
      </c>
      <c r="U539" t="s">
        <v>10807</v>
      </c>
      <c r="V539" t="s">
        <v>10808</v>
      </c>
      <c r="W539" t="s">
        <v>10809</v>
      </c>
      <c r="X539" t="s">
        <v>10810</v>
      </c>
      <c r="Y539" t="s">
        <v>10811</v>
      </c>
      <c r="Z539" t="s">
        <v>3745</v>
      </c>
      <c r="AA539" t="s">
        <v>10812</v>
      </c>
      <c r="AB539" t="s">
        <v>10813</v>
      </c>
      <c r="AC539" t="s">
        <v>74</v>
      </c>
      <c r="AD539" t="s">
        <v>74</v>
      </c>
      <c r="AE539" t="s">
        <v>74</v>
      </c>
      <c r="AF539" t="s">
        <v>74</v>
      </c>
      <c r="AG539">
        <v>45</v>
      </c>
      <c r="AH539">
        <v>4</v>
      </c>
      <c r="AI539">
        <v>4</v>
      </c>
      <c r="AJ539">
        <v>0</v>
      </c>
      <c r="AK539">
        <v>18</v>
      </c>
      <c r="AL539" t="s">
        <v>284</v>
      </c>
      <c r="AM539" t="s">
        <v>285</v>
      </c>
      <c r="AN539" t="s">
        <v>286</v>
      </c>
      <c r="AO539" t="s">
        <v>10814</v>
      </c>
      <c r="AP539" t="s">
        <v>10815</v>
      </c>
      <c r="AQ539" t="s">
        <v>74</v>
      </c>
      <c r="AR539" t="s">
        <v>10816</v>
      </c>
      <c r="AS539" t="s">
        <v>10817</v>
      </c>
      <c r="AT539" t="s">
        <v>7663</v>
      </c>
      <c r="AU539">
        <v>2020</v>
      </c>
      <c r="AV539">
        <v>226</v>
      </c>
      <c r="AW539" t="s">
        <v>74</v>
      </c>
      <c r="AX539" t="s">
        <v>74</v>
      </c>
      <c r="AY539" t="s">
        <v>74</v>
      </c>
      <c r="AZ539" t="s">
        <v>74</v>
      </c>
      <c r="BA539" t="s">
        <v>74</v>
      </c>
      <c r="BB539" t="s">
        <v>74</v>
      </c>
      <c r="BC539" t="s">
        <v>74</v>
      </c>
      <c r="BD539">
        <v>105529</v>
      </c>
      <c r="BE539" t="s">
        <v>10818</v>
      </c>
      <c r="BF539" t="str">
        <f>HYPERLINK("http://dx.doi.org/10.1016/j.fishres.2020.105529","http://dx.doi.org/10.1016/j.fishres.2020.105529")</f>
        <v>http://dx.doi.org/10.1016/j.fishres.2020.105529</v>
      </c>
      <c r="BG539" t="s">
        <v>74</v>
      </c>
      <c r="BH539" t="s">
        <v>74</v>
      </c>
      <c r="BI539">
        <v>8</v>
      </c>
      <c r="BJ539" t="s">
        <v>4943</v>
      </c>
      <c r="BK539" t="s">
        <v>925</v>
      </c>
      <c r="BL539" t="s">
        <v>4943</v>
      </c>
      <c r="BM539" t="s">
        <v>10819</v>
      </c>
      <c r="BN539" t="s">
        <v>74</v>
      </c>
      <c r="BO539" t="s">
        <v>74</v>
      </c>
      <c r="BP539" t="s">
        <v>74</v>
      </c>
      <c r="BQ539" t="s">
        <v>74</v>
      </c>
      <c r="BR539" t="s">
        <v>106</v>
      </c>
      <c r="BS539" t="s">
        <v>10820</v>
      </c>
      <c r="BT539" t="str">
        <f>HYPERLINK("https%3A%2F%2Fwww.webofscience.com%2Fwos%2Fwoscc%2Ffull-record%2FWOS:000525305200014","View Full Record in Web of Science")</f>
        <v>View Full Record in Web of Science</v>
      </c>
    </row>
    <row r="540" spans="1:72" x14ac:dyDescent="0.15">
      <c r="A540" t="s">
        <v>72</v>
      </c>
      <c r="B540" t="s">
        <v>10821</v>
      </c>
      <c r="C540" t="s">
        <v>74</v>
      </c>
      <c r="D540" t="s">
        <v>74</v>
      </c>
      <c r="E540" t="s">
        <v>74</v>
      </c>
      <c r="F540" t="s">
        <v>10822</v>
      </c>
      <c r="G540" t="s">
        <v>74</v>
      </c>
      <c r="H540" t="s">
        <v>74</v>
      </c>
      <c r="I540" t="s">
        <v>10823</v>
      </c>
      <c r="J540" t="s">
        <v>839</v>
      </c>
      <c r="K540" t="s">
        <v>74</v>
      </c>
      <c r="L540" t="s">
        <v>74</v>
      </c>
      <c r="M540" t="s">
        <v>78</v>
      </c>
      <c r="N540" t="s">
        <v>79</v>
      </c>
      <c r="O540" t="s">
        <v>74</v>
      </c>
      <c r="P540" t="s">
        <v>74</v>
      </c>
      <c r="Q540" t="s">
        <v>74</v>
      </c>
      <c r="R540" t="s">
        <v>74</v>
      </c>
      <c r="S540" t="s">
        <v>74</v>
      </c>
      <c r="T540" t="s">
        <v>10824</v>
      </c>
      <c r="U540" t="s">
        <v>10825</v>
      </c>
      <c r="V540" t="s">
        <v>10826</v>
      </c>
      <c r="W540" t="s">
        <v>10827</v>
      </c>
      <c r="X540" t="s">
        <v>10828</v>
      </c>
      <c r="Y540" t="s">
        <v>10829</v>
      </c>
      <c r="Z540" t="s">
        <v>10830</v>
      </c>
      <c r="AA540" t="s">
        <v>10831</v>
      </c>
      <c r="AB540" t="s">
        <v>10832</v>
      </c>
      <c r="AC540" t="s">
        <v>10833</v>
      </c>
      <c r="AD540" t="s">
        <v>10834</v>
      </c>
      <c r="AE540" t="s">
        <v>10835</v>
      </c>
      <c r="AF540" t="s">
        <v>74</v>
      </c>
      <c r="AG540">
        <v>93</v>
      </c>
      <c r="AH540">
        <v>13</v>
      </c>
      <c r="AI540">
        <v>14</v>
      </c>
      <c r="AJ540">
        <v>4</v>
      </c>
      <c r="AK540">
        <v>46</v>
      </c>
      <c r="AL540" t="s">
        <v>398</v>
      </c>
      <c r="AM540" t="s">
        <v>399</v>
      </c>
      <c r="AN540" t="s">
        <v>400</v>
      </c>
      <c r="AO540" t="s">
        <v>849</v>
      </c>
      <c r="AP540" t="s">
        <v>850</v>
      </c>
      <c r="AQ540" t="s">
        <v>74</v>
      </c>
      <c r="AR540" t="s">
        <v>851</v>
      </c>
      <c r="AS540" t="s">
        <v>852</v>
      </c>
      <c r="AT540" t="s">
        <v>9394</v>
      </c>
      <c r="AU540">
        <v>2020</v>
      </c>
      <c r="AV540">
        <v>242</v>
      </c>
      <c r="AW540" t="s">
        <v>74</v>
      </c>
      <c r="AX540" t="s">
        <v>74</v>
      </c>
      <c r="AY540" t="s">
        <v>74</v>
      </c>
      <c r="AZ540" t="s">
        <v>74</v>
      </c>
      <c r="BA540" t="s">
        <v>74</v>
      </c>
      <c r="BB540" t="s">
        <v>74</v>
      </c>
      <c r="BC540" t="s">
        <v>74</v>
      </c>
      <c r="BD540">
        <v>111782</v>
      </c>
      <c r="BE540" t="s">
        <v>10836</v>
      </c>
      <c r="BF540" t="str">
        <f>HYPERLINK("http://dx.doi.org/10.1016/j.rse.2020.111782","http://dx.doi.org/10.1016/j.rse.2020.111782")</f>
        <v>http://dx.doi.org/10.1016/j.rse.2020.111782</v>
      </c>
      <c r="BG540" t="s">
        <v>74</v>
      </c>
      <c r="BH540" t="s">
        <v>74</v>
      </c>
      <c r="BI540">
        <v>18</v>
      </c>
      <c r="BJ540" t="s">
        <v>854</v>
      </c>
      <c r="BK540" t="s">
        <v>102</v>
      </c>
      <c r="BL540" t="s">
        <v>855</v>
      </c>
      <c r="BM540" t="s">
        <v>10413</v>
      </c>
      <c r="BN540" t="s">
        <v>74</v>
      </c>
      <c r="BO540" t="s">
        <v>74</v>
      </c>
      <c r="BP540" t="s">
        <v>74</v>
      </c>
      <c r="BQ540" t="s">
        <v>74</v>
      </c>
      <c r="BR540" t="s">
        <v>106</v>
      </c>
      <c r="BS540" t="s">
        <v>10837</v>
      </c>
      <c r="BT540" t="str">
        <f>HYPERLINK("https%3A%2F%2Fwww.webofscience.com%2Fwos%2Fwoscc%2Ffull-record%2FWOS:000523965600019","View Full Record in Web of Science")</f>
        <v>View Full Record in Web of Science</v>
      </c>
    </row>
    <row r="541" spans="1:72" x14ac:dyDescent="0.15">
      <c r="A541" t="s">
        <v>72</v>
      </c>
      <c r="B541" t="s">
        <v>10838</v>
      </c>
      <c r="C541" t="s">
        <v>74</v>
      </c>
      <c r="D541" t="s">
        <v>74</v>
      </c>
      <c r="E541" t="s">
        <v>74</v>
      </c>
      <c r="F541" t="s">
        <v>10839</v>
      </c>
      <c r="G541" t="s">
        <v>74</v>
      </c>
      <c r="H541" t="s">
        <v>74</v>
      </c>
      <c r="I541" t="s">
        <v>10840</v>
      </c>
      <c r="J541" t="s">
        <v>1783</v>
      </c>
      <c r="K541" t="s">
        <v>74</v>
      </c>
      <c r="L541" t="s">
        <v>74</v>
      </c>
      <c r="M541" t="s">
        <v>78</v>
      </c>
      <c r="N541" t="s">
        <v>79</v>
      </c>
      <c r="O541" t="s">
        <v>74</v>
      </c>
      <c r="P541" t="s">
        <v>74</v>
      </c>
      <c r="Q541" t="s">
        <v>74</v>
      </c>
      <c r="R541" t="s">
        <v>74</v>
      </c>
      <c r="S541" t="s">
        <v>74</v>
      </c>
      <c r="T541" t="s">
        <v>10841</v>
      </c>
      <c r="U541" t="s">
        <v>10842</v>
      </c>
      <c r="V541" t="s">
        <v>10843</v>
      </c>
      <c r="W541" t="s">
        <v>10844</v>
      </c>
      <c r="X541" t="s">
        <v>10845</v>
      </c>
      <c r="Y541" t="s">
        <v>10846</v>
      </c>
      <c r="Z541" t="s">
        <v>10847</v>
      </c>
      <c r="AA541" t="s">
        <v>10848</v>
      </c>
      <c r="AB541" t="s">
        <v>10849</v>
      </c>
      <c r="AC541" t="s">
        <v>10850</v>
      </c>
      <c r="AD541" t="s">
        <v>10851</v>
      </c>
      <c r="AE541" t="s">
        <v>10852</v>
      </c>
      <c r="AF541" t="s">
        <v>74</v>
      </c>
      <c r="AG541">
        <v>45</v>
      </c>
      <c r="AH541">
        <v>4</v>
      </c>
      <c r="AI541">
        <v>4</v>
      </c>
      <c r="AJ541">
        <v>1</v>
      </c>
      <c r="AK541">
        <v>14</v>
      </c>
      <c r="AL541" t="s">
        <v>1440</v>
      </c>
      <c r="AM541" t="s">
        <v>399</v>
      </c>
      <c r="AN541" t="s">
        <v>1441</v>
      </c>
      <c r="AO541" t="s">
        <v>1796</v>
      </c>
      <c r="AP541" t="s">
        <v>1797</v>
      </c>
      <c r="AQ541" t="s">
        <v>74</v>
      </c>
      <c r="AR541" t="s">
        <v>1798</v>
      </c>
      <c r="AS541" t="s">
        <v>1799</v>
      </c>
      <c r="AT541" t="s">
        <v>3950</v>
      </c>
      <c r="AU541">
        <v>2020</v>
      </c>
      <c r="AV541">
        <v>43</v>
      </c>
      <c r="AW541">
        <v>7</v>
      </c>
      <c r="AX541" t="s">
        <v>74</v>
      </c>
      <c r="AY541" t="s">
        <v>74</v>
      </c>
      <c r="AZ541" t="s">
        <v>74</v>
      </c>
      <c r="BA541" t="s">
        <v>74</v>
      </c>
      <c r="BB541">
        <v>911</v>
      </c>
      <c r="BC541">
        <v>917</v>
      </c>
      <c r="BD541" t="s">
        <v>74</v>
      </c>
      <c r="BE541" t="s">
        <v>10853</v>
      </c>
      <c r="BF541" t="str">
        <f>HYPERLINK("http://dx.doi.org/10.1007/s00300-020-02683-6","http://dx.doi.org/10.1007/s00300-020-02683-6")</f>
        <v>http://dx.doi.org/10.1007/s00300-020-02683-6</v>
      </c>
      <c r="BG541" t="s">
        <v>74</v>
      </c>
      <c r="BH541" t="s">
        <v>10854</v>
      </c>
      <c r="BI541">
        <v>7</v>
      </c>
      <c r="BJ541" t="s">
        <v>1004</v>
      </c>
      <c r="BK541" t="s">
        <v>102</v>
      </c>
      <c r="BL541" t="s">
        <v>1005</v>
      </c>
      <c r="BM541" t="s">
        <v>6677</v>
      </c>
      <c r="BN541" t="s">
        <v>74</v>
      </c>
      <c r="BO541" t="s">
        <v>74</v>
      </c>
      <c r="BP541" t="s">
        <v>74</v>
      </c>
      <c r="BQ541" t="s">
        <v>74</v>
      </c>
      <c r="BR541" t="s">
        <v>106</v>
      </c>
      <c r="BS541" t="s">
        <v>10855</v>
      </c>
      <c r="BT541" t="str">
        <f>HYPERLINK("https%3A%2F%2Fwww.webofscience.com%2Fwos%2Fwoscc%2Ffull-record%2FWOS:000536750100001","View Full Record in Web of Science")</f>
        <v>View Full Record in Web of Science</v>
      </c>
    </row>
    <row r="542" spans="1:72" x14ac:dyDescent="0.15">
      <c r="A542" t="s">
        <v>72</v>
      </c>
      <c r="B542" t="s">
        <v>10856</v>
      </c>
      <c r="C542" t="s">
        <v>74</v>
      </c>
      <c r="D542" t="s">
        <v>74</v>
      </c>
      <c r="E542" t="s">
        <v>74</v>
      </c>
      <c r="F542" t="s">
        <v>10857</v>
      </c>
      <c r="G542" t="s">
        <v>74</v>
      </c>
      <c r="H542" t="s">
        <v>74</v>
      </c>
      <c r="I542" t="s">
        <v>10858</v>
      </c>
      <c r="J542" t="s">
        <v>10859</v>
      </c>
      <c r="K542" t="s">
        <v>74</v>
      </c>
      <c r="L542" t="s">
        <v>74</v>
      </c>
      <c r="M542" t="s">
        <v>78</v>
      </c>
      <c r="N542" t="s">
        <v>79</v>
      </c>
      <c r="O542" t="s">
        <v>74</v>
      </c>
      <c r="P542" t="s">
        <v>74</v>
      </c>
      <c r="Q542" t="s">
        <v>74</v>
      </c>
      <c r="R542" t="s">
        <v>74</v>
      </c>
      <c r="S542" t="s">
        <v>74</v>
      </c>
      <c r="T542" t="s">
        <v>10860</v>
      </c>
      <c r="U542" t="s">
        <v>10861</v>
      </c>
      <c r="V542" t="s">
        <v>10862</v>
      </c>
      <c r="W542" t="s">
        <v>10863</v>
      </c>
      <c r="X542" t="s">
        <v>10864</v>
      </c>
      <c r="Y542" t="s">
        <v>10865</v>
      </c>
      <c r="Z542" t="s">
        <v>10866</v>
      </c>
      <c r="AA542" t="s">
        <v>10867</v>
      </c>
      <c r="AB542" t="s">
        <v>10868</v>
      </c>
      <c r="AC542" t="s">
        <v>10869</v>
      </c>
      <c r="AD542" t="s">
        <v>10870</v>
      </c>
      <c r="AE542" t="s">
        <v>10871</v>
      </c>
      <c r="AF542" t="s">
        <v>74</v>
      </c>
      <c r="AG542">
        <v>41</v>
      </c>
      <c r="AH542">
        <v>4</v>
      </c>
      <c r="AI542">
        <v>4</v>
      </c>
      <c r="AJ542">
        <v>2</v>
      </c>
      <c r="AK542">
        <v>25</v>
      </c>
      <c r="AL542" t="s">
        <v>124</v>
      </c>
      <c r="AM542" t="s">
        <v>93</v>
      </c>
      <c r="AN542" t="s">
        <v>125</v>
      </c>
      <c r="AO542" t="s">
        <v>10872</v>
      </c>
      <c r="AP542" t="s">
        <v>10873</v>
      </c>
      <c r="AQ542" t="s">
        <v>74</v>
      </c>
      <c r="AR542" t="s">
        <v>10874</v>
      </c>
      <c r="AS542" t="s">
        <v>10875</v>
      </c>
      <c r="AT542" t="s">
        <v>10876</v>
      </c>
      <c r="AU542">
        <v>2020</v>
      </c>
      <c r="AV542">
        <v>71</v>
      </c>
      <c r="AW542">
        <v>10</v>
      </c>
      <c r="AX542" t="s">
        <v>74</v>
      </c>
      <c r="AY542" t="s">
        <v>74</v>
      </c>
      <c r="AZ542" t="s">
        <v>74</v>
      </c>
      <c r="BA542" t="s">
        <v>74</v>
      </c>
      <c r="BB542">
        <v>2933</v>
      </c>
      <c r="BC542">
        <v>2942</v>
      </c>
      <c r="BD542" t="s">
        <v>74</v>
      </c>
      <c r="BE542" t="s">
        <v>10877</v>
      </c>
      <c r="BF542" t="str">
        <f>HYPERLINK("http://dx.doi.org/10.1093/jxb/eraa071","http://dx.doi.org/10.1093/jxb/eraa071")</f>
        <v>http://dx.doi.org/10.1093/jxb/eraa071</v>
      </c>
      <c r="BG542" t="s">
        <v>74</v>
      </c>
      <c r="BH542" t="s">
        <v>74</v>
      </c>
      <c r="BI542">
        <v>10</v>
      </c>
      <c r="BJ542" t="s">
        <v>1635</v>
      </c>
      <c r="BK542" t="s">
        <v>102</v>
      </c>
      <c r="BL542" t="s">
        <v>1635</v>
      </c>
      <c r="BM542" t="s">
        <v>10878</v>
      </c>
      <c r="BN542">
        <v>32060560</v>
      </c>
      <c r="BO542" t="s">
        <v>74</v>
      </c>
      <c r="BP542" t="s">
        <v>74</v>
      </c>
      <c r="BQ542" t="s">
        <v>74</v>
      </c>
      <c r="BR542" t="s">
        <v>106</v>
      </c>
      <c r="BS542" t="s">
        <v>10879</v>
      </c>
      <c r="BT542" t="str">
        <f>HYPERLINK("https%3A%2F%2Fwww.webofscience.com%2Fwos%2Fwoscc%2Ffull-record%2FWOS:000538790700011","View Full Record in Web of Science")</f>
        <v>View Full Record in Web of Science</v>
      </c>
    </row>
    <row r="543" spans="1:72" x14ac:dyDescent="0.15">
      <c r="A543" t="s">
        <v>72</v>
      </c>
      <c r="B543" t="s">
        <v>10880</v>
      </c>
      <c r="C543" t="s">
        <v>74</v>
      </c>
      <c r="D543" t="s">
        <v>74</v>
      </c>
      <c r="E543" t="s">
        <v>74</v>
      </c>
      <c r="F543" t="s">
        <v>10881</v>
      </c>
      <c r="G543" t="s">
        <v>74</v>
      </c>
      <c r="H543" t="s">
        <v>74</v>
      </c>
      <c r="I543" t="s">
        <v>10882</v>
      </c>
      <c r="J543" t="s">
        <v>10883</v>
      </c>
      <c r="K543" t="s">
        <v>74</v>
      </c>
      <c r="L543" t="s">
        <v>74</v>
      </c>
      <c r="M543" t="s">
        <v>78</v>
      </c>
      <c r="N543" t="s">
        <v>1850</v>
      </c>
      <c r="O543" t="s">
        <v>74</v>
      </c>
      <c r="P543" t="s">
        <v>74</v>
      </c>
      <c r="Q543" t="s">
        <v>74</v>
      </c>
      <c r="R543" t="s">
        <v>74</v>
      </c>
      <c r="S543" t="s">
        <v>74</v>
      </c>
      <c r="T543" t="s">
        <v>74</v>
      </c>
      <c r="U543" t="s">
        <v>74</v>
      </c>
      <c r="V543" t="s">
        <v>74</v>
      </c>
      <c r="W543" t="s">
        <v>74</v>
      </c>
      <c r="X543" t="s">
        <v>74</v>
      </c>
      <c r="Y543" t="s">
        <v>74</v>
      </c>
      <c r="Z543" t="s">
        <v>74</v>
      </c>
      <c r="AA543" t="s">
        <v>74</v>
      </c>
      <c r="AB543" t="s">
        <v>74</v>
      </c>
      <c r="AC543" t="s">
        <v>74</v>
      </c>
      <c r="AD543" t="s">
        <v>74</v>
      </c>
      <c r="AE543" t="s">
        <v>74</v>
      </c>
      <c r="AF543" t="s">
        <v>74</v>
      </c>
      <c r="AG543">
        <v>0</v>
      </c>
      <c r="AH543">
        <v>0</v>
      </c>
      <c r="AI543">
        <v>0</v>
      </c>
      <c r="AJ543">
        <v>0</v>
      </c>
      <c r="AK543">
        <v>2</v>
      </c>
      <c r="AL543" t="s">
        <v>10884</v>
      </c>
      <c r="AM543" t="s">
        <v>945</v>
      </c>
      <c r="AN543" t="s">
        <v>10885</v>
      </c>
      <c r="AO543" t="s">
        <v>10886</v>
      </c>
      <c r="AP543" t="s">
        <v>74</v>
      </c>
      <c r="AQ543" t="s">
        <v>74</v>
      </c>
      <c r="AR543" t="s">
        <v>10887</v>
      </c>
      <c r="AS543" t="s">
        <v>10888</v>
      </c>
      <c r="AT543" t="s">
        <v>10876</v>
      </c>
      <c r="AU543">
        <v>2020</v>
      </c>
      <c r="AV543">
        <v>245</v>
      </c>
      <c r="AW543">
        <v>3284</v>
      </c>
      <c r="AX543" t="s">
        <v>74</v>
      </c>
      <c r="AY543" t="s">
        <v>74</v>
      </c>
      <c r="AZ543" t="s">
        <v>74</v>
      </c>
      <c r="BA543" t="s">
        <v>74</v>
      </c>
      <c r="BB543">
        <v>41</v>
      </c>
      <c r="BC543">
        <v>45</v>
      </c>
      <c r="BD543" t="s">
        <v>74</v>
      </c>
      <c r="BE543" t="s">
        <v>74</v>
      </c>
      <c r="BF543" t="s">
        <v>74</v>
      </c>
      <c r="BG543" t="s">
        <v>74</v>
      </c>
      <c r="BH543" t="s">
        <v>74</v>
      </c>
      <c r="BI543">
        <v>5</v>
      </c>
      <c r="BJ543" t="s">
        <v>1125</v>
      </c>
      <c r="BK543" t="s">
        <v>102</v>
      </c>
      <c r="BL543" t="s">
        <v>1126</v>
      </c>
      <c r="BM543" t="s">
        <v>10889</v>
      </c>
      <c r="BN543" t="s">
        <v>74</v>
      </c>
      <c r="BO543" t="s">
        <v>74</v>
      </c>
      <c r="BP543" t="s">
        <v>74</v>
      </c>
      <c r="BQ543" t="s">
        <v>74</v>
      </c>
      <c r="BR543" t="s">
        <v>106</v>
      </c>
      <c r="BS543" t="s">
        <v>10890</v>
      </c>
      <c r="BT543" t="str">
        <f>HYPERLINK("https%3A%2F%2Fwww.webofscience.com%2Fwos%2Fwoscc%2Ffull-record%2FWOS:000537592000030","View Full Record in Web of Science")</f>
        <v>View Full Record in Web of Science</v>
      </c>
    </row>
    <row r="544" spans="1:72" x14ac:dyDescent="0.15">
      <c r="A544" t="s">
        <v>72</v>
      </c>
      <c r="B544" t="s">
        <v>10891</v>
      </c>
      <c r="C544" t="s">
        <v>74</v>
      </c>
      <c r="D544" t="s">
        <v>74</v>
      </c>
      <c r="E544" t="s">
        <v>74</v>
      </c>
      <c r="F544" t="s">
        <v>10892</v>
      </c>
      <c r="G544" t="s">
        <v>74</v>
      </c>
      <c r="H544" t="s">
        <v>74</v>
      </c>
      <c r="I544" t="s">
        <v>10893</v>
      </c>
      <c r="J544" t="s">
        <v>7913</v>
      </c>
      <c r="K544" t="s">
        <v>74</v>
      </c>
      <c r="L544" t="s">
        <v>74</v>
      </c>
      <c r="M544" t="s">
        <v>78</v>
      </c>
      <c r="N544" t="s">
        <v>245</v>
      </c>
      <c r="O544" t="s">
        <v>74</v>
      </c>
      <c r="P544" t="s">
        <v>74</v>
      </c>
      <c r="Q544" t="s">
        <v>74</v>
      </c>
      <c r="R544" t="s">
        <v>74</v>
      </c>
      <c r="S544" t="s">
        <v>74</v>
      </c>
      <c r="T544" t="s">
        <v>10894</v>
      </c>
      <c r="U544" t="s">
        <v>10895</v>
      </c>
      <c r="V544" t="s">
        <v>10896</v>
      </c>
      <c r="W544" t="s">
        <v>10897</v>
      </c>
      <c r="X544" t="s">
        <v>10898</v>
      </c>
      <c r="Y544" t="s">
        <v>10899</v>
      </c>
      <c r="Z544" t="s">
        <v>10900</v>
      </c>
      <c r="AA544" t="s">
        <v>74</v>
      </c>
      <c r="AB544" t="s">
        <v>10901</v>
      </c>
      <c r="AC544" t="s">
        <v>10902</v>
      </c>
      <c r="AD544" t="s">
        <v>10903</v>
      </c>
      <c r="AE544" t="s">
        <v>10904</v>
      </c>
      <c r="AF544" t="s">
        <v>74</v>
      </c>
      <c r="AG544">
        <v>195</v>
      </c>
      <c r="AH544">
        <v>12</v>
      </c>
      <c r="AI544">
        <v>12</v>
      </c>
      <c r="AJ544">
        <v>4</v>
      </c>
      <c r="AK544">
        <v>51</v>
      </c>
      <c r="AL544" t="s">
        <v>1440</v>
      </c>
      <c r="AM544" t="s">
        <v>1628</v>
      </c>
      <c r="AN544" t="s">
        <v>1629</v>
      </c>
      <c r="AO544" t="s">
        <v>7925</v>
      </c>
      <c r="AP544" t="s">
        <v>7926</v>
      </c>
      <c r="AQ544" t="s">
        <v>74</v>
      </c>
      <c r="AR544" t="s">
        <v>7913</v>
      </c>
      <c r="AS544" t="s">
        <v>7927</v>
      </c>
      <c r="AT544" t="s">
        <v>1653</v>
      </c>
      <c r="AU544">
        <v>2021</v>
      </c>
      <c r="AV544">
        <v>848</v>
      </c>
      <c r="AW544">
        <v>1</v>
      </c>
      <c r="AX544" t="s">
        <v>74</v>
      </c>
      <c r="AY544" t="s">
        <v>74</v>
      </c>
      <c r="AZ544" t="s">
        <v>2622</v>
      </c>
      <c r="BA544" t="s">
        <v>74</v>
      </c>
      <c r="BB544">
        <v>177</v>
      </c>
      <c r="BC544">
        <v>207</v>
      </c>
      <c r="BD544" t="s">
        <v>74</v>
      </c>
      <c r="BE544" t="s">
        <v>10905</v>
      </c>
      <c r="BF544" t="str">
        <f>HYPERLINK("http://dx.doi.org/10.1007/s10750-020-04306-x","http://dx.doi.org/10.1007/s10750-020-04306-x")</f>
        <v>http://dx.doi.org/10.1007/s10750-020-04306-x</v>
      </c>
      <c r="BG544" t="s">
        <v>74</v>
      </c>
      <c r="BH544" t="s">
        <v>10854</v>
      </c>
      <c r="BI544">
        <v>31</v>
      </c>
      <c r="BJ544" t="s">
        <v>1680</v>
      </c>
      <c r="BK544" t="s">
        <v>102</v>
      </c>
      <c r="BL544" t="s">
        <v>1680</v>
      </c>
      <c r="BM544" t="s">
        <v>10906</v>
      </c>
      <c r="BN544" t="s">
        <v>74</v>
      </c>
      <c r="BO544" t="s">
        <v>74</v>
      </c>
      <c r="BP544" t="s">
        <v>74</v>
      </c>
      <c r="BQ544" t="s">
        <v>74</v>
      </c>
      <c r="BR544" t="s">
        <v>106</v>
      </c>
      <c r="BS544" t="s">
        <v>10907</v>
      </c>
      <c r="BT544" t="str">
        <f>HYPERLINK("https%3A%2F%2Fwww.webofscience.com%2Fwos%2Fwoscc%2Ffull-record%2FWOS:000536454400001","View Full Record in Web of Science")</f>
        <v>View Full Record in Web of Science</v>
      </c>
    </row>
    <row r="545" spans="1:72" x14ac:dyDescent="0.15">
      <c r="A545" t="s">
        <v>72</v>
      </c>
      <c r="B545" t="s">
        <v>10908</v>
      </c>
      <c r="C545" t="s">
        <v>74</v>
      </c>
      <c r="D545" t="s">
        <v>74</v>
      </c>
      <c r="E545" t="s">
        <v>74</v>
      </c>
      <c r="F545" t="s">
        <v>10909</v>
      </c>
      <c r="G545" t="s">
        <v>74</v>
      </c>
      <c r="H545" t="s">
        <v>74</v>
      </c>
      <c r="I545" t="s">
        <v>10910</v>
      </c>
      <c r="J545" t="s">
        <v>2364</v>
      </c>
      <c r="K545" t="s">
        <v>74</v>
      </c>
      <c r="L545" t="s">
        <v>74</v>
      </c>
      <c r="M545" t="s">
        <v>78</v>
      </c>
      <c r="N545" t="s">
        <v>79</v>
      </c>
      <c r="O545" t="s">
        <v>74</v>
      </c>
      <c r="P545" t="s">
        <v>74</v>
      </c>
      <c r="Q545" t="s">
        <v>74</v>
      </c>
      <c r="R545" t="s">
        <v>74</v>
      </c>
      <c r="S545" t="s">
        <v>74</v>
      </c>
      <c r="T545" t="s">
        <v>10911</v>
      </c>
      <c r="U545" t="s">
        <v>10912</v>
      </c>
      <c r="V545" t="s">
        <v>10913</v>
      </c>
      <c r="W545" t="s">
        <v>10914</v>
      </c>
      <c r="X545" t="s">
        <v>10915</v>
      </c>
      <c r="Y545" t="s">
        <v>10916</v>
      </c>
      <c r="Z545" t="s">
        <v>10917</v>
      </c>
      <c r="AA545" t="s">
        <v>10918</v>
      </c>
      <c r="AB545" t="s">
        <v>10919</v>
      </c>
      <c r="AC545" t="s">
        <v>10920</v>
      </c>
      <c r="AD545" t="s">
        <v>10921</v>
      </c>
      <c r="AE545" t="s">
        <v>10922</v>
      </c>
      <c r="AF545" t="s">
        <v>74</v>
      </c>
      <c r="AG545">
        <v>53</v>
      </c>
      <c r="AH545">
        <v>8</v>
      </c>
      <c r="AI545">
        <v>9</v>
      </c>
      <c r="AJ545">
        <v>2</v>
      </c>
      <c r="AK545">
        <v>14</v>
      </c>
      <c r="AL545" t="s">
        <v>2377</v>
      </c>
      <c r="AM545" t="s">
        <v>945</v>
      </c>
      <c r="AN545" t="s">
        <v>2378</v>
      </c>
      <c r="AO545" t="s">
        <v>2379</v>
      </c>
      <c r="AP545" t="s">
        <v>74</v>
      </c>
      <c r="AQ545" t="s">
        <v>74</v>
      </c>
      <c r="AR545" t="s">
        <v>2380</v>
      </c>
      <c r="AS545" t="s">
        <v>2381</v>
      </c>
      <c r="AT545" t="s">
        <v>10923</v>
      </c>
      <c r="AU545">
        <v>2020</v>
      </c>
      <c r="AV545">
        <v>8</v>
      </c>
      <c r="AW545">
        <v>1</v>
      </c>
      <c r="AX545" t="s">
        <v>74</v>
      </c>
      <c r="AY545" t="s">
        <v>74</v>
      </c>
      <c r="AZ545" t="s">
        <v>74</v>
      </c>
      <c r="BA545" t="s">
        <v>74</v>
      </c>
      <c r="BB545" t="s">
        <v>74</v>
      </c>
      <c r="BC545" t="s">
        <v>74</v>
      </c>
      <c r="BD545">
        <v>23</v>
      </c>
      <c r="BE545" t="s">
        <v>10924</v>
      </c>
      <c r="BF545" t="str">
        <f>HYPERLINK("http://dx.doi.org/10.1186/s40462-020-00212-y","http://dx.doi.org/10.1186/s40462-020-00212-y")</f>
        <v>http://dx.doi.org/10.1186/s40462-020-00212-y</v>
      </c>
      <c r="BG545" t="s">
        <v>74</v>
      </c>
      <c r="BH545" t="s">
        <v>74</v>
      </c>
      <c r="BI545">
        <v>14</v>
      </c>
      <c r="BJ545" t="s">
        <v>1446</v>
      </c>
      <c r="BK545" t="s">
        <v>102</v>
      </c>
      <c r="BL545" t="s">
        <v>103</v>
      </c>
      <c r="BM545" t="s">
        <v>10925</v>
      </c>
      <c r="BN545">
        <v>32514358</v>
      </c>
      <c r="BO545" t="s">
        <v>161</v>
      </c>
      <c r="BP545" t="s">
        <v>74</v>
      </c>
      <c r="BQ545" t="s">
        <v>74</v>
      </c>
      <c r="BR545" t="s">
        <v>106</v>
      </c>
      <c r="BS545" t="s">
        <v>10926</v>
      </c>
      <c r="BT545" t="str">
        <f>HYPERLINK("https%3A%2F%2Fwww.webofscience.com%2Fwos%2Fwoscc%2Ffull-record%2FWOS:000537987500002","View Full Record in Web of Science")</f>
        <v>View Full Record in Web of Science</v>
      </c>
    </row>
    <row r="546" spans="1:72" x14ac:dyDescent="0.15">
      <c r="A546" t="s">
        <v>72</v>
      </c>
      <c r="B546" t="s">
        <v>10927</v>
      </c>
      <c r="C546" t="s">
        <v>74</v>
      </c>
      <c r="D546" t="s">
        <v>74</v>
      </c>
      <c r="E546" t="s">
        <v>74</v>
      </c>
      <c r="F546" t="s">
        <v>10928</v>
      </c>
      <c r="G546" t="s">
        <v>74</v>
      </c>
      <c r="H546" t="s">
        <v>74</v>
      </c>
      <c r="I546" t="s">
        <v>10929</v>
      </c>
      <c r="J546" t="s">
        <v>2007</v>
      </c>
      <c r="K546" t="s">
        <v>74</v>
      </c>
      <c r="L546" t="s">
        <v>74</v>
      </c>
      <c r="M546" t="s">
        <v>78</v>
      </c>
      <c r="N546" t="s">
        <v>79</v>
      </c>
      <c r="O546" t="s">
        <v>74</v>
      </c>
      <c r="P546" t="s">
        <v>74</v>
      </c>
      <c r="Q546" t="s">
        <v>74</v>
      </c>
      <c r="R546" t="s">
        <v>74</v>
      </c>
      <c r="S546" t="s">
        <v>74</v>
      </c>
      <c r="T546" t="s">
        <v>74</v>
      </c>
      <c r="U546" t="s">
        <v>10930</v>
      </c>
      <c r="V546" t="s">
        <v>10931</v>
      </c>
      <c r="W546" t="s">
        <v>10932</v>
      </c>
      <c r="X546" t="s">
        <v>10933</v>
      </c>
      <c r="Y546" t="s">
        <v>10934</v>
      </c>
      <c r="Z546" t="s">
        <v>10935</v>
      </c>
      <c r="AA546" t="s">
        <v>74</v>
      </c>
      <c r="AB546" t="s">
        <v>10936</v>
      </c>
      <c r="AC546" t="s">
        <v>10937</v>
      </c>
      <c r="AD546" t="s">
        <v>10938</v>
      </c>
      <c r="AE546" t="s">
        <v>10939</v>
      </c>
      <c r="AF546" t="s">
        <v>74</v>
      </c>
      <c r="AG546">
        <v>46</v>
      </c>
      <c r="AH546">
        <v>17</v>
      </c>
      <c r="AI546">
        <v>17</v>
      </c>
      <c r="AJ546">
        <v>0</v>
      </c>
      <c r="AK546">
        <v>1</v>
      </c>
      <c r="AL546" t="s">
        <v>1049</v>
      </c>
      <c r="AM546" t="s">
        <v>1050</v>
      </c>
      <c r="AN546" t="s">
        <v>1051</v>
      </c>
      <c r="AO546" t="s">
        <v>2019</v>
      </c>
      <c r="AP546" t="s">
        <v>2020</v>
      </c>
      <c r="AQ546" t="s">
        <v>74</v>
      </c>
      <c r="AR546" t="s">
        <v>2007</v>
      </c>
      <c r="AS546" t="s">
        <v>2021</v>
      </c>
      <c r="AT546" t="s">
        <v>10923</v>
      </c>
      <c r="AU546">
        <v>2020</v>
      </c>
      <c r="AV546">
        <v>14</v>
      </c>
      <c r="AW546">
        <v>5</v>
      </c>
      <c r="AX546" t="s">
        <v>74</v>
      </c>
      <c r="AY546" t="s">
        <v>74</v>
      </c>
      <c r="AZ546" t="s">
        <v>74</v>
      </c>
      <c r="BA546" t="s">
        <v>74</v>
      </c>
      <c r="BB546">
        <v>1713</v>
      </c>
      <c r="BC546">
        <v>1725</v>
      </c>
      <c r="BD546" t="s">
        <v>74</v>
      </c>
      <c r="BE546" t="s">
        <v>10940</v>
      </c>
      <c r="BF546" t="str">
        <f>HYPERLINK("http://dx.doi.org/10.5194/tc-14-1713-2020","http://dx.doi.org/10.5194/tc-14-1713-2020")</f>
        <v>http://dx.doi.org/10.5194/tc-14-1713-2020</v>
      </c>
      <c r="BG546" t="s">
        <v>74</v>
      </c>
      <c r="BH546" t="s">
        <v>74</v>
      </c>
      <c r="BI546">
        <v>13</v>
      </c>
      <c r="BJ546" t="s">
        <v>694</v>
      </c>
      <c r="BK546" t="s">
        <v>102</v>
      </c>
      <c r="BL546" t="s">
        <v>695</v>
      </c>
      <c r="BM546" t="s">
        <v>10941</v>
      </c>
      <c r="BN546" t="s">
        <v>74</v>
      </c>
      <c r="BO546" t="s">
        <v>1352</v>
      </c>
      <c r="BP546" t="s">
        <v>74</v>
      </c>
      <c r="BQ546" t="s">
        <v>74</v>
      </c>
      <c r="BR546" t="s">
        <v>106</v>
      </c>
      <c r="BS546" t="s">
        <v>10942</v>
      </c>
      <c r="BT546" t="str">
        <f>HYPERLINK("https%3A%2F%2Fwww.webofscience.com%2Fwos%2Fwoscc%2Ffull-record%2FWOS:000537809500002","View Full Record in Web of Science")</f>
        <v>View Full Record in Web of Science</v>
      </c>
    </row>
    <row r="547" spans="1:72" x14ac:dyDescent="0.15">
      <c r="A547" t="s">
        <v>72</v>
      </c>
      <c r="B547" t="s">
        <v>10943</v>
      </c>
      <c r="C547" t="s">
        <v>74</v>
      </c>
      <c r="D547" t="s">
        <v>74</v>
      </c>
      <c r="E547" t="s">
        <v>74</v>
      </c>
      <c r="F547" t="s">
        <v>10944</v>
      </c>
      <c r="G547" t="s">
        <v>74</v>
      </c>
      <c r="H547" t="s">
        <v>74</v>
      </c>
      <c r="I547" t="s">
        <v>10945</v>
      </c>
      <c r="J547" t="s">
        <v>6606</v>
      </c>
      <c r="K547" t="s">
        <v>74</v>
      </c>
      <c r="L547" t="s">
        <v>74</v>
      </c>
      <c r="M547" t="s">
        <v>78</v>
      </c>
      <c r="N547" t="s">
        <v>79</v>
      </c>
      <c r="O547" t="s">
        <v>74</v>
      </c>
      <c r="P547" t="s">
        <v>74</v>
      </c>
      <c r="Q547" t="s">
        <v>74</v>
      </c>
      <c r="R547" t="s">
        <v>74</v>
      </c>
      <c r="S547" t="s">
        <v>74</v>
      </c>
      <c r="T547" t="s">
        <v>74</v>
      </c>
      <c r="U547" t="s">
        <v>10946</v>
      </c>
      <c r="V547" t="s">
        <v>10947</v>
      </c>
      <c r="W547" t="s">
        <v>10948</v>
      </c>
      <c r="X547" t="s">
        <v>10949</v>
      </c>
      <c r="Y547" t="s">
        <v>10950</v>
      </c>
      <c r="Z547" t="s">
        <v>10951</v>
      </c>
      <c r="AA547" t="s">
        <v>10952</v>
      </c>
      <c r="AB547" t="s">
        <v>10953</v>
      </c>
      <c r="AC547" t="s">
        <v>10954</v>
      </c>
      <c r="AD547" t="s">
        <v>10954</v>
      </c>
      <c r="AE547" t="s">
        <v>10955</v>
      </c>
      <c r="AF547" t="s">
        <v>74</v>
      </c>
      <c r="AG547">
        <v>56</v>
      </c>
      <c r="AH547">
        <v>31</v>
      </c>
      <c r="AI547">
        <v>32</v>
      </c>
      <c r="AJ547">
        <v>3</v>
      </c>
      <c r="AK547">
        <v>33</v>
      </c>
      <c r="AL547" t="s">
        <v>6607</v>
      </c>
      <c r="AM547" t="s">
        <v>152</v>
      </c>
      <c r="AN547" t="s">
        <v>6608</v>
      </c>
      <c r="AO547" t="s">
        <v>6609</v>
      </c>
      <c r="AP547" t="s">
        <v>6610</v>
      </c>
      <c r="AQ547" t="s">
        <v>74</v>
      </c>
      <c r="AR547" t="s">
        <v>6606</v>
      </c>
      <c r="AS547" t="s">
        <v>6611</v>
      </c>
      <c r="AT547" t="s">
        <v>10923</v>
      </c>
      <c r="AU547">
        <v>2020</v>
      </c>
      <c r="AV547">
        <v>368</v>
      </c>
      <c r="AW547">
        <v>6494</v>
      </c>
      <c r="AX547" t="s">
        <v>74</v>
      </c>
      <c r="AY547" t="s">
        <v>74</v>
      </c>
      <c r="AZ547" t="s">
        <v>74</v>
      </c>
      <c r="BA547" t="s">
        <v>74</v>
      </c>
      <c r="BB547">
        <v>1020</v>
      </c>
      <c r="BC547" t="s">
        <v>1244</v>
      </c>
      <c r="BD547" t="s">
        <v>74</v>
      </c>
      <c r="BE547" t="s">
        <v>10956</v>
      </c>
      <c r="BF547" t="str">
        <f>HYPERLINK("http://dx.doi.org/10.1126/science.aaz3059","http://dx.doi.org/10.1126/science.aaz3059")</f>
        <v>http://dx.doi.org/10.1126/science.aaz3059</v>
      </c>
      <c r="BG547" t="s">
        <v>74</v>
      </c>
      <c r="BH547" t="s">
        <v>74</v>
      </c>
      <c r="BI547">
        <v>16</v>
      </c>
      <c r="BJ547" t="s">
        <v>1125</v>
      </c>
      <c r="BK547" t="s">
        <v>102</v>
      </c>
      <c r="BL547" t="s">
        <v>1126</v>
      </c>
      <c r="BM547" t="s">
        <v>10957</v>
      </c>
      <c r="BN547">
        <v>32467392</v>
      </c>
      <c r="BO547" t="s">
        <v>133</v>
      </c>
      <c r="BP547" t="s">
        <v>74</v>
      </c>
      <c r="BQ547" t="s">
        <v>74</v>
      </c>
      <c r="BR547" t="s">
        <v>106</v>
      </c>
      <c r="BS547" t="s">
        <v>10958</v>
      </c>
      <c r="BT547" t="str">
        <f>HYPERLINK("https%3A%2F%2Fwww.webofscience.com%2Fwos%2Fwoscc%2Ffull-record%2FWOS:000538332600050","View Full Record in Web of Science")</f>
        <v>View Full Record in Web of Science</v>
      </c>
    </row>
    <row r="548" spans="1:72" x14ac:dyDescent="0.15">
      <c r="A548" t="s">
        <v>72</v>
      </c>
      <c r="B548" t="s">
        <v>10959</v>
      </c>
      <c r="C548" t="s">
        <v>74</v>
      </c>
      <c r="D548" t="s">
        <v>74</v>
      </c>
      <c r="E548" t="s">
        <v>74</v>
      </c>
      <c r="F548" t="s">
        <v>10960</v>
      </c>
      <c r="G548" t="s">
        <v>74</v>
      </c>
      <c r="H548" t="s">
        <v>74</v>
      </c>
      <c r="I548" t="s">
        <v>10961</v>
      </c>
      <c r="J548" t="s">
        <v>1505</v>
      </c>
      <c r="K548" t="s">
        <v>74</v>
      </c>
      <c r="L548" t="s">
        <v>74</v>
      </c>
      <c r="M548" t="s">
        <v>78</v>
      </c>
      <c r="N548" t="s">
        <v>79</v>
      </c>
      <c r="O548" t="s">
        <v>74</v>
      </c>
      <c r="P548" t="s">
        <v>74</v>
      </c>
      <c r="Q548" t="s">
        <v>74</v>
      </c>
      <c r="R548" t="s">
        <v>74</v>
      </c>
      <c r="S548" t="s">
        <v>74</v>
      </c>
      <c r="T548" t="s">
        <v>10962</v>
      </c>
      <c r="U548" t="s">
        <v>10963</v>
      </c>
      <c r="V548" t="s">
        <v>10964</v>
      </c>
      <c r="W548" t="s">
        <v>10965</v>
      </c>
      <c r="X548" t="s">
        <v>10966</v>
      </c>
      <c r="Y548" t="s">
        <v>10967</v>
      </c>
      <c r="Z548" t="s">
        <v>10968</v>
      </c>
      <c r="AA548" t="s">
        <v>10969</v>
      </c>
      <c r="AB548" t="s">
        <v>10970</v>
      </c>
      <c r="AC548" t="s">
        <v>10971</v>
      </c>
      <c r="AD548" t="s">
        <v>10972</v>
      </c>
      <c r="AE548" t="s">
        <v>10973</v>
      </c>
      <c r="AF548" t="s">
        <v>74</v>
      </c>
      <c r="AG548">
        <v>55</v>
      </c>
      <c r="AH548">
        <v>10</v>
      </c>
      <c r="AI548">
        <v>10</v>
      </c>
      <c r="AJ548">
        <v>3</v>
      </c>
      <c r="AK548">
        <v>9</v>
      </c>
      <c r="AL548" t="s">
        <v>151</v>
      </c>
      <c r="AM548" t="s">
        <v>152</v>
      </c>
      <c r="AN548" t="s">
        <v>153</v>
      </c>
      <c r="AO548" t="s">
        <v>1517</v>
      </c>
      <c r="AP548" t="s">
        <v>1518</v>
      </c>
      <c r="AQ548" t="s">
        <v>74</v>
      </c>
      <c r="AR548" t="s">
        <v>1519</v>
      </c>
      <c r="AS548" t="s">
        <v>1520</v>
      </c>
      <c r="AT548" t="s">
        <v>10974</v>
      </c>
      <c r="AU548">
        <v>2020</v>
      </c>
      <c r="AV548">
        <v>47</v>
      </c>
      <c r="AW548">
        <v>10</v>
      </c>
      <c r="AX548" t="s">
        <v>74</v>
      </c>
      <c r="AY548" t="s">
        <v>74</v>
      </c>
      <c r="AZ548" t="s">
        <v>74</v>
      </c>
      <c r="BA548" t="s">
        <v>74</v>
      </c>
      <c r="BB548" t="s">
        <v>74</v>
      </c>
      <c r="BC548" t="s">
        <v>74</v>
      </c>
      <c r="BD548" t="s">
        <v>10975</v>
      </c>
      <c r="BE548" t="s">
        <v>10976</v>
      </c>
      <c r="BF548" t="str">
        <f>HYPERLINK("http://dx.doi.org/10.1029/2019GL086446","http://dx.doi.org/10.1029/2019GL086446")</f>
        <v>http://dx.doi.org/10.1029/2019GL086446</v>
      </c>
      <c r="BG548" t="s">
        <v>74</v>
      </c>
      <c r="BH548" t="s">
        <v>74</v>
      </c>
      <c r="BI548">
        <v>12</v>
      </c>
      <c r="BJ548" t="s">
        <v>471</v>
      </c>
      <c r="BK548" t="s">
        <v>102</v>
      </c>
      <c r="BL548" t="s">
        <v>472</v>
      </c>
      <c r="BM548" t="s">
        <v>10977</v>
      </c>
      <c r="BN548" t="s">
        <v>74</v>
      </c>
      <c r="BO548" t="s">
        <v>133</v>
      </c>
      <c r="BP548" t="s">
        <v>74</v>
      </c>
      <c r="BQ548" t="s">
        <v>74</v>
      </c>
      <c r="BR548" t="s">
        <v>106</v>
      </c>
      <c r="BS548" t="s">
        <v>10978</v>
      </c>
      <c r="BT548" t="str">
        <f>HYPERLINK("https%3A%2F%2Fwww.webofscience.com%2Fwos%2Fwoscc%2Ffull-record%2FWOS:000560371700043","View Full Record in Web of Science")</f>
        <v>View Full Record in Web of Science</v>
      </c>
    </row>
    <row r="549" spans="1:72" x14ac:dyDescent="0.15">
      <c r="A549" t="s">
        <v>72</v>
      </c>
      <c r="B549" t="s">
        <v>10979</v>
      </c>
      <c r="C549" t="s">
        <v>74</v>
      </c>
      <c r="D549" t="s">
        <v>74</v>
      </c>
      <c r="E549" t="s">
        <v>74</v>
      </c>
      <c r="F549" t="s">
        <v>10980</v>
      </c>
      <c r="G549" t="s">
        <v>74</v>
      </c>
      <c r="H549" t="s">
        <v>74</v>
      </c>
      <c r="I549" t="s">
        <v>10981</v>
      </c>
      <c r="J549" t="s">
        <v>1505</v>
      </c>
      <c r="K549" t="s">
        <v>74</v>
      </c>
      <c r="L549" t="s">
        <v>74</v>
      </c>
      <c r="M549" t="s">
        <v>78</v>
      </c>
      <c r="N549" t="s">
        <v>79</v>
      </c>
      <c r="O549" t="s">
        <v>74</v>
      </c>
      <c r="P549" t="s">
        <v>74</v>
      </c>
      <c r="Q549" t="s">
        <v>74</v>
      </c>
      <c r="R549" t="s">
        <v>74</v>
      </c>
      <c r="S549" t="s">
        <v>74</v>
      </c>
      <c r="T549" t="s">
        <v>10982</v>
      </c>
      <c r="U549" t="s">
        <v>10983</v>
      </c>
      <c r="V549" t="s">
        <v>10984</v>
      </c>
      <c r="W549" t="s">
        <v>10985</v>
      </c>
      <c r="X549" t="s">
        <v>10986</v>
      </c>
      <c r="Y549" t="s">
        <v>10987</v>
      </c>
      <c r="Z549" t="s">
        <v>10988</v>
      </c>
      <c r="AA549" t="s">
        <v>10989</v>
      </c>
      <c r="AB549" t="s">
        <v>10990</v>
      </c>
      <c r="AC549" t="s">
        <v>10991</v>
      </c>
      <c r="AD549" t="s">
        <v>10992</v>
      </c>
      <c r="AE549" t="s">
        <v>10993</v>
      </c>
      <c r="AF549" t="s">
        <v>74</v>
      </c>
      <c r="AG549">
        <v>51</v>
      </c>
      <c r="AH549">
        <v>11</v>
      </c>
      <c r="AI549">
        <v>15</v>
      </c>
      <c r="AJ549">
        <v>0</v>
      </c>
      <c r="AK549">
        <v>10</v>
      </c>
      <c r="AL549" t="s">
        <v>151</v>
      </c>
      <c r="AM549" t="s">
        <v>152</v>
      </c>
      <c r="AN549" t="s">
        <v>153</v>
      </c>
      <c r="AO549" t="s">
        <v>1517</v>
      </c>
      <c r="AP549" t="s">
        <v>1518</v>
      </c>
      <c r="AQ549" t="s">
        <v>74</v>
      </c>
      <c r="AR549" t="s">
        <v>1519</v>
      </c>
      <c r="AS549" t="s">
        <v>1520</v>
      </c>
      <c r="AT549" t="s">
        <v>10974</v>
      </c>
      <c r="AU549">
        <v>2020</v>
      </c>
      <c r="AV549">
        <v>47</v>
      </c>
      <c r="AW549">
        <v>10</v>
      </c>
      <c r="AX549" t="s">
        <v>74</v>
      </c>
      <c r="AY549" t="s">
        <v>74</v>
      </c>
      <c r="AZ549" t="s">
        <v>74</v>
      </c>
      <c r="BA549" t="s">
        <v>74</v>
      </c>
      <c r="BB549" t="s">
        <v>74</v>
      </c>
      <c r="BC549" t="s">
        <v>74</v>
      </c>
      <c r="BD549" t="s">
        <v>10994</v>
      </c>
      <c r="BE549" t="s">
        <v>10995</v>
      </c>
      <c r="BF549" t="str">
        <f>HYPERLINK("http://dx.doi.org/10.1029/2019GL086187","http://dx.doi.org/10.1029/2019GL086187")</f>
        <v>http://dx.doi.org/10.1029/2019GL086187</v>
      </c>
      <c r="BG549" t="s">
        <v>74</v>
      </c>
      <c r="BH549" t="s">
        <v>74</v>
      </c>
      <c r="BI549">
        <v>10</v>
      </c>
      <c r="BJ549" t="s">
        <v>471</v>
      </c>
      <c r="BK549" t="s">
        <v>102</v>
      </c>
      <c r="BL549" t="s">
        <v>472</v>
      </c>
      <c r="BM549" t="s">
        <v>10977</v>
      </c>
      <c r="BN549" t="s">
        <v>74</v>
      </c>
      <c r="BO549" t="s">
        <v>448</v>
      </c>
      <c r="BP549" t="s">
        <v>74</v>
      </c>
      <c r="BQ549" t="s">
        <v>74</v>
      </c>
      <c r="BR549" t="s">
        <v>106</v>
      </c>
      <c r="BS549" t="s">
        <v>10996</v>
      </c>
      <c r="BT549" t="str">
        <f>HYPERLINK("https%3A%2F%2Fwww.webofscience.com%2Fwos%2Fwoscc%2Ffull-record%2FWOS:000560371700037","View Full Record in Web of Science")</f>
        <v>View Full Record in Web of Science</v>
      </c>
    </row>
    <row r="550" spans="1:72" x14ac:dyDescent="0.15">
      <c r="A550" t="s">
        <v>72</v>
      </c>
      <c r="B550" t="s">
        <v>10997</v>
      </c>
      <c r="C550" t="s">
        <v>74</v>
      </c>
      <c r="D550" t="s">
        <v>74</v>
      </c>
      <c r="E550" t="s">
        <v>74</v>
      </c>
      <c r="F550" t="s">
        <v>10998</v>
      </c>
      <c r="G550" t="s">
        <v>74</v>
      </c>
      <c r="H550" t="s">
        <v>74</v>
      </c>
      <c r="I550" t="s">
        <v>10999</v>
      </c>
      <c r="J550" t="s">
        <v>1186</v>
      </c>
      <c r="K550" t="s">
        <v>74</v>
      </c>
      <c r="L550" t="s">
        <v>74</v>
      </c>
      <c r="M550" t="s">
        <v>78</v>
      </c>
      <c r="N550" t="s">
        <v>79</v>
      </c>
      <c r="O550" t="s">
        <v>74</v>
      </c>
      <c r="P550" t="s">
        <v>74</v>
      </c>
      <c r="Q550" t="s">
        <v>74</v>
      </c>
      <c r="R550" t="s">
        <v>74</v>
      </c>
      <c r="S550" t="s">
        <v>74</v>
      </c>
      <c r="T550" t="s">
        <v>11000</v>
      </c>
      <c r="U550" t="s">
        <v>11001</v>
      </c>
      <c r="V550" t="s">
        <v>11002</v>
      </c>
      <c r="W550" t="s">
        <v>11003</v>
      </c>
      <c r="X550" t="s">
        <v>11004</v>
      </c>
      <c r="Y550" t="s">
        <v>11005</v>
      </c>
      <c r="Z550" t="s">
        <v>11006</v>
      </c>
      <c r="AA550" t="s">
        <v>11007</v>
      </c>
      <c r="AB550" t="s">
        <v>11008</v>
      </c>
      <c r="AC550" t="s">
        <v>74</v>
      </c>
      <c r="AD550" t="s">
        <v>74</v>
      </c>
      <c r="AE550" t="s">
        <v>74</v>
      </c>
      <c r="AF550" t="s">
        <v>74</v>
      </c>
      <c r="AG550">
        <v>87</v>
      </c>
      <c r="AH550">
        <v>24</v>
      </c>
      <c r="AI550">
        <v>26</v>
      </c>
      <c r="AJ550">
        <v>1</v>
      </c>
      <c r="AK550">
        <v>16</v>
      </c>
      <c r="AL550" t="s">
        <v>1199</v>
      </c>
      <c r="AM550" t="s">
        <v>1200</v>
      </c>
      <c r="AN550" t="s">
        <v>1201</v>
      </c>
      <c r="AO550" t="s">
        <v>1202</v>
      </c>
      <c r="AP550" t="s">
        <v>1203</v>
      </c>
      <c r="AQ550" t="s">
        <v>74</v>
      </c>
      <c r="AR550" t="s">
        <v>1204</v>
      </c>
      <c r="AS550" t="s">
        <v>1205</v>
      </c>
      <c r="AT550" t="s">
        <v>10974</v>
      </c>
      <c r="AU550">
        <v>2020</v>
      </c>
      <c r="AV550">
        <v>642</v>
      </c>
      <c r="AW550" t="s">
        <v>74</v>
      </c>
      <c r="AX550" t="s">
        <v>74</v>
      </c>
      <c r="AY550" t="s">
        <v>74</v>
      </c>
      <c r="AZ550" t="s">
        <v>74</v>
      </c>
      <c r="BA550" t="s">
        <v>74</v>
      </c>
      <c r="BB550">
        <v>1</v>
      </c>
      <c r="BC550">
        <v>19</v>
      </c>
      <c r="BD550" t="s">
        <v>74</v>
      </c>
      <c r="BE550" t="s">
        <v>11009</v>
      </c>
      <c r="BF550" t="str">
        <f>HYPERLINK("http://dx.doi.org/10.3354/meps13325","http://dx.doi.org/10.3354/meps13325")</f>
        <v>http://dx.doi.org/10.3354/meps13325</v>
      </c>
      <c r="BG550" t="s">
        <v>74</v>
      </c>
      <c r="BH550" t="s">
        <v>74</v>
      </c>
      <c r="BI550">
        <v>19</v>
      </c>
      <c r="BJ550" t="s">
        <v>1208</v>
      </c>
      <c r="BK550" t="s">
        <v>102</v>
      </c>
      <c r="BL550" t="s">
        <v>1209</v>
      </c>
      <c r="BM550" t="s">
        <v>11010</v>
      </c>
      <c r="BN550" t="s">
        <v>74</v>
      </c>
      <c r="BO550" t="s">
        <v>1657</v>
      </c>
      <c r="BP550" t="s">
        <v>74</v>
      </c>
      <c r="BQ550" t="s">
        <v>74</v>
      </c>
      <c r="BR550" t="s">
        <v>106</v>
      </c>
      <c r="BS550" t="s">
        <v>11011</v>
      </c>
      <c r="BT550" t="str">
        <f>HYPERLINK("https%3A%2F%2Fwww.webofscience.com%2Fwos%2Fwoscc%2Ffull-record%2FWOS:000545930000001","View Full Record in Web of Science")</f>
        <v>View Full Record in Web of Science</v>
      </c>
    </row>
    <row r="551" spans="1:72" x14ac:dyDescent="0.15">
      <c r="A551" t="s">
        <v>72</v>
      </c>
      <c r="B551" t="s">
        <v>11012</v>
      </c>
      <c r="C551" t="s">
        <v>74</v>
      </c>
      <c r="D551" t="s">
        <v>74</v>
      </c>
      <c r="E551" t="s">
        <v>74</v>
      </c>
      <c r="F551" t="s">
        <v>11013</v>
      </c>
      <c r="G551" t="s">
        <v>74</v>
      </c>
      <c r="H551" t="s">
        <v>74</v>
      </c>
      <c r="I551" t="s">
        <v>11014</v>
      </c>
      <c r="J551" t="s">
        <v>1186</v>
      </c>
      <c r="K551" t="s">
        <v>74</v>
      </c>
      <c r="L551" t="s">
        <v>74</v>
      </c>
      <c r="M551" t="s">
        <v>78</v>
      </c>
      <c r="N551" t="s">
        <v>79</v>
      </c>
      <c r="O551" t="s">
        <v>74</v>
      </c>
      <c r="P551" t="s">
        <v>74</v>
      </c>
      <c r="Q551" t="s">
        <v>74</v>
      </c>
      <c r="R551" t="s">
        <v>74</v>
      </c>
      <c r="S551" t="s">
        <v>74</v>
      </c>
      <c r="T551" t="s">
        <v>11015</v>
      </c>
      <c r="U551" t="s">
        <v>11016</v>
      </c>
      <c r="V551" t="s">
        <v>11017</v>
      </c>
      <c r="W551" t="s">
        <v>11018</v>
      </c>
      <c r="X551" t="s">
        <v>11019</v>
      </c>
      <c r="Y551" t="s">
        <v>11020</v>
      </c>
      <c r="Z551" t="s">
        <v>11021</v>
      </c>
      <c r="AA551" t="s">
        <v>11022</v>
      </c>
      <c r="AB551" t="s">
        <v>11023</v>
      </c>
      <c r="AC551" t="s">
        <v>11024</v>
      </c>
      <c r="AD551" t="s">
        <v>11024</v>
      </c>
      <c r="AE551" t="s">
        <v>11025</v>
      </c>
      <c r="AF551" t="s">
        <v>74</v>
      </c>
      <c r="AG551">
        <v>84</v>
      </c>
      <c r="AH551">
        <v>12</v>
      </c>
      <c r="AI551">
        <v>12</v>
      </c>
      <c r="AJ551">
        <v>0</v>
      </c>
      <c r="AK551">
        <v>11</v>
      </c>
      <c r="AL551" t="s">
        <v>1199</v>
      </c>
      <c r="AM551" t="s">
        <v>1200</v>
      </c>
      <c r="AN551" t="s">
        <v>1201</v>
      </c>
      <c r="AO551" t="s">
        <v>1202</v>
      </c>
      <c r="AP551" t="s">
        <v>1203</v>
      </c>
      <c r="AQ551" t="s">
        <v>74</v>
      </c>
      <c r="AR551" t="s">
        <v>1204</v>
      </c>
      <c r="AS551" t="s">
        <v>1205</v>
      </c>
      <c r="AT551" t="s">
        <v>10974</v>
      </c>
      <c r="AU551">
        <v>2020</v>
      </c>
      <c r="AV551">
        <v>642</v>
      </c>
      <c r="AW551" t="s">
        <v>74</v>
      </c>
      <c r="AX551" t="s">
        <v>74</v>
      </c>
      <c r="AY551" t="s">
        <v>74</v>
      </c>
      <c r="AZ551" t="s">
        <v>74</v>
      </c>
      <c r="BA551" t="s">
        <v>74</v>
      </c>
      <c r="BB551">
        <v>191</v>
      </c>
      <c r="BC551">
        <v>205</v>
      </c>
      <c r="BD551" t="s">
        <v>74</v>
      </c>
      <c r="BE551" t="s">
        <v>11026</v>
      </c>
      <c r="BF551" t="str">
        <f>HYPERLINK("http://dx.doi.org/10.3354/meps13328","http://dx.doi.org/10.3354/meps13328")</f>
        <v>http://dx.doi.org/10.3354/meps13328</v>
      </c>
      <c r="BG551" t="s">
        <v>74</v>
      </c>
      <c r="BH551" t="s">
        <v>74</v>
      </c>
      <c r="BI551">
        <v>15</v>
      </c>
      <c r="BJ551" t="s">
        <v>1208</v>
      </c>
      <c r="BK551" t="s">
        <v>102</v>
      </c>
      <c r="BL551" t="s">
        <v>1209</v>
      </c>
      <c r="BM551" t="s">
        <v>11010</v>
      </c>
      <c r="BN551" t="s">
        <v>74</v>
      </c>
      <c r="BO551" t="s">
        <v>74</v>
      </c>
      <c r="BP551" t="s">
        <v>74</v>
      </c>
      <c r="BQ551" t="s">
        <v>74</v>
      </c>
      <c r="BR551" t="s">
        <v>106</v>
      </c>
      <c r="BS551" t="s">
        <v>11027</v>
      </c>
      <c r="BT551" t="str">
        <f>HYPERLINK("https%3A%2F%2Fwww.webofscience.com%2Fwos%2Fwoscc%2Ffull-record%2FWOS:000545930000013","View Full Record in Web of Science")</f>
        <v>View Full Record in Web of Science</v>
      </c>
    </row>
    <row r="552" spans="1:72" x14ac:dyDescent="0.15">
      <c r="A552" t="s">
        <v>72</v>
      </c>
      <c r="B552" t="s">
        <v>11028</v>
      </c>
      <c r="C552" t="s">
        <v>74</v>
      </c>
      <c r="D552" t="s">
        <v>74</v>
      </c>
      <c r="E552" t="s">
        <v>74</v>
      </c>
      <c r="F552" t="s">
        <v>11029</v>
      </c>
      <c r="G552" t="s">
        <v>74</v>
      </c>
      <c r="H552" t="s">
        <v>74</v>
      </c>
      <c r="I552" t="s">
        <v>11030</v>
      </c>
      <c r="J552" t="s">
        <v>1039</v>
      </c>
      <c r="K552" t="s">
        <v>74</v>
      </c>
      <c r="L552" t="s">
        <v>74</v>
      </c>
      <c r="M552" t="s">
        <v>78</v>
      </c>
      <c r="N552" t="s">
        <v>1040</v>
      </c>
      <c r="O552" t="s">
        <v>74</v>
      </c>
      <c r="P552" t="s">
        <v>74</v>
      </c>
      <c r="Q552" t="s">
        <v>74</v>
      </c>
      <c r="R552" t="s">
        <v>74</v>
      </c>
      <c r="S552" t="s">
        <v>74</v>
      </c>
      <c r="T552" t="s">
        <v>74</v>
      </c>
      <c r="U552" t="s">
        <v>11031</v>
      </c>
      <c r="V552" t="s">
        <v>11032</v>
      </c>
      <c r="W552" t="s">
        <v>11033</v>
      </c>
      <c r="X552" t="s">
        <v>11034</v>
      </c>
      <c r="Y552" t="s">
        <v>11035</v>
      </c>
      <c r="Z552" t="s">
        <v>11036</v>
      </c>
      <c r="AA552" t="s">
        <v>11037</v>
      </c>
      <c r="AB552" t="s">
        <v>11038</v>
      </c>
      <c r="AC552" t="s">
        <v>11039</v>
      </c>
      <c r="AD552" t="s">
        <v>11040</v>
      </c>
      <c r="AE552" t="s">
        <v>11041</v>
      </c>
      <c r="AF552" t="s">
        <v>74</v>
      </c>
      <c r="AG552">
        <v>54</v>
      </c>
      <c r="AH552">
        <v>9</v>
      </c>
      <c r="AI552">
        <v>9</v>
      </c>
      <c r="AJ552">
        <v>1</v>
      </c>
      <c r="AK552">
        <v>6</v>
      </c>
      <c r="AL552" t="s">
        <v>1049</v>
      </c>
      <c r="AM552" t="s">
        <v>1050</v>
      </c>
      <c r="AN552" t="s">
        <v>1051</v>
      </c>
      <c r="AO552" t="s">
        <v>1052</v>
      </c>
      <c r="AP552" t="s">
        <v>1053</v>
      </c>
      <c r="AQ552" t="s">
        <v>74</v>
      </c>
      <c r="AR552" t="s">
        <v>1054</v>
      </c>
      <c r="AS552" t="s">
        <v>1055</v>
      </c>
      <c r="AT552" t="s">
        <v>10974</v>
      </c>
      <c r="AU552">
        <v>2020</v>
      </c>
      <c r="AV552">
        <v>12</v>
      </c>
      <c r="AW552">
        <v>2</v>
      </c>
      <c r="AX552" t="s">
        <v>74</v>
      </c>
      <c r="AY552" t="s">
        <v>74</v>
      </c>
      <c r="AZ552" t="s">
        <v>74</v>
      </c>
      <c r="BA552" t="s">
        <v>74</v>
      </c>
      <c r="BB552">
        <v>1191</v>
      </c>
      <c r="BC552">
        <v>1202</v>
      </c>
      <c r="BD552" t="s">
        <v>74</v>
      </c>
      <c r="BE552" t="s">
        <v>11042</v>
      </c>
      <c r="BF552" t="str">
        <f>HYPERLINK("http://dx.doi.org/10.5194/essd-12-1191-2020","http://dx.doi.org/10.5194/essd-12-1191-2020")</f>
        <v>http://dx.doi.org/10.5194/essd-12-1191-2020</v>
      </c>
      <c r="BG552" t="s">
        <v>74</v>
      </c>
      <c r="BH552" t="s">
        <v>74</v>
      </c>
      <c r="BI552">
        <v>12</v>
      </c>
      <c r="BJ552" t="s">
        <v>1057</v>
      </c>
      <c r="BK552" t="s">
        <v>102</v>
      </c>
      <c r="BL552" t="s">
        <v>1058</v>
      </c>
      <c r="BM552" t="s">
        <v>11043</v>
      </c>
      <c r="BN552" t="s">
        <v>74</v>
      </c>
      <c r="BO552" t="s">
        <v>1060</v>
      </c>
      <c r="BP552" t="s">
        <v>74</v>
      </c>
      <c r="BQ552" t="s">
        <v>74</v>
      </c>
      <c r="BR552" t="s">
        <v>106</v>
      </c>
      <c r="BS552" t="s">
        <v>11044</v>
      </c>
      <c r="BT552" t="str">
        <f>HYPERLINK("https%3A%2F%2Fwww.webofscience.com%2Fwos%2Fwoscc%2Ffull-record%2FWOS:000537743800001","View Full Record in Web of Science")</f>
        <v>View Full Record in Web of Science</v>
      </c>
    </row>
    <row r="553" spans="1:72" x14ac:dyDescent="0.15">
      <c r="A553" t="s">
        <v>72</v>
      </c>
      <c r="B553" t="s">
        <v>11045</v>
      </c>
      <c r="C553" t="s">
        <v>74</v>
      </c>
      <c r="D553" t="s">
        <v>74</v>
      </c>
      <c r="E553" t="s">
        <v>74</v>
      </c>
      <c r="F553" t="s">
        <v>11046</v>
      </c>
      <c r="G553" t="s">
        <v>74</v>
      </c>
      <c r="H553" t="s">
        <v>74</v>
      </c>
      <c r="I553" t="s">
        <v>11047</v>
      </c>
      <c r="J553" t="s">
        <v>11048</v>
      </c>
      <c r="K553" t="s">
        <v>74</v>
      </c>
      <c r="L553" t="s">
        <v>74</v>
      </c>
      <c r="M553" t="s">
        <v>78</v>
      </c>
      <c r="N553" t="s">
        <v>79</v>
      </c>
      <c r="O553" t="s">
        <v>74</v>
      </c>
      <c r="P553" t="s">
        <v>74</v>
      </c>
      <c r="Q553" t="s">
        <v>74</v>
      </c>
      <c r="R553" t="s">
        <v>74</v>
      </c>
      <c r="S553" t="s">
        <v>74</v>
      </c>
      <c r="T553" t="s">
        <v>74</v>
      </c>
      <c r="U553" t="s">
        <v>11049</v>
      </c>
      <c r="V553" t="s">
        <v>11050</v>
      </c>
      <c r="W553" t="s">
        <v>11051</v>
      </c>
      <c r="X553" t="s">
        <v>11052</v>
      </c>
      <c r="Y553" t="s">
        <v>11053</v>
      </c>
      <c r="Z553" t="s">
        <v>11054</v>
      </c>
      <c r="AA553" t="s">
        <v>74</v>
      </c>
      <c r="AB553" t="s">
        <v>74</v>
      </c>
      <c r="AC553" t="s">
        <v>11055</v>
      </c>
      <c r="AD553" t="s">
        <v>11056</v>
      </c>
      <c r="AE553" t="s">
        <v>11057</v>
      </c>
      <c r="AF553" t="s">
        <v>74</v>
      </c>
      <c r="AG553">
        <v>37</v>
      </c>
      <c r="AH553">
        <v>0</v>
      </c>
      <c r="AI553">
        <v>0</v>
      </c>
      <c r="AJ553">
        <v>0</v>
      </c>
      <c r="AK553">
        <v>2</v>
      </c>
      <c r="AL553" t="s">
        <v>1049</v>
      </c>
      <c r="AM553" t="s">
        <v>1050</v>
      </c>
      <c r="AN553" t="s">
        <v>1051</v>
      </c>
      <c r="AO553" t="s">
        <v>11058</v>
      </c>
      <c r="AP553" t="s">
        <v>11059</v>
      </c>
      <c r="AQ553" t="s">
        <v>74</v>
      </c>
      <c r="AR553" t="s">
        <v>11060</v>
      </c>
      <c r="AS553" t="s">
        <v>11061</v>
      </c>
      <c r="AT553" t="s">
        <v>10974</v>
      </c>
      <c r="AU553">
        <v>2020</v>
      </c>
      <c r="AV553">
        <v>9</v>
      </c>
      <c r="AW553">
        <v>1</v>
      </c>
      <c r="AX553" t="s">
        <v>74</v>
      </c>
      <c r="AY553" t="s">
        <v>74</v>
      </c>
      <c r="AZ553" t="s">
        <v>74</v>
      </c>
      <c r="BA553" t="s">
        <v>74</v>
      </c>
      <c r="BB553">
        <v>223</v>
      </c>
      <c r="BC553">
        <v>238</v>
      </c>
      <c r="BD553" t="s">
        <v>74</v>
      </c>
      <c r="BE553" t="s">
        <v>11062</v>
      </c>
      <c r="BF553" t="str">
        <f>HYPERLINK("http://dx.doi.org/10.5194/gi-9-223-2020","http://dx.doi.org/10.5194/gi-9-223-2020")</f>
        <v>http://dx.doi.org/10.5194/gi-9-223-2020</v>
      </c>
      <c r="BG553" t="s">
        <v>74</v>
      </c>
      <c r="BH553" t="s">
        <v>74</v>
      </c>
      <c r="BI553">
        <v>16</v>
      </c>
      <c r="BJ553" t="s">
        <v>1057</v>
      </c>
      <c r="BK553" t="s">
        <v>102</v>
      </c>
      <c r="BL553" t="s">
        <v>1058</v>
      </c>
      <c r="BM553" t="s">
        <v>11063</v>
      </c>
      <c r="BN553" t="s">
        <v>74</v>
      </c>
      <c r="BO553" t="s">
        <v>2993</v>
      </c>
      <c r="BP553" t="s">
        <v>74</v>
      </c>
      <c r="BQ553" t="s">
        <v>74</v>
      </c>
      <c r="BR553" t="s">
        <v>106</v>
      </c>
      <c r="BS553" t="s">
        <v>11064</v>
      </c>
      <c r="BT553" t="str">
        <f>HYPERLINK("https%3A%2F%2Fwww.webofscience.com%2Fwos%2Fwoscc%2Ffull-record%2FWOS:000537719200001","View Full Record in Web of Science")</f>
        <v>View Full Record in Web of Science</v>
      </c>
    </row>
    <row r="554" spans="1:72" x14ac:dyDescent="0.15">
      <c r="A554" t="s">
        <v>72</v>
      </c>
      <c r="B554" t="s">
        <v>11065</v>
      </c>
      <c r="C554" t="s">
        <v>74</v>
      </c>
      <c r="D554" t="s">
        <v>74</v>
      </c>
      <c r="E554" t="s">
        <v>74</v>
      </c>
      <c r="F554" t="s">
        <v>11066</v>
      </c>
      <c r="G554" t="s">
        <v>74</v>
      </c>
      <c r="H554" t="s">
        <v>74</v>
      </c>
      <c r="I554" t="s">
        <v>11067</v>
      </c>
      <c r="J554" t="s">
        <v>11068</v>
      </c>
      <c r="K554" t="s">
        <v>74</v>
      </c>
      <c r="L554" t="s">
        <v>74</v>
      </c>
      <c r="M554" t="s">
        <v>78</v>
      </c>
      <c r="N554" t="s">
        <v>79</v>
      </c>
      <c r="O554" t="s">
        <v>74</v>
      </c>
      <c r="P554" t="s">
        <v>74</v>
      </c>
      <c r="Q554" t="s">
        <v>74</v>
      </c>
      <c r="R554" t="s">
        <v>74</v>
      </c>
      <c r="S554" t="s">
        <v>74</v>
      </c>
      <c r="T554" t="s">
        <v>11069</v>
      </c>
      <c r="U554" t="s">
        <v>11070</v>
      </c>
      <c r="V554" t="s">
        <v>11071</v>
      </c>
      <c r="W554" t="s">
        <v>11072</v>
      </c>
      <c r="X554" t="s">
        <v>11073</v>
      </c>
      <c r="Y554" t="s">
        <v>5984</v>
      </c>
      <c r="Z554" t="s">
        <v>5985</v>
      </c>
      <c r="AA554" t="s">
        <v>11074</v>
      </c>
      <c r="AB554" t="s">
        <v>5987</v>
      </c>
      <c r="AC554" t="s">
        <v>11075</v>
      </c>
      <c r="AD554" t="s">
        <v>11075</v>
      </c>
      <c r="AE554" t="s">
        <v>11075</v>
      </c>
      <c r="AF554" t="s">
        <v>74</v>
      </c>
      <c r="AG554">
        <v>80</v>
      </c>
      <c r="AH554">
        <v>19</v>
      </c>
      <c r="AI554">
        <v>19</v>
      </c>
      <c r="AJ554">
        <v>1</v>
      </c>
      <c r="AK554">
        <v>13</v>
      </c>
      <c r="AL554" t="s">
        <v>11076</v>
      </c>
      <c r="AM554" t="s">
        <v>945</v>
      </c>
      <c r="AN554" t="s">
        <v>11077</v>
      </c>
      <c r="AO554" t="s">
        <v>11078</v>
      </c>
      <c r="AP554" t="s">
        <v>11079</v>
      </c>
      <c r="AQ554" t="s">
        <v>74</v>
      </c>
      <c r="AR554" t="s">
        <v>11080</v>
      </c>
      <c r="AS554" t="s">
        <v>11081</v>
      </c>
      <c r="AT554" t="s">
        <v>1001</v>
      </c>
      <c r="AU554">
        <v>2020</v>
      </c>
      <c r="AV554">
        <v>26</v>
      </c>
      <c r="AW554">
        <v>5</v>
      </c>
      <c r="AX554" t="s">
        <v>74</v>
      </c>
      <c r="AY554" t="s">
        <v>74</v>
      </c>
      <c r="AZ554" t="s">
        <v>74</v>
      </c>
      <c r="BA554" t="s">
        <v>74</v>
      </c>
      <c r="BB554">
        <v>1505</v>
      </c>
      <c r="BC554">
        <v>1519</v>
      </c>
      <c r="BD554" t="s">
        <v>74</v>
      </c>
      <c r="BE554" t="s">
        <v>11082</v>
      </c>
      <c r="BF554" t="str">
        <f>HYPERLINK("http://dx.doi.org/10.1111/anu.13098","http://dx.doi.org/10.1111/anu.13098")</f>
        <v>http://dx.doi.org/10.1111/anu.13098</v>
      </c>
      <c r="BG554" t="s">
        <v>74</v>
      </c>
      <c r="BH554" t="s">
        <v>10854</v>
      </c>
      <c r="BI554">
        <v>15</v>
      </c>
      <c r="BJ554" t="s">
        <v>4943</v>
      </c>
      <c r="BK554" t="s">
        <v>102</v>
      </c>
      <c r="BL554" t="s">
        <v>4943</v>
      </c>
      <c r="BM554" t="s">
        <v>11083</v>
      </c>
      <c r="BN554" t="s">
        <v>74</v>
      </c>
      <c r="BO554" t="s">
        <v>105</v>
      </c>
      <c r="BP554" t="s">
        <v>74</v>
      </c>
      <c r="BQ554" t="s">
        <v>74</v>
      </c>
      <c r="BR554" t="s">
        <v>106</v>
      </c>
      <c r="BS554" t="s">
        <v>11084</v>
      </c>
      <c r="BT554" t="str">
        <f>HYPERLINK("https%3A%2F%2Fwww.webofscience.com%2Fwos%2Fwoscc%2Ffull-record%2FWOS:000535839200001","View Full Record in Web of Science")</f>
        <v>View Full Record in Web of Science</v>
      </c>
    </row>
    <row r="555" spans="1:72" x14ac:dyDescent="0.15">
      <c r="A555" t="s">
        <v>72</v>
      </c>
      <c r="B555" t="s">
        <v>11085</v>
      </c>
      <c r="C555" t="s">
        <v>74</v>
      </c>
      <c r="D555" t="s">
        <v>74</v>
      </c>
      <c r="E555" t="s">
        <v>74</v>
      </c>
      <c r="F555" t="s">
        <v>11086</v>
      </c>
      <c r="G555" t="s">
        <v>74</v>
      </c>
      <c r="H555" t="s">
        <v>74</v>
      </c>
      <c r="I555" t="s">
        <v>11087</v>
      </c>
      <c r="J555" t="s">
        <v>1065</v>
      </c>
      <c r="K555" t="s">
        <v>74</v>
      </c>
      <c r="L555" t="s">
        <v>74</v>
      </c>
      <c r="M555" t="s">
        <v>78</v>
      </c>
      <c r="N555" t="s">
        <v>79</v>
      </c>
      <c r="O555" t="s">
        <v>74</v>
      </c>
      <c r="P555" t="s">
        <v>74</v>
      </c>
      <c r="Q555" t="s">
        <v>74</v>
      </c>
      <c r="R555" t="s">
        <v>74</v>
      </c>
      <c r="S555" t="s">
        <v>74</v>
      </c>
      <c r="T555" t="s">
        <v>11088</v>
      </c>
      <c r="U555" t="s">
        <v>11089</v>
      </c>
      <c r="V555" t="s">
        <v>11090</v>
      </c>
      <c r="W555" t="s">
        <v>11091</v>
      </c>
      <c r="X555" t="s">
        <v>11092</v>
      </c>
      <c r="Y555" t="s">
        <v>11093</v>
      </c>
      <c r="Z555" t="s">
        <v>11094</v>
      </c>
      <c r="AA555" t="s">
        <v>11095</v>
      </c>
      <c r="AB555" t="s">
        <v>11096</v>
      </c>
      <c r="AC555" t="s">
        <v>11097</v>
      </c>
      <c r="AD555" t="s">
        <v>11098</v>
      </c>
      <c r="AE555" t="s">
        <v>11099</v>
      </c>
      <c r="AF555" t="s">
        <v>74</v>
      </c>
      <c r="AG555">
        <v>100</v>
      </c>
      <c r="AH555">
        <v>16</v>
      </c>
      <c r="AI555">
        <v>16</v>
      </c>
      <c r="AJ555">
        <v>2</v>
      </c>
      <c r="AK555">
        <v>17</v>
      </c>
      <c r="AL555" t="s">
        <v>1024</v>
      </c>
      <c r="AM555" t="s">
        <v>1025</v>
      </c>
      <c r="AN555" t="s">
        <v>1026</v>
      </c>
      <c r="AO555" t="s">
        <v>74</v>
      </c>
      <c r="AP555" t="s">
        <v>1078</v>
      </c>
      <c r="AQ555" t="s">
        <v>74</v>
      </c>
      <c r="AR555" t="s">
        <v>1079</v>
      </c>
      <c r="AS555" t="s">
        <v>1080</v>
      </c>
      <c r="AT555" t="s">
        <v>10974</v>
      </c>
      <c r="AU555">
        <v>2020</v>
      </c>
      <c r="AV555">
        <v>7</v>
      </c>
      <c r="AW555" t="s">
        <v>74</v>
      </c>
      <c r="AX555" t="s">
        <v>74</v>
      </c>
      <c r="AY555" t="s">
        <v>74</v>
      </c>
      <c r="AZ555" t="s">
        <v>74</v>
      </c>
      <c r="BA555" t="s">
        <v>74</v>
      </c>
      <c r="BB555" t="s">
        <v>74</v>
      </c>
      <c r="BC555" t="s">
        <v>74</v>
      </c>
      <c r="BD555">
        <v>389</v>
      </c>
      <c r="BE555" t="s">
        <v>11100</v>
      </c>
      <c r="BF555" t="str">
        <f>HYPERLINK("http://dx.doi.org/10.3389/fmars.2020.00389","http://dx.doi.org/10.3389/fmars.2020.00389")</f>
        <v>http://dx.doi.org/10.3389/fmars.2020.00389</v>
      </c>
      <c r="BG555" t="s">
        <v>74</v>
      </c>
      <c r="BH555" t="s">
        <v>74</v>
      </c>
      <c r="BI555">
        <v>20</v>
      </c>
      <c r="BJ555" t="s">
        <v>237</v>
      </c>
      <c r="BK555" t="s">
        <v>102</v>
      </c>
      <c r="BL555" t="s">
        <v>238</v>
      </c>
      <c r="BM555" t="s">
        <v>11101</v>
      </c>
      <c r="BN555" t="s">
        <v>74</v>
      </c>
      <c r="BO555" t="s">
        <v>105</v>
      </c>
      <c r="BP555" t="s">
        <v>74</v>
      </c>
      <c r="BQ555" t="s">
        <v>74</v>
      </c>
      <c r="BR555" t="s">
        <v>106</v>
      </c>
      <c r="BS555" t="s">
        <v>11102</v>
      </c>
      <c r="BT555" t="str">
        <f>HYPERLINK("https%3A%2F%2Fwww.webofscience.com%2Fwos%2Fwoscc%2Ffull-record%2FWOS:000535867100001","View Full Record in Web of Science")</f>
        <v>View Full Record in Web of Science</v>
      </c>
    </row>
    <row r="556" spans="1:72" x14ac:dyDescent="0.15">
      <c r="A556" t="s">
        <v>72</v>
      </c>
      <c r="B556" t="s">
        <v>11103</v>
      </c>
      <c r="C556" t="s">
        <v>74</v>
      </c>
      <c r="D556" t="s">
        <v>74</v>
      </c>
      <c r="E556" t="s">
        <v>74</v>
      </c>
      <c r="F556" t="s">
        <v>11104</v>
      </c>
      <c r="G556" t="s">
        <v>74</v>
      </c>
      <c r="H556" t="s">
        <v>74</v>
      </c>
      <c r="I556" t="s">
        <v>11105</v>
      </c>
      <c r="J556" t="s">
        <v>3407</v>
      </c>
      <c r="K556" t="s">
        <v>74</v>
      </c>
      <c r="L556" t="s">
        <v>74</v>
      </c>
      <c r="M556" t="s">
        <v>78</v>
      </c>
      <c r="N556" t="s">
        <v>79</v>
      </c>
      <c r="O556" t="s">
        <v>74</v>
      </c>
      <c r="P556" t="s">
        <v>74</v>
      </c>
      <c r="Q556" t="s">
        <v>74</v>
      </c>
      <c r="R556" t="s">
        <v>74</v>
      </c>
      <c r="S556" t="s">
        <v>74</v>
      </c>
      <c r="T556" t="s">
        <v>11106</v>
      </c>
      <c r="U556" t="s">
        <v>11107</v>
      </c>
      <c r="V556" t="s">
        <v>11108</v>
      </c>
      <c r="W556" t="s">
        <v>11109</v>
      </c>
      <c r="X556" t="s">
        <v>11110</v>
      </c>
      <c r="Y556" t="s">
        <v>11111</v>
      </c>
      <c r="Z556" t="s">
        <v>9029</v>
      </c>
      <c r="AA556" t="s">
        <v>11112</v>
      </c>
      <c r="AB556" t="s">
        <v>11113</v>
      </c>
      <c r="AC556" t="s">
        <v>11114</v>
      </c>
      <c r="AD556" t="s">
        <v>11115</v>
      </c>
      <c r="AE556" t="s">
        <v>11116</v>
      </c>
      <c r="AF556" t="s">
        <v>74</v>
      </c>
      <c r="AG556">
        <v>42</v>
      </c>
      <c r="AH556">
        <v>56</v>
      </c>
      <c r="AI556">
        <v>58</v>
      </c>
      <c r="AJ556">
        <v>3</v>
      </c>
      <c r="AK556">
        <v>43</v>
      </c>
      <c r="AL556" t="s">
        <v>994</v>
      </c>
      <c r="AM556" t="s">
        <v>995</v>
      </c>
      <c r="AN556" t="s">
        <v>996</v>
      </c>
      <c r="AO556" t="s">
        <v>3419</v>
      </c>
      <c r="AP556" t="s">
        <v>74</v>
      </c>
      <c r="AQ556" t="s">
        <v>74</v>
      </c>
      <c r="AR556" t="s">
        <v>3420</v>
      </c>
      <c r="AS556" t="s">
        <v>3421</v>
      </c>
      <c r="AT556" t="s">
        <v>1930</v>
      </c>
      <c r="AU556">
        <v>2020</v>
      </c>
      <c r="AV556">
        <v>21</v>
      </c>
      <c r="AW556">
        <v>9</v>
      </c>
      <c r="AX556" t="s">
        <v>74</v>
      </c>
      <c r="AY556" t="s">
        <v>74</v>
      </c>
      <c r="AZ556" t="s">
        <v>74</v>
      </c>
      <c r="BA556" t="s">
        <v>74</v>
      </c>
      <c r="BB556" t="s">
        <v>74</v>
      </c>
      <c r="BC556" t="s">
        <v>74</v>
      </c>
      <c r="BD556" t="s">
        <v>11117</v>
      </c>
      <c r="BE556" t="s">
        <v>11118</v>
      </c>
      <c r="BF556" t="str">
        <f>HYPERLINK("http://dx.doi.org/10.1002/asl.984","http://dx.doi.org/10.1002/asl.984")</f>
        <v>http://dx.doi.org/10.1002/asl.984</v>
      </c>
      <c r="BG556" t="s">
        <v>74</v>
      </c>
      <c r="BH556" t="s">
        <v>10854</v>
      </c>
      <c r="BI556">
        <v>14</v>
      </c>
      <c r="BJ556" t="s">
        <v>3424</v>
      </c>
      <c r="BK556" t="s">
        <v>102</v>
      </c>
      <c r="BL556" t="s">
        <v>3424</v>
      </c>
      <c r="BM556" t="s">
        <v>11119</v>
      </c>
      <c r="BN556" t="s">
        <v>74</v>
      </c>
      <c r="BO556" t="s">
        <v>1128</v>
      </c>
      <c r="BP556" t="s">
        <v>74</v>
      </c>
      <c r="BQ556" t="s">
        <v>74</v>
      </c>
      <c r="BR556" t="s">
        <v>106</v>
      </c>
      <c r="BS556" t="s">
        <v>11120</v>
      </c>
      <c r="BT556" t="str">
        <f>HYPERLINK("https%3A%2F%2Fwww.webofscience.com%2Fwos%2Fwoscc%2Ffull-record%2FWOS:000535946500001","View Full Record in Web of Science")</f>
        <v>View Full Record in Web of Science</v>
      </c>
    </row>
    <row r="557" spans="1:72" x14ac:dyDescent="0.15">
      <c r="A557" t="s">
        <v>72</v>
      </c>
      <c r="B557" t="s">
        <v>11121</v>
      </c>
      <c r="C557" t="s">
        <v>74</v>
      </c>
      <c r="D557" t="s">
        <v>74</v>
      </c>
      <c r="E557" t="s">
        <v>74</v>
      </c>
      <c r="F557" t="s">
        <v>11122</v>
      </c>
      <c r="G557" t="s">
        <v>74</v>
      </c>
      <c r="H557" t="s">
        <v>74</v>
      </c>
      <c r="I557" t="s">
        <v>11123</v>
      </c>
      <c r="J557" t="s">
        <v>981</v>
      </c>
      <c r="K557" t="s">
        <v>74</v>
      </c>
      <c r="L557" t="s">
        <v>74</v>
      </c>
      <c r="M557" t="s">
        <v>78</v>
      </c>
      <c r="N557" t="s">
        <v>79</v>
      </c>
      <c r="O557" t="s">
        <v>74</v>
      </c>
      <c r="P557" t="s">
        <v>74</v>
      </c>
      <c r="Q557" t="s">
        <v>74</v>
      </c>
      <c r="R557" t="s">
        <v>74</v>
      </c>
      <c r="S557" t="s">
        <v>74</v>
      </c>
      <c r="T557" t="s">
        <v>11124</v>
      </c>
      <c r="U557" t="s">
        <v>11125</v>
      </c>
      <c r="V557" t="s">
        <v>11126</v>
      </c>
      <c r="W557" t="s">
        <v>11127</v>
      </c>
      <c r="X557" t="s">
        <v>11128</v>
      </c>
      <c r="Y557" t="s">
        <v>11129</v>
      </c>
      <c r="Z557" t="s">
        <v>11130</v>
      </c>
      <c r="AA557" t="s">
        <v>11131</v>
      </c>
      <c r="AB557" t="s">
        <v>11132</v>
      </c>
      <c r="AC557" t="s">
        <v>11133</v>
      </c>
      <c r="AD557" t="s">
        <v>11134</v>
      </c>
      <c r="AE557" t="s">
        <v>11135</v>
      </c>
      <c r="AF557" t="s">
        <v>74</v>
      </c>
      <c r="AG557">
        <v>94</v>
      </c>
      <c r="AH557">
        <v>16</v>
      </c>
      <c r="AI557">
        <v>18</v>
      </c>
      <c r="AJ557">
        <v>0</v>
      </c>
      <c r="AK557">
        <v>27</v>
      </c>
      <c r="AL557" t="s">
        <v>994</v>
      </c>
      <c r="AM557" t="s">
        <v>995</v>
      </c>
      <c r="AN557" t="s">
        <v>996</v>
      </c>
      <c r="AO557" t="s">
        <v>997</v>
      </c>
      <c r="AP557" t="s">
        <v>998</v>
      </c>
      <c r="AQ557" t="s">
        <v>74</v>
      </c>
      <c r="AR557" t="s">
        <v>999</v>
      </c>
      <c r="AS557" t="s">
        <v>1000</v>
      </c>
      <c r="AT557" t="s">
        <v>99</v>
      </c>
      <c r="AU557">
        <v>2020</v>
      </c>
      <c r="AV557">
        <v>26</v>
      </c>
      <c r="AW557">
        <v>8</v>
      </c>
      <c r="AX557" t="s">
        <v>74</v>
      </c>
      <c r="AY557" t="s">
        <v>74</v>
      </c>
      <c r="AZ557" t="s">
        <v>74</v>
      </c>
      <c r="BA557" t="s">
        <v>74</v>
      </c>
      <c r="BB557">
        <v>958</v>
      </c>
      <c r="BC557">
        <v>975</v>
      </c>
      <c r="BD557" t="s">
        <v>74</v>
      </c>
      <c r="BE557" t="s">
        <v>11136</v>
      </c>
      <c r="BF557" t="str">
        <f>HYPERLINK("http://dx.doi.org/10.1111/ddi.13072","http://dx.doi.org/10.1111/ddi.13072")</f>
        <v>http://dx.doi.org/10.1111/ddi.13072</v>
      </c>
      <c r="BG557" t="s">
        <v>74</v>
      </c>
      <c r="BH557" t="s">
        <v>10854</v>
      </c>
      <c r="BI557">
        <v>18</v>
      </c>
      <c r="BJ557" t="s">
        <v>1004</v>
      </c>
      <c r="BK557" t="s">
        <v>102</v>
      </c>
      <c r="BL557" t="s">
        <v>1005</v>
      </c>
      <c r="BM557" t="s">
        <v>11137</v>
      </c>
      <c r="BN557" t="s">
        <v>74</v>
      </c>
      <c r="BO557" t="s">
        <v>4774</v>
      </c>
      <c r="BP557" t="s">
        <v>74</v>
      </c>
      <c r="BQ557" t="s">
        <v>74</v>
      </c>
      <c r="BR557" t="s">
        <v>106</v>
      </c>
      <c r="BS557" t="s">
        <v>11138</v>
      </c>
      <c r="BT557" t="str">
        <f>HYPERLINK("https%3A%2F%2Fwww.webofscience.com%2Fwos%2Fwoscc%2Ffull-record%2FWOS:000535948800001","View Full Record in Web of Science")</f>
        <v>View Full Record in Web of Science</v>
      </c>
    </row>
    <row r="558" spans="1:72" x14ac:dyDescent="0.15">
      <c r="A558" t="s">
        <v>72</v>
      </c>
      <c r="B558" t="s">
        <v>11139</v>
      </c>
      <c r="C558" t="s">
        <v>74</v>
      </c>
      <c r="D558" t="s">
        <v>74</v>
      </c>
      <c r="E558" t="s">
        <v>74</v>
      </c>
      <c r="F558" t="s">
        <v>11140</v>
      </c>
      <c r="G558" t="s">
        <v>74</v>
      </c>
      <c r="H558" t="s">
        <v>74</v>
      </c>
      <c r="I558" t="s">
        <v>11141</v>
      </c>
      <c r="J558" t="s">
        <v>11142</v>
      </c>
      <c r="K558" t="s">
        <v>74</v>
      </c>
      <c r="L558" t="s">
        <v>74</v>
      </c>
      <c r="M558" t="s">
        <v>78</v>
      </c>
      <c r="N558" t="s">
        <v>245</v>
      </c>
      <c r="O558" t="s">
        <v>74</v>
      </c>
      <c r="P558" t="s">
        <v>74</v>
      </c>
      <c r="Q558" t="s">
        <v>74</v>
      </c>
      <c r="R558" t="s">
        <v>74</v>
      </c>
      <c r="S558" t="s">
        <v>74</v>
      </c>
      <c r="T558" t="s">
        <v>11143</v>
      </c>
      <c r="U558" t="s">
        <v>11144</v>
      </c>
      <c r="V558" t="s">
        <v>11145</v>
      </c>
      <c r="W558" t="s">
        <v>11146</v>
      </c>
      <c r="X558" t="s">
        <v>11147</v>
      </c>
      <c r="Y558" t="s">
        <v>11148</v>
      </c>
      <c r="Z558" t="s">
        <v>11149</v>
      </c>
      <c r="AA558" t="s">
        <v>5951</v>
      </c>
      <c r="AB558" t="s">
        <v>5952</v>
      </c>
      <c r="AC558" t="s">
        <v>11150</v>
      </c>
      <c r="AD558" t="s">
        <v>11150</v>
      </c>
      <c r="AE558" t="s">
        <v>11151</v>
      </c>
      <c r="AF558" t="s">
        <v>74</v>
      </c>
      <c r="AG558">
        <v>30</v>
      </c>
      <c r="AH558">
        <v>2</v>
      </c>
      <c r="AI558">
        <v>2</v>
      </c>
      <c r="AJ558">
        <v>0</v>
      </c>
      <c r="AK558">
        <v>6</v>
      </c>
      <c r="AL558" t="s">
        <v>1411</v>
      </c>
      <c r="AM558" t="s">
        <v>1412</v>
      </c>
      <c r="AN558" t="s">
        <v>1413</v>
      </c>
      <c r="AO558" t="s">
        <v>11152</v>
      </c>
      <c r="AP558" t="s">
        <v>11153</v>
      </c>
      <c r="AQ558" t="s">
        <v>74</v>
      </c>
      <c r="AR558" t="s">
        <v>11142</v>
      </c>
      <c r="AS558" t="s">
        <v>11154</v>
      </c>
      <c r="AT558" t="s">
        <v>11155</v>
      </c>
      <c r="AU558">
        <v>2020</v>
      </c>
      <c r="AV558">
        <v>91</v>
      </c>
      <c r="AW558">
        <v>2</v>
      </c>
      <c r="AX558" t="s">
        <v>74</v>
      </c>
      <c r="AY558" t="s">
        <v>74</v>
      </c>
      <c r="AZ558" t="s">
        <v>74</v>
      </c>
      <c r="BA558" t="s">
        <v>74</v>
      </c>
      <c r="BB558">
        <v>101</v>
      </c>
      <c r="BC558">
        <v>106</v>
      </c>
      <c r="BD558" t="s">
        <v>74</v>
      </c>
      <c r="BE558" t="s">
        <v>11156</v>
      </c>
      <c r="BF558" t="str">
        <f>HYPERLINK("http://dx.doi.org/10.2989/00306525.2020.1721587","http://dx.doi.org/10.2989/00306525.2020.1721587")</f>
        <v>http://dx.doi.org/10.2989/00306525.2020.1721587</v>
      </c>
      <c r="BG558" t="s">
        <v>74</v>
      </c>
      <c r="BH558" t="s">
        <v>10854</v>
      </c>
      <c r="BI558">
        <v>6</v>
      </c>
      <c r="BJ558" t="s">
        <v>11157</v>
      </c>
      <c r="BK558" t="s">
        <v>102</v>
      </c>
      <c r="BL558" t="s">
        <v>1499</v>
      </c>
      <c r="BM558" t="s">
        <v>11158</v>
      </c>
      <c r="BN558" t="s">
        <v>74</v>
      </c>
      <c r="BO558" t="s">
        <v>74</v>
      </c>
      <c r="BP558" t="s">
        <v>74</v>
      </c>
      <c r="BQ558" t="s">
        <v>74</v>
      </c>
      <c r="BR558" t="s">
        <v>106</v>
      </c>
      <c r="BS558" t="s">
        <v>11159</v>
      </c>
      <c r="BT558" t="str">
        <f>HYPERLINK("https%3A%2F%2Fwww.webofscience.com%2Fwos%2Fwoscc%2Ffull-record%2FWOS:000540988700001","View Full Record in Web of Science")</f>
        <v>View Full Record in Web of Science</v>
      </c>
    </row>
    <row r="559" spans="1:72" x14ac:dyDescent="0.15">
      <c r="A559" t="s">
        <v>72</v>
      </c>
      <c r="B559" t="s">
        <v>11160</v>
      </c>
      <c r="C559" t="s">
        <v>74</v>
      </c>
      <c r="D559" t="s">
        <v>74</v>
      </c>
      <c r="E559" t="s">
        <v>74</v>
      </c>
      <c r="F559" t="s">
        <v>11161</v>
      </c>
      <c r="G559" t="s">
        <v>74</v>
      </c>
      <c r="H559" t="s">
        <v>74</v>
      </c>
      <c r="I559" t="s">
        <v>11162</v>
      </c>
      <c r="J559" t="s">
        <v>1572</v>
      </c>
      <c r="K559" t="s">
        <v>74</v>
      </c>
      <c r="L559" t="s">
        <v>74</v>
      </c>
      <c r="M559" t="s">
        <v>78</v>
      </c>
      <c r="N559" t="s">
        <v>79</v>
      </c>
      <c r="O559" t="s">
        <v>74</v>
      </c>
      <c r="P559" t="s">
        <v>74</v>
      </c>
      <c r="Q559" t="s">
        <v>74</v>
      </c>
      <c r="R559" t="s">
        <v>74</v>
      </c>
      <c r="S559" t="s">
        <v>74</v>
      </c>
      <c r="T559" t="s">
        <v>11163</v>
      </c>
      <c r="U559" t="s">
        <v>11164</v>
      </c>
      <c r="V559" t="s">
        <v>11165</v>
      </c>
      <c r="W559" t="s">
        <v>11166</v>
      </c>
      <c r="X559" t="s">
        <v>11167</v>
      </c>
      <c r="Y559" t="s">
        <v>11168</v>
      </c>
      <c r="Z559" t="s">
        <v>11169</v>
      </c>
      <c r="AA559" t="s">
        <v>11170</v>
      </c>
      <c r="AB559" t="s">
        <v>11171</v>
      </c>
      <c r="AC559" t="s">
        <v>11172</v>
      </c>
      <c r="AD559" t="s">
        <v>11173</v>
      </c>
      <c r="AE559" t="s">
        <v>11174</v>
      </c>
      <c r="AF559" t="s">
        <v>74</v>
      </c>
      <c r="AG559">
        <v>77</v>
      </c>
      <c r="AH559">
        <v>34</v>
      </c>
      <c r="AI559">
        <v>35</v>
      </c>
      <c r="AJ559">
        <v>0</v>
      </c>
      <c r="AK559">
        <v>17</v>
      </c>
      <c r="AL559" t="s">
        <v>151</v>
      </c>
      <c r="AM559" t="s">
        <v>152</v>
      </c>
      <c r="AN559" t="s">
        <v>153</v>
      </c>
      <c r="AO559" t="s">
        <v>1585</v>
      </c>
      <c r="AP559" t="s">
        <v>1586</v>
      </c>
      <c r="AQ559" t="s">
        <v>74</v>
      </c>
      <c r="AR559" t="s">
        <v>1587</v>
      </c>
      <c r="AS559" t="s">
        <v>1588</v>
      </c>
      <c r="AT559" t="s">
        <v>11175</v>
      </c>
      <c r="AU559">
        <v>2020</v>
      </c>
      <c r="AV559">
        <v>125</v>
      </c>
      <c r="AW559">
        <v>10</v>
      </c>
      <c r="AX559" t="s">
        <v>74</v>
      </c>
      <c r="AY559" t="s">
        <v>74</v>
      </c>
      <c r="AZ559" t="s">
        <v>74</v>
      </c>
      <c r="BA559" t="s">
        <v>74</v>
      </c>
      <c r="BB559" t="s">
        <v>74</v>
      </c>
      <c r="BC559" t="s">
        <v>74</v>
      </c>
      <c r="BD559" t="s">
        <v>11176</v>
      </c>
      <c r="BE559" t="s">
        <v>11177</v>
      </c>
      <c r="BF559" t="str">
        <f>HYPERLINK("http://dx.doi.org/10.1029/2019JD032204","http://dx.doi.org/10.1029/2019JD032204")</f>
        <v>http://dx.doi.org/10.1029/2019JD032204</v>
      </c>
      <c r="BG559" t="s">
        <v>74</v>
      </c>
      <c r="BH559" t="s">
        <v>74</v>
      </c>
      <c r="BI559">
        <v>46</v>
      </c>
      <c r="BJ559" t="s">
        <v>159</v>
      </c>
      <c r="BK559" t="s">
        <v>102</v>
      </c>
      <c r="BL559" t="s">
        <v>159</v>
      </c>
      <c r="BM559" t="s">
        <v>11178</v>
      </c>
      <c r="BN559" t="s">
        <v>74</v>
      </c>
      <c r="BO559" t="s">
        <v>74</v>
      </c>
      <c r="BP559" t="s">
        <v>74</v>
      </c>
      <c r="BQ559" t="s">
        <v>74</v>
      </c>
      <c r="BR559" t="s">
        <v>106</v>
      </c>
      <c r="BS559" t="s">
        <v>11179</v>
      </c>
      <c r="BT559" t="str">
        <f>HYPERLINK("https%3A%2F%2Fwww.webofscience.com%2Fwos%2Fwoscc%2Ffull-record%2FWOS:000537788100018","View Full Record in Web of Science")</f>
        <v>View Full Record in Web of Science</v>
      </c>
    </row>
    <row r="560" spans="1:72" x14ac:dyDescent="0.15">
      <c r="A560" t="s">
        <v>72</v>
      </c>
      <c r="B560" t="s">
        <v>11180</v>
      </c>
      <c r="C560" t="s">
        <v>74</v>
      </c>
      <c r="D560" t="s">
        <v>74</v>
      </c>
      <c r="E560" t="s">
        <v>74</v>
      </c>
      <c r="F560" t="s">
        <v>11181</v>
      </c>
      <c r="G560" t="s">
        <v>74</v>
      </c>
      <c r="H560" t="s">
        <v>11182</v>
      </c>
      <c r="I560" t="s">
        <v>11183</v>
      </c>
      <c r="J560" t="s">
        <v>11184</v>
      </c>
      <c r="K560" t="s">
        <v>74</v>
      </c>
      <c r="L560" t="s">
        <v>74</v>
      </c>
      <c r="M560" t="s">
        <v>78</v>
      </c>
      <c r="N560" t="s">
        <v>79</v>
      </c>
      <c r="O560" t="s">
        <v>74</v>
      </c>
      <c r="P560" t="s">
        <v>74</v>
      </c>
      <c r="Q560" t="s">
        <v>74</v>
      </c>
      <c r="R560" t="s">
        <v>74</v>
      </c>
      <c r="S560" t="s">
        <v>74</v>
      </c>
      <c r="T560" t="s">
        <v>74</v>
      </c>
      <c r="U560" t="s">
        <v>74</v>
      </c>
      <c r="V560" t="s">
        <v>11185</v>
      </c>
      <c r="W560" t="s">
        <v>11186</v>
      </c>
      <c r="X560" t="s">
        <v>11187</v>
      </c>
      <c r="Y560" t="s">
        <v>11188</v>
      </c>
      <c r="Z560" t="s">
        <v>11189</v>
      </c>
      <c r="AA560" t="s">
        <v>74</v>
      </c>
      <c r="AB560" t="s">
        <v>11190</v>
      </c>
      <c r="AC560" t="s">
        <v>11191</v>
      </c>
      <c r="AD560" t="s">
        <v>11192</v>
      </c>
      <c r="AE560" t="s">
        <v>11193</v>
      </c>
      <c r="AF560" t="s">
        <v>74</v>
      </c>
      <c r="AG560">
        <v>4</v>
      </c>
      <c r="AH560">
        <v>2</v>
      </c>
      <c r="AI560">
        <v>2</v>
      </c>
      <c r="AJ560">
        <v>0</v>
      </c>
      <c r="AK560">
        <v>4</v>
      </c>
      <c r="AL560" t="s">
        <v>1049</v>
      </c>
      <c r="AM560" t="s">
        <v>1050</v>
      </c>
      <c r="AN560" t="s">
        <v>1051</v>
      </c>
      <c r="AO560" t="s">
        <v>11194</v>
      </c>
      <c r="AP560" t="s">
        <v>11195</v>
      </c>
      <c r="AQ560" t="s">
        <v>74</v>
      </c>
      <c r="AR560" t="s">
        <v>11196</v>
      </c>
      <c r="AS560" t="s">
        <v>11197</v>
      </c>
      <c r="AT560" t="s">
        <v>11175</v>
      </c>
      <c r="AU560">
        <v>2020</v>
      </c>
      <c r="AV560">
        <v>27</v>
      </c>
      <c r="AW560" t="s">
        <v>74</v>
      </c>
      <c r="AX560" t="s">
        <v>74</v>
      </c>
      <c r="AY560" t="s">
        <v>74</v>
      </c>
      <c r="AZ560" t="s">
        <v>74</v>
      </c>
      <c r="BA560" t="s">
        <v>74</v>
      </c>
      <c r="BB560">
        <v>49</v>
      </c>
      <c r="BC560">
        <v>52</v>
      </c>
      <c r="BD560" t="s">
        <v>74</v>
      </c>
      <c r="BE560" t="s">
        <v>11198</v>
      </c>
      <c r="BF560" t="str">
        <f>HYPERLINK("http://dx.doi.org/10.5194/sd-27-49-2020","http://dx.doi.org/10.5194/sd-27-49-2020")</f>
        <v>http://dx.doi.org/10.5194/sd-27-49-2020</v>
      </c>
      <c r="BG560" t="s">
        <v>74</v>
      </c>
      <c r="BH560" t="s">
        <v>74</v>
      </c>
      <c r="BI560">
        <v>4</v>
      </c>
      <c r="BJ560" t="s">
        <v>471</v>
      </c>
      <c r="BK560" t="s">
        <v>3838</v>
      </c>
      <c r="BL560" t="s">
        <v>472</v>
      </c>
      <c r="BM560" t="s">
        <v>11199</v>
      </c>
      <c r="BN560" t="s">
        <v>74</v>
      </c>
      <c r="BO560" t="s">
        <v>2089</v>
      </c>
      <c r="BP560" t="s">
        <v>74</v>
      </c>
      <c r="BQ560" t="s">
        <v>74</v>
      </c>
      <c r="BR560" t="s">
        <v>106</v>
      </c>
      <c r="BS560" t="s">
        <v>11200</v>
      </c>
      <c r="BT560" t="str">
        <f>HYPERLINK("https%3A%2F%2Fwww.webofscience.com%2Fwos%2Fwoscc%2Ffull-record%2FWOS:000537704200004","View Full Record in Web of Science")</f>
        <v>View Full Record in Web of Science</v>
      </c>
    </row>
    <row r="561" spans="1:72" x14ac:dyDescent="0.15">
      <c r="A561" t="s">
        <v>72</v>
      </c>
      <c r="B561" t="s">
        <v>11201</v>
      </c>
      <c r="C561" t="s">
        <v>74</v>
      </c>
      <c r="D561" t="s">
        <v>74</v>
      </c>
      <c r="E561" t="s">
        <v>74</v>
      </c>
      <c r="F561" t="s">
        <v>11202</v>
      </c>
      <c r="G561" t="s">
        <v>74</v>
      </c>
      <c r="H561" t="s">
        <v>74</v>
      </c>
      <c r="I561" t="s">
        <v>11203</v>
      </c>
      <c r="J561" t="s">
        <v>2111</v>
      </c>
      <c r="K561" t="s">
        <v>74</v>
      </c>
      <c r="L561" t="s">
        <v>74</v>
      </c>
      <c r="M561" t="s">
        <v>78</v>
      </c>
      <c r="N561" t="s">
        <v>79</v>
      </c>
      <c r="O561" t="s">
        <v>74</v>
      </c>
      <c r="P561" t="s">
        <v>74</v>
      </c>
      <c r="Q561" t="s">
        <v>74</v>
      </c>
      <c r="R561" t="s">
        <v>74</v>
      </c>
      <c r="S561" t="s">
        <v>74</v>
      </c>
      <c r="T561" t="s">
        <v>74</v>
      </c>
      <c r="U561" t="s">
        <v>11204</v>
      </c>
      <c r="V561" t="s">
        <v>11205</v>
      </c>
      <c r="W561" t="s">
        <v>11206</v>
      </c>
      <c r="X561" t="s">
        <v>11207</v>
      </c>
      <c r="Y561" t="s">
        <v>11208</v>
      </c>
      <c r="Z561" t="s">
        <v>11209</v>
      </c>
      <c r="AA561" t="s">
        <v>11210</v>
      </c>
      <c r="AB561" t="s">
        <v>11211</v>
      </c>
      <c r="AC561" t="s">
        <v>11212</v>
      </c>
      <c r="AD561" t="s">
        <v>11213</v>
      </c>
      <c r="AE561" t="s">
        <v>11214</v>
      </c>
      <c r="AF561" t="s">
        <v>74</v>
      </c>
      <c r="AG561">
        <v>107</v>
      </c>
      <c r="AH561">
        <v>14</v>
      </c>
      <c r="AI561">
        <v>15</v>
      </c>
      <c r="AJ561">
        <v>0</v>
      </c>
      <c r="AK561">
        <v>9</v>
      </c>
      <c r="AL561" t="s">
        <v>2121</v>
      </c>
      <c r="AM561" t="s">
        <v>2122</v>
      </c>
      <c r="AN561" t="s">
        <v>2123</v>
      </c>
      <c r="AO561" t="s">
        <v>2124</v>
      </c>
      <c r="AP561" t="s">
        <v>74</v>
      </c>
      <c r="AQ561" t="s">
        <v>74</v>
      </c>
      <c r="AR561" t="s">
        <v>2111</v>
      </c>
      <c r="AS561" t="s">
        <v>2125</v>
      </c>
      <c r="AT561" t="s">
        <v>11175</v>
      </c>
      <c r="AU561">
        <v>2020</v>
      </c>
      <c r="AV561">
        <v>15</v>
      </c>
      <c r="AW561">
        <v>5</v>
      </c>
      <c r="AX561" t="s">
        <v>74</v>
      </c>
      <c r="AY561" t="s">
        <v>74</v>
      </c>
      <c r="AZ561" t="s">
        <v>74</v>
      </c>
      <c r="BA561" t="s">
        <v>74</v>
      </c>
      <c r="BB561" t="s">
        <v>74</v>
      </c>
      <c r="BC561" t="s">
        <v>74</v>
      </c>
      <c r="BD561" t="s">
        <v>11215</v>
      </c>
      <c r="BE561" t="s">
        <v>11216</v>
      </c>
      <c r="BF561" t="str">
        <f>HYPERLINK("http://dx.doi.org/10.1371/journal.pone.0233805","http://dx.doi.org/10.1371/journal.pone.0233805")</f>
        <v>http://dx.doi.org/10.1371/journal.pone.0233805</v>
      </c>
      <c r="BG561" t="s">
        <v>74</v>
      </c>
      <c r="BH561" t="s">
        <v>74</v>
      </c>
      <c r="BI561">
        <v>17</v>
      </c>
      <c r="BJ561" t="s">
        <v>1125</v>
      </c>
      <c r="BK561" t="s">
        <v>102</v>
      </c>
      <c r="BL561" t="s">
        <v>1126</v>
      </c>
      <c r="BM561" t="s">
        <v>11217</v>
      </c>
      <c r="BN561">
        <v>32460306</v>
      </c>
      <c r="BO561" t="s">
        <v>1778</v>
      </c>
      <c r="BP561" t="s">
        <v>74</v>
      </c>
      <c r="BQ561" t="s">
        <v>74</v>
      </c>
      <c r="BR561" t="s">
        <v>106</v>
      </c>
      <c r="BS561" t="s">
        <v>11218</v>
      </c>
      <c r="BT561" t="str">
        <f>HYPERLINK("https%3A%2F%2Fwww.webofscience.com%2Fwos%2Fwoscc%2Ffull-record%2FWOS:000537531500027","View Full Record in Web of Science")</f>
        <v>View Full Record in Web of Science</v>
      </c>
    </row>
    <row r="562" spans="1:72" x14ac:dyDescent="0.15">
      <c r="A562" t="s">
        <v>72</v>
      </c>
      <c r="B562" t="s">
        <v>11219</v>
      </c>
      <c r="C562" t="s">
        <v>74</v>
      </c>
      <c r="D562" t="s">
        <v>74</v>
      </c>
      <c r="E562" t="s">
        <v>74</v>
      </c>
      <c r="F562" t="s">
        <v>11220</v>
      </c>
      <c r="G562" t="s">
        <v>74</v>
      </c>
      <c r="H562" t="s">
        <v>74</v>
      </c>
      <c r="I562" t="s">
        <v>11221</v>
      </c>
      <c r="J562" t="s">
        <v>2111</v>
      </c>
      <c r="K562" t="s">
        <v>74</v>
      </c>
      <c r="L562" t="s">
        <v>74</v>
      </c>
      <c r="M562" t="s">
        <v>78</v>
      </c>
      <c r="N562" t="s">
        <v>79</v>
      </c>
      <c r="O562" t="s">
        <v>74</v>
      </c>
      <c r="P562" t="s">
        <v>74</v>
      </c>
      <c r="Q562" t="s">
        <v>74</v>
      </c>
      <c r="R562" t="s">
        <v>74</v>
      </c>
      <c r="S562" t="s">
        <v>74</v>
      </c>
      <c r="T562" t="s">
        <v>74</v>
      </c>
      <c r="U562" t="s">
        <v>11222</v>
      </c>
      <c r="V562" t="s">
        <v>11223</v>
      </c>
      <c r="W562" t="s">
        <v>11224</v>
      </c>
      <c r="X562" t="s">
        <v>11225</v>
      </c>
      <c r="Y562" t="s">
        <v>11226</v>
      </c>
      <c r="Z562" t="s">
        <v>11227</v>
      </c>
      <c r="AA562" t="s">
        <v>11228</v>
      </c>
      <c r="AB562" t="s">
        <v>11229</v>
      </c>
      <c r="AC562" t="s">
        <v>11230</v>
      </c>
      <c r="AD562" t="s">
        <v>11231</v>
      </c>
      <c r="AE562" t="s">
        <v>11232</v>
      </c>
      <c r="AF562" t="s">
        <v>74</v>
      </c>
      <c r="AG562">
        <v>88</v>
      </c>
      <c r="AH562">
        <v>23</v>
      </c>
      <c r="AI562">
        <v>23</v>
      </c>
      <c r="AJ562">
        <v>1</v>
      </c>
      <c r="AK562">
        <v>4</v>
      </c>
      <c r="AL562" t="s">
        <v>2121</v>
      </c>
      <c r="AM562" t="s">
        <v>2122</v>
      </c>
      <c r="AN562" t="s">
        <v>2123</v>
      </c>
      <c r="AO562" t="s">
        <v>2124</v>
      </c>
      <c r="AP562" t="s">
        <v>74</v>
      </c>
      <c r="AQ562" t="s">
        <v>74</v>
      </c>
      <c r="AR562" t="s">
        <v>2111</v>
      </c>
      <c r="AS562" t="s">
        <v>2125</v>
      </c>
      <c r="AT562" t="s">
        <v>11175</v>
      </c>
      <c r="AU562">
        <v>2020</v>
      </c>
      <c r="AV562">
        <v>15</v>
      </c>
      <c r="AW562">
        <v>5</v>
      </c>
      <c r="AX562" t="s">
        <v>74</v>
      </c>
      <c r="AY562" t="s">
        <v>74</v>
      </c>
      <c r="AZ562" t="s">
        <v>74</v>
      </c>
      <c r="BA562" t="s">
        <v>74</v>
      </c>
      <c r="BB562" t="s">
        <v>74</v>
      </c>
      <c r="BC562" t="s">
        <v>74</v>
      </c>
      <c r="BD562" t="s">
        <v>11233</v>
      </c>
      <c r="BE562" t="s">
        <v>11234</v>
      </c>
      <c r="BF562" t="str">
        <f>HYPERLINK("http://dx.doi.org/10.1371/journal.pone.0233156","http://dx.doi.org/10.1371/journal.pone.0233156")</f>
        <v>http://dx.doi.org/10.1371/journal.pone.0233156</v>
      </c>
      <c r="BG562" t="s">
        <v>74</v>
      </c>
      <c r="BH562" t="s">
        <v>74</v>
      </c>
      <c r="BI562">
        <v>23</v>
      </c>
      <c r="BJ562" t="s">
        <v>1125</v>
      </c>
      <c r="BK562" t="s">
        <v>102</v>
      </c>
      <c r="BL562" t="s">
        <v>1126</v>
      </c>
      <c r="BM562" t="s">
        <v>11217</v>
      </c>
      <c r="BN562">
        <v>32459813</v>
      </c>
      <c r="BO562" t="s">
        <v>1778</v>
      </c>
      <c r="BP562" t="s">
        <v>74</v>
      </c>
      <c r="BQ562" t="s">
        <v>74</v>
      </c>
      <c r="BR562" t="s">
        <v>106</v>
      </c>
      <c r="BS562" t="s">
        <v>11235</v>
      </c>
      <c r="BT562" t="str">
        <f>HYPERLINK("https%3A%2F%2Fwww.webofscience.com%2Fwos%2Fwoscc%2Ffull-record%2FWOS:000537531500016","View Full Record in Web of Science")</f>
        <v>View Full Record in Web of Science</v>
      </c>
    </row>
    <row r="563" spans="1:72" x14ac:dyDescent="0.15">
      <c r="A563" t="s">
        <v>72</v>
      </c>
      <c r="B563" t="s">
        <v>11236</v>
      </c>
      <c r="C563" t="s">
        <v>74</v>
      </c>
      <c r="D563" t="s">
        <v>74</v>
      </c>
      <c r="E563" t="s">
        <v>74</v>
      </c>
      <c r="F563" t="s">
        <v>11237</v>
      </c>
      <c r="G563" t="s">
        <v>74</v>
      </c>
      <c r="H563" t="s">
        <v>74</v>
      </c>
      <c r="I563" t="s">
        <v>11238</v>
      </c>
      <c r="J563" t="s">
        <v>6000</v>
      </c>
      <c r="K563" t="s">
        <v>74</v>
      </c>
      <c r="L563" t="s">
        <v>74</v>
      </c>
      <c r="M563" t="s">
        <v>78</v>
      </c>
      <c r="N563" t="s">
        <v>79</v>
      </c>
      <c r="O563" t="s">
        <v>74</v>
      </c>
      <c r="P563" t="s">
        <v>74</v>
      </c>
      <c r="Q563" t="s">
        <v>74</v>
      </c>
      <c r="R563" t="s">
        <v>74</v>
      </c>
      <c r="S563" t="s">
        <v>74</v>
      </c>
      <c r="T563" t="s">
        <v>74</v>
      </c>
      <c r="U563" t="s">
        <v>11239</v>
      </c>
      <c r="V563" t="s">
        <v>11240</v>
      </c>
      <c r="W563" t="s">
        <v>11241</v>
      </c>
      <c r="X563" t="s">
        <v>11242</v>
      </c>
      <c r="Y563" t="s">
        <v>11243</v>
      </c>
      <c r="Z563" t="s">
        <v>11244</v>
      </c>
      <c r="AA563" t="s">
        <v>11245</v>
      </c>
      <c r="AB563" t="s">
        <v>11246</v>
      </c>
      <c r="AC563" t="s">
        <v>11247</v>
      </c>
      <c r="AD563" t="s">
        <v>11248</v>
      </c>
      <c r="AE563" t="s">
        <v>11249</v>
      </c>
      <c r="AF563" t="s">
        <v>74</v>
      </c>
      <c r="AG563">
        <v>36</v>
      </c>
      <c r="AH563">
        <v>4</v>
      </c>
      <c r="AI563">
        <v>5</v>
      </c>
      <c r="AJ563">
        <v>0</v>
      </c>
      <c r="AK563">
        <v>14</v>
      </c>
      <c r="AL563" t="s">
        <v>994</v>
      </c>
      <c r="AM563" t="s">
        <v>995</v>
      </c>
      <c r="AN563" t="s">
        <v>996</v>
      </c>
      <c r="AO563" t="s">
        <v>6012</v>
      </c>
      <c r="AP563" t="s">
        <v>6013</v>
      </c>
      <c r="AQ563" t="s">
        <v>74</v>
      </c>
      <c r="AR563" t="s">
        <v>6014</v>
      </c>
      <c r="AS563" t="s">
        <v>6015</v>
      </c>
      <c r="AT563" t="s">
        <v>11250</v>
      </c>
      <c r="AU563">
        <v>2020</v>
      </c>
      <c r="AV563">
        <v>55</v>
      </c>
      <c r="AW563">
        <v>5</v>
      </c>
      <c r="AX563" t="s">
        <v>74</v>
      </c>
      <c r="AY563" t="s">
        <v>74</v>
      </c>
      <c r="AZ563" t="s">
        <v>74</v>
      </c>
      <c r="BA563" t="s">
        <v>74</v>
      </c>
      <c r="BB563">
        <v>1128</v>
      </c>
      <c r="BC563">
        <v>1145</v>
      </c>
      <c r="BD563" t="s">
        <v>74</v>
      </c>
      <c r="BE563" t="s">
        <v>11251</v>
      </c>
      <c r="BF563" t="str">
        <f>HYPERLINK("http://dx.doi.org/10.1111/maps.13483","http://dx.doi.org/10.1111/maps.13483")</f>
        <v>http://dx.doi.org/10.1111/maps.13483</v>
      </c>
      <c r="BG563" t="s">
        <v>74</v>
      </c>
      <c r="BH563" t="s">
        <v>10854</v>
      </c>
      <c r="BI563">
        <v>18</v>
      </c>
      <c r="BJ563" t="s">
        <v>131</v>
      </c>
      <c r="BK563" t="s">
        <v>102</v>
      </c>
      <c r="BL563" t="s">
        <v>131</v>
      </c>
      <c r="BM563" t="s">
        <v>11252</v>
      </c>
      <c r="BN563" t="s">
        <v>74</v>
      </c>
      <c r="BO563" t="s">
        <v>491</v>
      </c>
      <c r="BP563" t="s">
        <v>74</v>
      </c>
      <c r="BQ563" t="s">
        <v>74</v>
      </c>
      <c r="BR563" t="s">
        <v>106</v>
      </c>
      <c r="BS563" t="s">
        <v>11253</v>
      </c>
      <c r="BT563" t="str">
        <f>HYPERLINK("https%3A%2F%2Fwww.webofscience.com%2Fwos%2Fwoscc%2Ffull-record%2FWOS:000535615400001","View Full Record in Web of Science")</f>
        <v>View Full Record in Web of Science</v>
      </c>
    </row>
    <row r="564" spans="1:72" x14ac:dyDescent="0.15">
      <c r="A564" t="s">
        <v>72</v>
      </c>
      <c r="B564" t="s">
        <v>11254</v>
      </c>
      <c r="C564" t="s">
        <v>74</v>
      </c>
      <c r="D564" t="s">
        <v>74</v>
      </c>
      <c r="E564" t="s">
        <v>74</v>
      </c>
      <c r="F564" t="s">
        <v>11255</v>
      </c>
      <c r="G564" t="s">
        <v>74</v>
      </c>
      <c r="H564" t="s">
        <v>74</v>
      </c>
      <c r="I564" t="s">
        <v>11256</v>
      </c>
      <c r="J564" t="s">
        <v>1758</v>
      </c>
      <c r="K564" t="s">
        <v>74</v>
      </c>
      <c r="L564" t="s">
        <v>74</v>
      </c>
      <c r="M564" t="s">
        <v>78</v>
      </c>
      <c r="N564" t="s">
        <v>79</v>
      </c>
      <c r="O564" t="s">
        <v>74</v>
      </c>
      <c r="P564" t="s">
        <v>74</v>
      </c>
      <c r="Q564" t="s">
        <v>74</v>
      </c>
      <c r="R564" t="s">
        <v>74</v>
      </c>
      <c r="S564" t="s">
        <v>74</v>
      </c>
      <c r="T564" t="s">
        <v>11257</v>
      </c>
      <c r="U564" t="s">
        <v>11258</v>
      </c>
      <c r="V564" t="s">
        <v>11259</v>
      </c>
      <c r="W564" t="s">
        <v>11260</v>
      </c>
      <c r="X564" t="s">
        <v>390</v>
      </c>
      <c r="Y564" t="s">
        <v>11261</v>
      </c>
      <c r="Z564" t="s">
        <v>11262</v>
      </c>
      <c r="AA564" t="s">
        <v>11263</v>
      </c>
      <c r="AB564" t="s">
        <v>11264</v>
      </c>
      <c r="AC564" t="s">
        <v>11265</v>
      </c>
      <c r="AD564" t="s">
        <v>4865</v>
      </c>
      <c r="AE564" t="s">
        <v>11266</v>
      </c>
      <c r="AF564" t="s">
        <v>74</v>
      </c>
      <c r="AG564">
        <v>109</v>
      </c>
      <c r="AH564">
        <v>12</v>
      </c>
      <c r="AI564">
        <v>12</v>
      </c>
      <c r="AJ564">
        <v>0</v>
      </c>
      <c r="AK564">
        <v>11</v>
      </c>
      <c r="AL564" t="s">
        <v>124</v>
      </c>
      <c r="AM564" t="s">
        <v>93</v>
      </c>
      <c r="AN564" t="s">
        <v>125</v>
      </c>
      <c r="AO564" t="s">
        <v>1770</v>
      </c>
      <c r="AP564" t="s">
        <v>74</v>
      </c>
      <c r="AQ564" t="s">
        <v>74</v>
      </c>
      <c r="AR564" t="s">
        <v>1771</v>
      </c>
      <c r="AS564" t="s">
        <v>1772</v>
      </c>
      <c r="AT564" t="s">
        <v>11267</v>
      </c>
      <c r="AU564">
        <v>2020</v>
      </c>
      <c r="AV564">
        <v>8</v>
      </c>
      <c r="AW564" t="s">
        <v>74</v>
      </c>
      <c r="AX564" t="s">
        <v>74</v>
      </c>
      <c r="AY564" t="s">
        <v>74</v>
      </c>
      <c r="AZ564" t="s">
        <v>74</v>
      </c>
      <c r="BA564" t="s">
        <v>74</v>
      </c>
      <c r="BB564" t="s">
        <v>74</v>
      </c>
      <c r="BC564" t="s">
        <v>74</v>
      </c>
      <c r="BD564" t="s">
        <v>11268</v>
      </c>
      <c r="BE564" t="s">
        <v>11269</v>
      </c>
      <c r="BF564" t="str">
        <f>HYPERLINK("http://dx.doi.org/10.1093/conphys/coaa045","http://dx.doi.org/10.1093/conphys/coaa045")</f>
        <v>http://dx.doi.org/10.1093/conphys/coaa045</v>
      </c>
      <c r="BG564" t="s">
        <v>74</v>
      </c>
      <c r="BH564" t="s">
        <v>74</v>
      </c>
      <c r="BI564">
        <v>17</v>
      </c>
      <c r="BJ564" t="s">
        <v>1775</v>
      </c>
      <c r="BK564" t="s">
        <v>102</v>
      </c>
      <c r="BL564" t="s">
        <v>1776</v>
      </c>
      <c r="BM564" t="s">
        <v>11270</v>
      </c>
      <c r="BN564">
        <v>32494362</v>
      </c>
      <c r="BO564" t="s">
        <v>1778</v>
      </c>
      <c r="BP564" t="s">
        <v>74</v>
      </c>
      <c r="BQ564" t="s">
        <v>74</v>
      </c>
      <c r="BR564" t="s">
        <v>106</v>
      </c>
      <c r="BS564" t="s">
        <v>11271</v>
      </c>
      <c r="BT564" t="str">
        <f>HYPERLINK("https%3A%2F%2Fwww.webofscience.com%2Fwos%2Fwoscc%2Ffull-record%2FWOS:000544734200001","View Full Record in Web of Science")</f>
        <v>View Full Record in Web of Science</v>
      </c>
    </row>
    <row r="565" spans="1:72" x14ac:dyDescent="0.15">
      <c r="A565" t="s">
        <v>72</v>
      </c>
      <c r="B565" t="s">
        <v>11272</v>
      </c>
      <c r="C565" t="s">
        <v>74</v>
      </c>
      <c r="D565" t="s">
        <v>74</v>
      </c>
      <c r="E565" t="s">
        <v>74</v>
      </c>
      <c r="F565" t="s">
        <v>11273</v>
      </c>
      <c r="G565" t="s">
        <v>74</v>
      </c>
      <c r="H565" t="s">
        <v>74</v>
      </c>
      <c r="I565" t="s">
        <v>11274</v>
      </c>
      <c r="J565" t="s">
        <v>1106</v>
      </c>
      <c r="K565" t="s">
        <v>74</v>
      </c>
      <c r="L565" t="s">
        <v>74</v>
      </c>
      <c r="M565" t="s">
        <v>78</v>
      </c>
      <c r="N565" t="s">
        <v>79</v>
      </c>
      <c r="O565" t="s">
        <v>74</v>
      </c>
      <c r="P565" t="s">
        <v>74</v>
      </c>
      <c r="Q565" t="s">
        <v>74</v>
      </c>
      <c r="R565" t="s">
        <v>74</v>
      </c>
      <c r="S565" t="s">
        <v>74</v>
      </c>
      <c r="T565" t="s">
        <v>74</v>
      </c>
      <c r="U565" t="s">
        <v>11275</v>
      </c>
      <c r="V565" t="s">
        <v>11276</v>
      </c>
      <c r="W565" t="s">
        <v>11277</v>
      </c>
      <c r="X565" t="s">
        <v>11278</v>
      </c>
      <c r="Y565" t="s">
        <v>11279</v>
      </c>
      <c r="Z565" t="s">
        <v>11280</v>
      </c>
      <c r="AA565" t="s">
        <v>11281</v>
      </c>
      <c r="AB565" t="s">
        <v>11282</v>
      </c>
      <c r="AC565" t="s">
        <v>11283</v>
      </c>
      <c r="AD565" t="s">
        <v>11284</v>
      </c>
      <c r="AE565" t="s">
        <v>11285</v>
      </c>
      <c r="AF565" t="s">
        <v>74</v>
      </c>
      <c r="AG565">
        <v>86</v>
      </c>
      <c r="AH565">
        <v>23</v>
      </c>
      <c r="AI565">
        <v>24</v>
      </c>
      <c r="AJ565">
        <v>0</v>
      </c>
      <c r="AK565">
        <v>7</v>
      </c>
      <c r="AL565" t="s">
        <v>1118</v>
      </c>
      <c r="AM565" t="s">
        <v>1119</v>
      </c>
      <c r="AN565" t="s">
        <v>1120</v>
      </c>
      <c r="AO565" t="s">
        <v>1121</v>
      </c>
      <c r="AP565" t="s">
        <v>74</v>
      </c>
      <c r="AQ565" t="s">
        <v>74</v>
      </c>
      <c r="AR565" t="s">
        <v>1122</v>
      </c>
      <c r="AS565" t="s">
        <v>1123</v>
      </c>
      <c r="AT565" t="s">
        <v>11267</v>
      </c>
      <c r="AU565">
        <v>2020</v>
      </c>
      <c r="AV565">
        <v>10</v>
      </c>
      <c r="AW565">
        <v>1</v>
      </c>
      <c r="AX565" t="s">
        <v>74</v>
      </c>
      <c r="AY565" t="s">
        <v>74</v>
      </c>
      <c r="AZ565" t="s">
        <v>74</v>
      </c>
      <c r="BA565" t="s">
        <v>74</v>
      </c>
      <c r="BB565" t="s">
        <v>74</v>
      </c>
      <c r="BC565" t="s">
        <v>74</v>
      </c>
      <c r="BD565">
        <v>8668</v>
      </c>
      <c r="BE565" t="s">
        <v>11286</v>
      </c>
      <c r="BF565" t="str">
        <f>HYPERLINK("http://dx.doi.org/10.1038/s41598-020-65297-2","http://dx.doi.org/10.1038/s41598-020-65297-2")</f>
        <v>http://dx.doi.org/10.1038/s41598-020-65297-2</v>
      </c>
      <c r="BG565" t="s">
        <v>74</v>
      </c>
      <c r="BH565" t="s">
        <v>74</v>
      </c>
      <c r="BI565">
        <v>13</v>
      </c>
      <c r="BJ565" t="s">
        <v>1125</v>
      </c>
      <c r="BK565" t="s">
        <v>102</v>
      </c>
      <c r="BL565" t="s">
        <v>1126</v>
      </c>
      <c r="BM565" t="s">
        <v>11287</v>
      </c>
      <c r="BN565">
        <v>32457414</v>
      </c>
      <c r="BO565" t="s">
        <v>11288</v>
      </c>
      <c r="BP565" t="s">
        <v>74</v>
      </c>
      <c r="BQ565" t="s">
        <v>74</v>
      </c>
      <c r="BR565" t="s">
        <v>106</v>
      </c>
      <c r="BS565" t="s">
        <v>11289</v>
      </c>
      <c r="BT565" t="str">
        <f>HYPERLINK("https%3A%2F%2Fwww.webofscience.com%2Fwos%2Fwoscc%2Ffull-record%2FWOS:000540471800001","View Full Record in Web of Science")</f>
        <v>View Full Record in Web of Science</v>
      </c>
    </row>
    <row r="566" spans="1:72" x14ac:dyDescent="0.15">
      <c r="A566" t="s">
        <v>72</v>
      </c>
      <c r="B566" t="s">
        <v>11290</v>
      </c>
      <c r="C566" t="s">
        <v>74</v>
      </c>
      <c r="D566" t="s">
        <v>74</v>
      </c>
      <c r="E566" t="s">
        <v>74</v>
      </c>
      <c r="F566" t="s">
        <v>11291</v>
      </c>
      <c r="G566" t="s">
        <v>74</v>
      </c>
      <c r="H566" t="s">
        <v>74</v>
      </c>
      <c r="I566" t="s">
        <v>11292</v>
      </c>
      <c r="J566" t="s">
        <v>11293</v>
      </c>
      <c r="K566" t="s">
        <v>74</v>
      </c>
      <c r="L566" t="s">
        <v>74</v>
      </c>
      <c r="M566" t="s">
        <v>78</v>
      </c>
      <c r="N566" t="s">
        <v>79</v>
      </c>
      <c r="O566" t="s">
        <v>74</v>
      </c>
      <c r="P566" t="s">
        <v>74</v>
      </c>
      <c r="Q566" t="s">
        <v>74</v>
      </c>
      <c r="R566" t="s">
        <v>74</v>
      </c>
      <c r="S566" t="s">
        <v>74</v>
      </c>
      <c r="T566" t="s">
        <v>74</v>
      </c>
      <c r="U566" t="s">
        <v>11294</v>
      </c>
      <c r="V566" t="s">
        <v>11295</v>
      </c>
      <c r="W566" t="s">
        <v>11296</v>
      </c>
      <c r="X566" t="s">
        <v>11297</v>
      </c>
      <c r="Y566" t="s">
        <v>11298</v>
      </c>
      <c r="Z566" t="s">
        <v>11299</v>
      </c>
      <c r="AA566" t="s">
        <v>11300</v>
      </c>
      <c r="AB566" t="s">
        <v>11301</v>
      </c>
      <c r="AC566" t="s">
        <v>11302</v>
      </c>
      <c r="AD566" t="s">
        <v>11303</v>
      </c>
      <c r="AE566" t="s">
        <v>11304</v>
      </c>
      <c r="AF566" t="s">
        <v>74</v>
      </c>
      <c r="AG566">
        <v>81</v>
      </c>
      <c r="AH566">
        <v>32</v>
      </c>
      <c r="AI566">
        <v>34</v>
      </c>
      <c r="AJ566">
        <v>2</v>
      </c>
      <c r="AK566">
        <v>19</v>
      </c>
      <c r="AL566" t="s">
        <v>7699</v>
      </c>
      <c r="AM566" t="s">
        <v>945</v>
      </c>
      <c r="AN566" t="s">
        <v>7700</v>
      </c>
      <c r="AO566" t="s">
        <v>11305</v>
      </c>
      <c r="AP566" t="s">
        <v>11306</v>
      </c>
      <c r="AQ566" t="s">
        <v>74</v>
      </c>
      <c r="AR566" t="s">
        <v>11307</v>
      </c>
      <c r="AS566" t="s">
        <v>11308</v>
      </c>
      <c r="AT566" t="s">
        <v>1930</v>
      </c>
      <c r="AU566">
        <v>2020</v>
      </c>
      <c r="AV566">
        <v>14</v>
      </c>
      <c r="AW566">
        <v>9</v>
      </c>
      <c r="AX566" t="s">
        <v>74</v>
      </c>
      <c r="AY566" t="s">
        <v>74</v>
      </c>
      <c r="AZ566" t="s">
        <v>74</v>
      </c>
      <c r="BA566" t="s">
        <v>74</v>
      </c>
      <c r="BB566">
        <v>2275</v>
      </c>
      <c r="BC566">
        <v>2287</v>
      </c>
      <c r="BD566" t="s">
        <v>74</v>
      </c>
      <c r="BE566" t="s">
        <v>11309</v>
      </c>
      <c r="BF566" t="str">
        <f>HYPERLINK("http://dx.doi.org/10.1038/s41396-020-0670-y","http://dx.doi.org/10.1038/s41396-020-0670-y")</f>
        <v>http://dx.doi.org/10.1038/s41396-020-0670-y</v>
      </c>
      <c r="BG566" t="s">
        <v>74</v>
      </c>
      <c r="BH566" t="s">
        <v>10854</v>
      </c>
      <c r="BI566">
        <v>13</v>
      </c>
      <c r="BJ566" t="s">
        <v>11310</v>
      </c>
      <c r="BK566" t="s">
        <v>102</v>
      </c>
      <c r="BL566" t="s">
        <v>11311</v>
      </c>
      <c r="BM566" t="s">
        <v>11312</v>
      </c>
      <c r="BN566">
        <v>32457503</v>
      </c>
      <c r="BO566" t="s">
        <v>1474</v>
      </c>
      <c r="BP566" t="s">
        <v>74</v>
      </c>
      <c r="BQ566" t="s">
        <v>74</v>
      </c>
      <c r="BR566" t="s">
        <v>106</v>
      </c>
      <c r="BS566" t="s">
        <v>11313</v>
      </c>
      <c r="BT566" t="str">
        <f>HYPERLINK("https%3A%2F%2Fwww.webofscience.com%2Fwos%2Fwoscc%2Ffull-record%2FWOS:000539443900003","View Full Record in Web of Science")</f>
        <v>View Full Record in Web of Science</v>
      </c>
    </row>
    <row r="567" spans="1:72" x14ac:dyDescent="0.15">
      <c r="A567" t="s">
        <v>72</v>
      </c>
      <c r="B567" t="s">
        <v>11314</v>
      </c>
      <c r="C567" t="s">
        <v>74</v>
      </c>
      <c r="D567" t="s">
        <v>74</v>
      </c>
      <c r="E567" t="s">
        <v>74</v>
      </c>
      <c r="F567" t="s">
        <v>11315</v>
      </c>
      <c r="G567" t="s">
        <v>74</v>
      </c>
      <c r="H567" t="s">
        <v>74</v>
      </c>
      <c r="I567" t="s">
        <v>11316</v>
      </c>
      <c r="J567" t="s">
        <v>11317</v>
      </c>
      <c r="K567" t="s">
        <v>74</v>
      </c>
      <c r="L567" t="s">
        <v>74</v>
      </c>
      <c r="M567" t="s">
        <v>78</v>
      </c>
      <c r="N567" t="s">
        <v>79</v>
      </c>
      <c r="O567" t="s">
        <v>74</v>
      </c>
      <c r="P567" t="s">
        <v>74</v>
      </c>
      <c r="Q567" t="s">
        <v>74</v>
      </c>
      <c r="R567" t="s">
        <v>74</v>
      </c>
      <c r="S567" t="s">
        <v>74</v>
      </c>
      <c r="T567" t="s">
        <v>74</v>
      </c>
      <c r="U567" t="s">
        <v>11318</v>
      </c>
      <c r="V567" t="s">
        <v>11319</v>
      </c>
      <c r="W567" t="s">
        <v>11320</v>
      </c>
      <c r="X567" t="s">
        <v>353</v>
      </c>
      <c r="Y567" t="s">
        <v>11321</v>
      </c>
      <c r="Z567" t="s">
        <v>11322</v>
      </c>
      <c r="AA567" t="s">
        <v>11323</v>
      </c>
      <c r="AB567" t="s">
        <v>74</v>
      </c>
      <c r="AC567" t="s">
        <v>11324</v>
      </c>
      <c r="AD567" t="s">
        <v>11325</v>
      </c>
      <c r="AE567" t="s">
        <v>11326</v>
      </c>
      <c r="AF567" t="s">
        <v>74</v>
      </c>
      <c r="AG567">
        <v>34</v>
      </c>
      <c r="AH567">
        <v>8</v>
      </c>
      <c r="AI567">
        <v>9</v>
      </c>
      <c r="AJ567">
        <v>3</v>
      </c>
      <c r="AK567">
        <v>34</v>
      </c>
      <c r="AL567" t="s">
        <v>2425</v>
      </c>
      <c r="AM567" t="s">
        <v>152</v>
      </c>
      <c r="AN567" t="s">
        <v>2426</v>
      </c>
      <c r="AO567" t="s">
        <v>11327</v>
      </c>
      <c r="AP567" t="s">
        <v>74</v>
      </c>
      <c r="AQ567" t="s">
        <v>74</v>
      </c>
      <c r="AR567" t="s">
        <v>11317</v>
      </c>
      <c r="AS567" t="s">
        <v>11328</v>
      </c>
      <c r="AT567" t="s">
        <v>11267</v>
      </c>
      <c r="AU567">
        <v>2020</v>
      </c>
      <c r="AV567">
        <v>36</v>
      </c>
      <c r="AW567">
        <v>20</v>
      </c>
      <c r="AX567" t="s">
        <v>74</v>
      </c>
      <c r="AY567" t="s">
        <v>74</v>
      </c>
      <c r="AZ567" t="s">
        <v>74</v>
      </c>
      <c r="BA567" t="s">
        <v>74</v>
      </c>
      <c r="BB567">
        <v>5647</v>
      </c>
      <c r="BC567">
        <v>5653</v>
      </c>
      <c r="BD567" t="s">
        <v>74</v>
      </c>
      <c r="BE567" t="s">
        <v>11329</v>
      </c>
      <c r="BF567" t="str">
        <f>HYPERLINK("http://dx.doi.org/10.1021/acs.langmuir.0c01148","http://dx.doi.org/10.1021/acs.langmuir.0c01148")</f>
        <v>http://dx.doi.org/10.1021/acs.langmuir.0c01148</v>
      </c>
      <c r="BG567" t="s">
        <v>74</v>
      </c>
      <c r="BH567" t="s">
        <v>74</v>
      </c>
      <c r="BI567">
        <v>7</v>
      </c>
      <c r="BJ567" t="s">
        <v>11330</v>
      </c>
      <c r="BK567" t="s">
        <v>102</v>
      </c>
      <c r="BL567" t="s">
        <v>11331</v>
      </c>
      <c r="BM567" t="s">
        <v>11332</v>
      </c>
      <c r="BN567">
        <v>32393029</v>
      </c>
      <c r="BO567" t="s">
        <v>74</v>
      </c>
      <c r="BP567" t="s">
        <v>74</v>
      </c>
      <c r="BQ567" t="s">
        <v>74</v>
      </c>
      <c r="BR567" t="s">
        <v>106</v>
      </c>
      <c r="BS567" t="s">
        <v>11333</v>
      </c>
      <c r="BT567" t="str">
        <f>HYPERLINK("https%3A%2F%2Fwww.webofscience.com%2Fwos%2Fwoscc%2Ffull-record%2FWOS:000537681700019","View Full Record in Web of Science")</f>
        <v>View Full Record in Web of Science</v>
      </c>
    </row>
    <row r="568" spans="1:72" x14ac:dyDescent="0.15">
      <c r="A568" t="s">
        <v>72</v>
      </c>
      <c r="B568" t="s">
        <v>11334</v>
      </c>
      <c r="C568" t="s">
        <v>74</v>
      </c>
      <c r="D568" t="s">
        <v>74</v>
      </c>
      <c r="E568" t="s">
        <v>74</v>
      </c>
      <c r="F568" t="s">
        <v>11335</v>
      </c>
      <c r="G568" t="s">
        <v>74</v>
      </c>
      <c r="H568" t="s">
        <v>74</v>
      </c>
      <c r="I568" t="s">
        <v>11336</v>
      </c>
      <c r="J568" t="s">
        <v>2111</v>
      </c>
      <c r="K568" t="s">
        <v>74</v>
      </c>
      <c r="L568" t="s">
        <v>74</v>
      </c>
      <c r="M568" t="s">
        <v>78</v>
      </c>
      <c r="N568" t="s">
        <v>79</v>
      </c>
      <c r="O568" t="s">
        <v>74</v>
      </c>
      <c r="P568" t="s">
        <v>74</v>
      </c>
      <c r="Q568" t="s">
        <v>74</v>
      </c>
      <c r="R568" t="s">
        <v>74</v>
      </c>
      <c r="S568" t="s">
        <v>74</v>
      </c>
      <c r="T568" t="s">
        <v>74</v>
      </c>
      <c r="U568" t="s">
        <v>11337</v>
      </c>
      <c r="V568" t="s">
        <v>11338</v>
      </c>
      <c r="W568" t="s">
        <v>11339</v>
      </c>
      <c r="X568" t="s">
        <v>11340</v>
      </c>
      <c r="Y568" t="s">
        <v>11341</v>
      </c>
      <c r="Z568" t="s">
        <v>11342</v>
      </c>
      <c r="AA568" t="s">
        <v>11343</v>
      </c>
      <c r="AB568" t="s">
        <v>11344</v>
      </c>
      <c r="AC568" t="s">
        <v>11345</v>
      </c>
      <c r="AD568" t="s">
        <v>11346</v>
      </c>
      <c r="AE568" t="s">
        <v>11347</v>
      </c>
      <c r="AF568" t="s">
        <v>74</v>
      </c>
      <c r="AG568">
        <v>46</v>
      </c>
      <c r="AH568">
        <v>1</v>
      </c>
      <c r="AI568">
        <v>1</v>
      </c>
      <c r="AJ568">
        <v>0</v>
      </c>
      <c r="AK568">
        <v>8</v>
      </c>
      <c r="AL568" t="s">
        <v>2121</v>
      </c>
      <c r="AM568" t="s">
        <v>2122</v>
      </c>
      <c r="AN568" t="s">
        <v>2123</v>
      </c>
      <c r="AO568" t="s">
        <v>2124</v>
      </c>
      <c r="AP568" t="s">
        <v>74</v>
      </c>
      <c r="AQ568" t="s">
        <v>74</v>
      </c>
      <c r="AR568" t="s">
        <v>2111</v>
      </c>
      <c r="AS568" t="s">
        <v>2125</v>
      </c>
      <c r="AT568" t="s">
        <v>11267</v>
      </c>
      <c r="AU568">
        <v>2020</v>
      </c>
      <c r="AV568">
        <v>15</v>
      </c>
      <c r="AW568">
        <v>5</v>
      </c>
      <c r="AX568" t="s">
        <v>74</v>
      </c>
      <c r="AY568" t="s">
        <v>74</v>
      </c>
      <c r="AZ568" t="s">
        <v>74</v>
      </c>
      <c r="BA568" t="s">
        <v>74</v>
      </c>
      <c r="BB568" t="s">
        <v>74</v>
      </c>
      <c r="BC568" t="s">
        <v>74</v>
      </c>
      <c r="BD568" t="s">
        <v>11348</v>
      </c>
      <c r="BE568" t="s">
        <v>11349</v>
      </c>
      <c r="BF568" t="str">
        <f>HYPERLINK("http://dx.doi.org/10.1371/journal.pone.0233048","http://dx.doi.org/10.1371/journal.pone.0233048")</f>
        <v>http://dx.doi.org/10.1371/journal.pone.0233048</v>
      </c>
      <c r="BG568" t="s">
        <v>74</v>
      </c>
      <c r="BH568" t="s">
        <v>74</v>
      </c>
      <c r="BI568">
        <v>15</v>
      </c>
      <c r="BJ568" t="s">
        <v>1125</v>
      </c>
      <c r="BK568" t="s">
        <v>102</v>
      </c>
      <c r="BL568" t="s">
        <v>1126</v>
      </c>
      <c r="BM568" t="s">
        <v>11350</v>
      </c>
      <c r="BN568">
        <v>32453791</v>
      </c>
      <c r="BO568" t="s">
        <v>11288</v>
      </c>
      <c r="BP568" t="s">
        <v>74</v>
      </c>
      <c r="BQ568" t="s">
        <v>74</v>
      </c>
      <c r="BR568" t="s">
        <v>106</v>
      </c>
      <c r="BS568" t="s">
        <v>11351</v>
      </c>
      <c r="BT568" t="str">
        <f>HYPERLINK("https%3A%2F%2Fwww.webofscience.com%2Fwos%2Fwoscc%2Ffull-record%2FWOS:000537529500011","View Full Record in Web of Science")</f>
        <v>View Full Record in Web of Science</v>
      </c>
    </row>
    <row r="569" spans="1:72" x14ac:dyDescent="0.15">
      <c r="A569" t="s">
        <v>72</v>
      </c>
      <c r="B569" t="s">
        <v>11352</v>
      </c>
      <c r="C569" t="s">
        <v>74</v>
      </c>
      <c r="D569" t="s">
        <v>74</v>
      </c>
      <c r="E569" t="s">
        <v>74</v>
      </c>
      <c r="F569" t="s">
        <v>11353</v>
      </c>
      <c r="G569" t="s">
        <v>74</v>
      </c>
      <c r="H569" t="s">
        <v>74</v>
      </c>
      <c r="I569" t="s">
        <v>11354</v>
      </c>
      <c r="J569" t="s">
        <v>1547</v>
      </c>
      <c r="K569" t="s">
        <v>74</v>
      </c>
      <c r="L569" t="s">
        <v>74</v>
      </c>
      <c r="M569" t="s">
        <v>78</v>
      </c>
      <c r="N569" t="s">
        <v>79</v>
      </c>
      <c r="O569" t="s">
        <v>74</v>
      </c>
      <c r="P569" t="s">
        <v>74</v>
      </c>
      <c r="Q569" t="s">
        <v>74</v>
      </c>
      <c r="R569" t="s">
        <v>74</v>
      </c>
      <c r="S569" t="s">
        <v>74</v>
      </c>
      <c r="T569" t="s">
        <v>11355</v>
      </c>
      <c r="U569" t="s">
        <v>11356</v>
      </c>
      <c r="V569" t="s">
        <v>11357</v>
      </c>
      <c r="W569" t="s">
        <v>11358</v>
      </c>
      <c r="X569" t="s">
        <v>11359</v>
      </c>
      <c r="Y569" t="s">
        <v>11360</v>
      </c>
      <c r="Z569" t="s">
        <v>11361</v>
      </c>
      <c r="AA569" t="s">
        <v>11362</v>
      </c>
      <c r="AB569" t="s">
        <v>11363</v>
      </c>
      <c r="AC569" t="s">
        <v>11364</v>
      </c>
      <c r="AD569" t="s">
        <v>3125</v>
      </c>
      <c r="AE569" t="s">
        <v>11365</v>
      </c>
      <c r="AF569" t="s">
        <v>74</v>
      </c>
      <c r="AG569">
        <v>57</v>
      </c>
      <c r="AH569">
        <v>2</v>
      </c>
      <c r="AI569">
        <v>2</v>
      </c>
      <c r="AJ569">
        <v>1</v>
      </c>
      <c r="AK569">
        <v>7</v>
      </c>
      <c r="AL569" t="s">
        <v>1560</v>
      </c>
      <c r="AM569" t="s">
        <v>945</v>
      </c>
      <c r="AN569" t="s">
        <v>1561</v>
      </c>
      <c r="AO569" t="s">
        <v>1562</v>
      </c>
      <c r="AP569" t="s">
        <v>74</v>
      </c>
      <c r="AQ569" t="s">
        <v>74</v>
      </c>
      <c r="AR569" t="s">
        <v>1547</v>
      </c>
      <c r="AS569" t="s">
        <v>1563</v>
      </c>
      <c r="AT569" t="s">
        <v>11267</v>
      </c>
      <c r="AU569">
        <v>2020</v>
      </c>
      <c r="AV569">
        <v>8</v>
      </c>
      <c r="AW569" t="s">
        <v>74</v>
      </c>
      <c r="AX569" t="s">
        <v>74</v>
      </c>
      <c r="AY569" t="s">
        <v>74</v>
      </c>
      <c r="AZ569" t="s">
        <v>74</v>
      </c>
      <c r="BA569" t="s">
        <v>74</v>
      </c>
      <c r="BB569" t="s">
        <v>74</v>
      </c>
      <c r="BC569" t="s">
        <v>74</v>
      </c>
      <c r="BD569" t="s">
        <v>11366</v>
      </c>
      <c r="BE569" t="s">
        <v>11367</v>
      </c>
      <c r="BF569" t="str">
        <f>HYPERLINK("http://dx.doi.org/10.7717/peerj.9109","http://dx.doi.org/10.7717/peerj.9109")</f>
        <v>http://dx.doi.org/10.7717/peerj.9109</v>
      </c>
      <c r="BG569" t="s">
        <v>74</v>
      </c>
      <c r="BH569" t="s">
        <v>74</v>
      </c>
      <c r="BI569">
        <v>23</v>
      </c>
      <c r="BJ569" t="s">
        <v>1125</v>
      </c>
      <c r="BK569" t="s">
        <v>102</v>
      </c>
      <c r="BL569" t="s">
        <v>1126</v>
      </c>
      <c r="BM569" t="s">
        <v>11368</v>
      </c>
      <c r="BN569">
        <v>32518721</v>
      </c>
      <c r="BO569" t="s">
        <v>1778</v>
      </c>
      <c r="BP569" t="s">
        <v>74</v>
      </c>
      <c r="BQ569" t="s">
        <v>74</v>
      </c>
      <c r="BR569" t="s">
        <v>106</v>
      </c>
      <c r="BS569" t="s">
        <v>11369</v>
      </c>
      <c r="BT569" t="str">
        <f>HYPERLINK("https%3A%2F%2Fwww.webofscience.com%2Fwos%2Fwoscc%2Ffull-record%2FWOS:000535415100007","View Full Record in Web of Science")</f>
        <v>View Full Record in Web of Science</v>
      </c>
    </row>
    <row r="570" spans="1:72" x14ac:dyDescent="0.15">
      <c r="A570" t="s">
        <v>72</v>
      </c>
      <c r="B570" t="s">
        <v>11370</v>
      </c>
      <c r="C570" t="s">
        <v>74</v>
      </c>
      <c r="D570" t="s">
        <v>74</v>
      </c>
      <c r="E570" t="s">
        <v>74</v>
      </c>
      <c r="F570" t="s">
        <v>11371</v>
      </c>
      <c r="G570" t="s">
        <v>74</v>
      </c>
      <c r="H570" t="s">
        <v>74</v>
      </c>
      <c r="I570" t="s">
        <v>11372</v>
      </c>
      <c r="J570" t="s">
        <v>11373</v>
      </c>
      <c r="K570" t="s">
        <v>74</v>
      </c>
      <c r="L570" t="s">
        <v>74</v>
      </c>
      <c r="M570" t="s">
        <v>78</v>
      </c>
      <c r="N570" t="s">
        <v>79</v>
      </c>
      <c r="O570" t="s">
        <v>74</v>
      </c>
      <c r="P570" t="s">
        <v>74</v>
      </c>
      <c r="Q570" t="s">
        <v>74</v>
      </c>
      <c r="R570" t="s">
        <v>74</v>
      </c>
      <c r="S570" t="s">
        <v>74</v>
      </c>
      <c r="T570" t="s">
        <v>11374</v>
      </c>
      <c r="U570" t="s">
        <v>11375</v>
      </c>
      <c r="V570" t="s">
        <v>11376</v>
      </c>
      <c r="W570" t="s">
        <v>11377</v>
      </c>
      <c r="X570" t="s">
        <v>11378</v>
      </c>
      <c r="Y570" t="s">
        <v>11379</v>
      </c>
      <c r="Z570" t="s">
        <v>11380</v>
      </c>
      <c r="AA570" t="s">
        <v>11381</v>
      </c>
      <c r="AB570" t="s">
        <v>11382</v>
      </c>
      <c r="AC570" t="s">
        <v>11383</v>
      </c>
      <c r="AD570" t="s">
        <v>11384</v>
      </c>
      <c r="AE570" t="s">
        <v>11385</v>
      </c>
      <c r="AF570" t="s">
        <v>74</v>
      </c>
      <c r="AG570">
        <v>77</v>
      </c>
      <c r="AH570">
        <v>2</v>
      </c>
      <c r="AI570">
        <v>3</v>
      </c>
      <c r="AJ570">
        <v>1</v>
      </c>
      <c r="AK570">
        <v>3</v>
      </c>
      <c r="AL570" t="s">
        <v>994</v>
      </c>
      <c r="AM570" t="s">
        <v>995</v>
      </c>
      <c r="AN570" t="s">
        <v>996</v>
      </c>
      <c r="AO570" t="s">
        <v>11386</v>
      </c>
      <c r="AP570" t="s">
        <v>11387</v>
      </c>
      <c r="AQ570" t="s">
        <v>74</v>
      </c>
      <c r="AR570" t="s">
        <v>11388</v>
      </c>
      <c r="AS570" t="s">
        <v>11389</v>
      </c>
      <c r="AT570" t="s">
        <v>1001</v>
      </c>
      <c r="AU570">
        <v>2020</v>
      </c>
      <c r="AV570">
        <v>31</v>
      </c>
      <c r="AW570">
        <v>4</v>
      </c>
      <c r="AX570" t="s">
        <v>74</v>
      </c>
      <c r="AY570" t="s">
        <v>74</v>
      </c>
      <c r="AZ570" t="s">
        <v>74</v>
      </c>
      <c r="BA570" t="s">
        <v>74</v>
      </c>
      <c r="BB570">
        <v>567</v>
      </c>
      <c r="BC570">
        <v>586</v>
      </c>
      <c r="BD570" t="s">
        <v>74</v>
      </c>
      <c r="BE570" t="s">
        <v>11390</v>
      </c>
      <c r="BF570" t="str">
        <f>HYPERLINK("http://dx.doi.org/10.1002/ppp.2054","http://dx.doi.org/10.1002/ppp.2054")</f>
        <v>http://dx.doi.org/10.1002/ppp.2054</v>
      </c>
      <c r="BG570" t="s">
        <v>74</v>
      </c>
      <c r="BH570" t="s">
        <v>10854</v>
      </c>
      <c r="BI570">
        <v>20</v>
      </c>
      <c r="BJ570" t="s">
        <v>11391</v>
      </c>
      <c r="BK570" t="s">
        <v>102</v>
      </c>
      <c r="BL570" t="s">
        <v>695</v>
      </c>
      <c r="BM570" t="s">
        <v>11392</v>
      </c>
      <c r="BN570" t="s">
        <v>74</v>
      </c>
      <c r="BO570" t="s">
        <v>294</v>
      </c>
      <c r="BP570" t="s">
        <v>74</v>
      </c>
      <c r="BQ570" t="s">
        <v>74</v>
      </c>
      <c r="BR570" t="s">
        <v>106</v>
      </c>
      <c r="BS570" t="s">
        <v>11393</v>
      </c>
      <c r="BT570" t="str">
        <f>HYPERLINK("https%3A%2F%2Fwww.webofscience.com%2Fwos%2Fwoscc%2Ffull-record%2FWOS:000535318900001","View Full Record in Web of Science")</f>
        <v>View Full Record in Web of Science</v>
      </c>
    </row>
    <row r="571" spans="1:72" x14ac:dyDescent="0.15">
      <c r="A571" t="s">
        <v>72</v>
      </c>
      <c r="B571" t="s">
        <v>11394</v>
      </c>
      <c r="C571" t="s">
        <v>74</v>
      </c>
      <c r="D571" t="s">
        <v>74</v>
      </c>
      <c r="E571" t="s">
        <v>74</v>
      </c>
      <c r="F571" t="s">
        <v>11395</v>
      </c>
      <c r="G571" t="s">
        <v>74</v>
      </c>
      <c r="H571" t="s">
        <v>74</v>
      </c>
      <c r="I571" t="s">
        <v>11396</v>
      </c>
      <c r="J571" t="s">
        <v>2051</v>
      </c>
      <c r="K571" t="s">
        <v>74</v>
      </c>
      <c r="L571" t="s">
        <v>74</v>
      </c>
      <c r="M571" t="s">
        <v>78</v>
      </c>
      <c r="N571" t="s">
        <v>79</v>
      </c>
      <c r="O571" t="s">
        <v>74</v>
      </c>
      <c r="P571" t="s">
        <v>74</v>
      </c>
      <c r="Q571" t="s">
        <v>74</v>
      </c>
      <c r="R571" t="s">
        <v>74</v>
      </c>
      <c r="S571" t="s">
        <v>74</v>
      </c>
      <c r="T571" t="s">
        <v>74</v>
      </c>
      <c r="U571" t="s">
        <v>11397</v>
      </c>
      <c r="V571" t="s">
        <v>11398</v>
      </c>
      <c r="W571" t="s">
        <v>11399</v>
      </c>
      <c r="X571" t="s">
        <v>11400</v>
      </c>
      <c r="Y571" t="s">
        <v>11401</v>
      </c>
      <c r="Z571" t="s">
        <v>11402</v>
      </c>
      <c r="AA571" t="s">
        <v>11403</v>
      </c>
      <c r="AB571" t="s">
        <v>11404</v>
      </c>
      <c r="AC571" t="s">
        <v>11405</v>
      </c>
      <c r="AD571" t="s">
        <v>11406</v>
      </c>
      <c r="AE571" t="s">
        <v>11407</v>
      </c>
      <c r="AF571" t="s">
        <v>74</v>
      </c>
      <c r="AG571">
        <v>51</v>
      </c>
      <c r="AH571">
        <v>11</v>
      </c>
      <c r="AI571">
        <v>11</v>
      </c>
      <c r="AJ571">
        <v>3</v>
      </c>
      <c r="AK571">
        <v>13</v>
      </c>
      <c r="AL571" t="s">
        <v>1049</v>
      </c>
      <c r="AM571" t="s">
        <v>1050</v>
      </c>
      <c r="AN571" t="s">
        <v>1051</v>
      </c>
      <c r="AO571" t="s">
        <v>2063</v>
      </c>
      <c r="AP571" t="s">
        <v>2064</v>
      </c>
      <c r="AQ571" t="s">
        <v>74</v>
      </c>
      <c r="AR571" t="s">
        <v>2065</v>
      </c>
      <c r="AS571" t="s">
        <v>2066</v>
      </c>
      <c r="AT571" t="s">
        <v>11408</v>
      </c>
      <c r="AU571">
        <v>2020</v>
      </c>
      <c r="AV571">
        <v>20</v>
      </c>
      <c r="AW571">
        <v>10</v>
      </c>
      <c r="AX571" t="s">
        <v>74</v>
      </c>
      <c r="AY571" t="s">
        <v>74</v>
      </c>
      <c r="AZ571" t="s">
        <v>74</v>
      </c>
      <c r="BA571" t="s">
        <v>74</v>
      </c>
      <c r="BB571">
        <v>6037</v>
      </c>
      <c r="BC571">
        <v>6054</v>
      </c>
      <c r="BD571" t="s">
        <v>74</v>
      </c>
      <c r="BE571" t="s">
        <v>11409</v>
      </c>
      <c r="BF571" t="str">
        <f>HYPERLINK("http://dx.doi.org/10.5194/acp-20-6037-2020","http://dx.doi.org/10.5194/acp-20-6037-2020")</f>
        <v>http://dx.doi.org/10.5194/acp-20-6037-2020</v>
      </c>
      <c r="BG571" t="s">
        <v>74</v>
      </c>
      <c r="BH571" t="s">
        <v>74</v>
      </c>
      <c r="BI571">
        <v>18</v>
      </c>
      <c r="BJ571" t="s">
        <v>2068</v>
      </c>
      <c r="BK571" t="s">
        <v>102</v>
      </c>
      <c r="BL571" t="s">
        <v>2069</v>
      </c>
      <c r="BM571" t="s">
        <v>11410</v>
      </c>
      <c r="BN571" t="s">
        <v>74</v>
      </c>
      <c r="BO571" t="s">
        <v>1352</v>
      </c>
      <c r="BP571" t="s">
        <v>74</v>
      </c>
      <c r="BQ571" t="s">
        <v>74</v>
      </c>
      <c r="BR571" t="s">
        <v>106</v>
      </c>
      <c r="BS571" t="s">
        <v>11411</v>
      </c>
      <c r="BT571" t="str">
        <f>HYPERLINK("https%3A%2F%2Fwww.webofscience.com%2Fwos%2Fwoscc%2Ffull-record%2FWOS:000537459600001","View Full Record in Web of Science")</f>
        <v>View Full Record in Web of Science</v>
      </c>
    </row>
    <row r="572" spans="1:72" x14ac:dyDescent="0.15">
      <c r="A572" t="s">
        <v>72</v>
      </c>
      <c r="B572" t="s">
        <v>11412</v>
      </c>
      <c r="C572" t="s">
        <v>74</v>
      </c>
      <c r="D572" t="s">
        <v>74</v>
      </c>
      <c r="E572" t="s">
        <v>74</v>
      </c>
      <c r="F572" t="s">
        <v>11413</v>
      </c>
      <c r="G572" t="s">
        <v>74</v>
      </c>
      <c r="H572" t="s">
        <v>74</v>
      </c>
      <c r="I572" t="s">
        <v>11414</v>
      </c>
      <c r="J572" t="s">
        <v>11415</v>
      </c>
      <c r="K572" t="s">
        <v>74</v>
      </c>
      <c r="L572" t="s">
        <v>74</v>
      </c>
      <c r="M572" t="s">
        <v>78</v>
      </c>
      <c r="N572" t="s">
        <v>79</v>
      </c>
      <c r="O572" t="s">
        <v>74</v>
      </c>
      <c r="P572" t="s">
        <v>74</v>
      </c>
      <c r="Q572" t="s">
        <v>74</v>
      </c>
      <c r="R572" t="s">
        <v>74</v>
      </c>
      <c r="S572" t="s">
        <v>74</v>
      </c>
      <c r="T572" t="s">
        <v>11416</v>
      </c>
      <c r="U572" t="s">
        <v>11417</v>
      </c>
      <c r="V572" t="s">
        <v>11418</v>
      </c>
      <c r="W572" t="s">
        <v>11419</v>
      </c>
      <c r="X572" t="s">
        <v>11420</v>
      </c>
      <c r="Y572" t="s">
        <v>11421</v>
      </c>
      <c r="Z572" t="s">
        <v>11422</v>
      </c>
      <c r="AA572" t="s">
        <v>11423</v>
      </c>
      <c r="AB572" t="s">
        <v>74</v>
      </c>
      <c r="AC572" t="s">
        <v>11424</v>
      </c>
      <c r="AD572" t="s">
        <v>11425</v>
      </c>
      <c r="AE572" t="s">
        <v>11426</v>
      </c>
      <c r="AF572" t="s">
        <v>74</v>
      </c>
      <c r="AG572">
        <v>36</v>
      </c>
      <c r="AH572">
        <v>7</v>
      </c>
      <c r="AI572">
        <v>8</v>
      </c>
      <c r="AJ572">
        <v>0</v>
      </c>
      <c r="AK572">
        <v>10</v>
      </c>
      <c r="AL572" t="s">
        <v>1440</v>
      </c>
      <c r="AM572" t="s">
        <v>1628</v>
      </c>
      <c r="AN572" t="s">
        <v>1629</v>
      </c>
      <c r="AO572" t="s">
        <v>11427</v>
      </c>
      <c r="AP572" t="s">
        <v>11428</v>
      </c>
      <c r="AQ572" t="s">
        <v>74</v>
      </c>
      <c r="AR572" t="s">
        <v>11429</v>
      </c>
      <c r="AS572" t="s">
        <v>11430</v>
      </c>
      <c r="AT572" t="s">
        <v>1001</v>
      </c>
      <c r="AU572">
        <v>2020</v>
      </c>
      <c r="AV572">
        <v>76</v>
      </c>
      <c r="AW572">
        <v>5</v>
      </c>
      <c r="AX572" t="s">
        <v>74</v>
      </c>
      <c r="AY572" t="s">
        <v>74</v>
      </c>
      <c r="AZ572" t="s">
        <v>74</v>
      </c>
      <c r="BA572" t="s">
        <v>74</v>
      </c>
      <c r="BB572">
        <v>365</v>
      </c>
      <c r="BC572">
        <v>372</v>
      </c>
      <c r="BD572" t="s">
        <v>74</v>
      </c>
      <c r="BE572" t="s">
        <v>11431</v>
      </c>
      <c r="BF572" t="str">
        <f>HYPERLINK("http://dx.doi.org/10.1007/s10872-020-00550-w","http://dx.doi.org/10.1007/s10872-020-00550-w")</f>
        <v>http://dx.doi.org/10.1007/s10872-020-00550-w</v>
      </c>
      <c r="BG572" t="s">
        <v>74</v>
      </c>
      <c r="BH572" t="s">
        <v>10854</v>
      </c>
      <c r="BI572">
        <v>8</v>
      </c>
      <c r="BJ572" t="s">
        <v>213</v>
      </c>
      <c r="BK572" t="s">
        <v>102</v>
      </c>
      <c r="BL572" t="s">
        <v>213</v>
      </c>
      <c r="BM572" t="s">
        <v>11432</v>
      </c>
      <c r="BN572" t="s">
        <v>74</v>
      </c>
      <c r="BO572" t="s">
        <v>74</v>
      </c>
      <c r="BP572" t="s">
        <v>74</v>
      </c>
      <c r="BQ572" t="s">
        <v>74</v>
      </c>
      <c r="BR572" t="s">
        <v>106</v>
      </c>
      <c r="BS572" t="s">
        <v>11433</v>
      </c>
      <c r="BT572" t="str">
        <f>HYPERLINK("https%3A%2F%2Fwww.webofscience.com%2Fwos%2Fwoscc%2Ffull-record%2FWOS:000535432500001","View Full Record in Web of Science")</f>
        <v>View Full Record in Web of Science</v>
      </c>
    </row>
    <row r="573" spans="1:72" x14ac:dyDescent="0.15">
      <c r="A573" t="s">
        <v>72</v>
      </c>
      <c r="B573" t="s">
        <v>11434</v>
      </c>
      <c r="C573" t="s">
        <v>74</v>
      </c>
      <c r="D573" t="s">
        <v>74</v>
      </c>
      <c r="E573" t="s">
        <v>74</v>
      </c>
      <c r="F573" t="s">
        <v>11435</v>
      </c>
      <c r="G573" t="s">
        <v>74</v>
      </c>
      <c r="H573" t="s">
        <v>74</v>
      </c>
      <c r="I573" t="s">
        <v>11436</v>
      </c>
      <c r="J573" t="s">
        <v>11437</v>
      </c>
      <c r="K573" t="s">
        <v>74</v>
      </c>
      <c r="L573" t="s">
        <v>74</v>
      </c>
      <c r="M573" t="s">
        <v>78</v>
      </c>
      <c r="N573" t="s">
        <v>79</v>
      </c>
      <c r="O573" t="s">
        <v>74</v>
      </c>
      <c r="P573" t="s">
        <v>74</v>
      </c>
      <c r="Q573" t="s">
        <v>74</v>
      </c>
      <c r="R573" t="s">
        <v>74</v>
      </c>
      <c r="S573" t="s">
        <v>74</v>
      </c>
      <c r="T573" t="s">
        <v>11438</v>
      </c>
      <c r="U573" t="s">
        <v>11439</v>
      </c>
      <c r="V573" t="s">
        <v>11440</v>
      </c>
      <c r="W573" t="s">
        <v>11441</v>
      </c>
      <c r="X573" t="s">
        <v>11442</v>
      </c>
      <c r="Y573" t="s">
        <v>11443</v>
      </c>
      <c r="Z573" t="s">
        <v>11444</v>
      </c>
      <c r="AA573" t="s">
        <v>11445</v>
      </c>
      <c r="AB573" t="s">
        <v>11446</v>
      </c>
      <c r="AC573" t="s">
        <v>11447</v>
      </c>
      <c r="AD573" t="s">
        <v>11448</v>
      </c>
      <c r="AE573" t="s">
        <v>11449</v>
      </c>
      <c r="AF573" t="s">
        <v>74</v>
      </c>
      <c r="AG573">
        <v>53</v>
      </c>
      <c r="AH573">
        <v>2</v>
      </c>
      <c r="AI573">
        <v>2</v>
      </c>
      <c r="AJ573">
        <v>3</v>
      </c>
      <c r="AK573">
        <v>31</v>
      </c>
      <c r="AL573" t="s">
        <v>1718</v>
      </c>
      <c r="AM573" t="s">
        <v>1719</v>
      </c>
      <c r="AN573" t="s">
        <v>1720</v>
      </c>
      <c r="AO573" t="s">
        <v>11450</v>
      </c>
      <c r="AP573" t="s">
        <v>11451</v>
      </c>
      <c r="AQ573" t="s">
        <v>74</v>
      </c>
      <c r="AR573" t="s">
        <v>11452</v>
      </c>
      <c r="AS573" t="s">
        <v>11453</v>
      </c>
      <c r="AT573" t="s">
        <v>11408</v>
      </c>
      <c r="AU573">
        <v>2020</v>
      </c>
      <c r="AV573">
        <v>129</v>
      </c>
      <c r="AW573">
        <v>1</v>
      </c>
      <c r="AX573" t="s">
        <v>74</v>
      </c>
      <c r="AY573" t="s">
        <v>74</v>
      </c>
      <c r="AZ573" t="s">
        <v>74</v>
      </c>
      <c r="BA573" t="s">
        <v>74</v>
      </c>
      <c r="BB573" t="s">
        <v>74</v>
      </c>
      <c r="BC573" t="s">
        <v>74</v>
      </c>
      <c r="BD573">
        <v>127</v>
      </c>
      <c r="BE573" t="s">
        <v>11454</v>
      </c>
      <c r="BF573" t="str">
        <f>HYPERLINK("http://dx.doi.org/10.1007/s12040-020-01392-2","http://dx.doi.org/10.1007/s12040-020-01392-2")</f>
        <v>http://dx.doi.org/10.1007/s12040-020-01392-2</v>
      </c>
      <c r="BG573" t="s">
        <v>74</v>
      </c>
      <c r="BH573" t="s">
        <v>74</v>
      </c>
      <c r="BI573">
        <v>15</v>
      </c>
      <c r="BJ573" t="s">
        <v>11455</v>
      </c>
      <c r="BK573" t="s">
        <v>102</v>
      </c>
      <c r="BL573" t="s">
        <v>11456</v>
      </c>
      <c r="BM573" t="s">
        <v>11457</v>
      </c>
      <c r="BN573" t="s">
        <v>74</v>
      </c>
      <c r="BO573" t="s">
        <v>74</v>
      </c>
      <c r="BP573" t="s">
        <v>74</v>
      </c>
      <c r="BQ573" t="s">
        <v>74</v>
      </c>
      <c r="BR573" t="s">
        <v>106</v>
      </c>
      <c r="BS573" t="s">
        <v>11458</v>
      </c>
      <c r="BT573" t="str">
        <f>HYPERLINK("https%3A%2F%2Fwww.webofscience.com%2Fwos%2Fwoscc%2Ffull-record%2FWOS:000535369400001","View Full Record in Web of Science")</f>
        <v>View Full Record in Web of Science</v>
      </c>
    </row>
    <row r="574" spans="1:72" x14ac:dyDescent="0.15">
      <c r="A574" t="s">
        <v>72</v>
      </c>
      <c r="B574" t="s">
        <v>11459</v>
      </c>
      <c r="C574" t="s">
        <v>74</v>
      </c>
      <c r="D574" t="s">
        <v>74</v>
      </c>
      <c r="E574" t="s">
        <v>74</v>
      </c>
      <c r="F574" t="s">
        <v>11460</v>
      </c>
      <c r="G574" t="s">
        <v>74</v>
      </c>
      <c r="H574" t="s">
        <v>74</v>
      </c>
      <c r="I574" t="s">
        <v>11461</v>
      </c>
      <c r="J574" t="s">
        <v>2998</v>
      </c>
      <c r="K574" t="s">
        <v>74</v>
      </c>
      <c r="L574" t="s">
        <v>74</v>
      </c>
      <c r="M574" t="s">
        <v>78</v>
      </c>
      <c r="N574" t="s">
        <v>79</v>
      </c>
      <c r="O574" t="s">
        <v>74</v>
      </c>
      <c r="P574" t="s">
        <v>74</v>
      </c>
      <c r="Q574" t="s">
        <v>74</v>
      </c>
      <c r="R574" t="s">
        <v>74</v>
      </c>
      <c r="S574" t="s">
        <v>74</v>
      </c>
      <c r="T574" t="s">
        <v>11462</v>
      </c>
      <c r="U574" t="s">
        <v>11463</v>
      </c>
      <c r="V574" t="s">
        <v>11464</v>
      </c>
      <c r="W574" t="s">
        <v>11465</v>
      </c>
      <c r="X574" t="s">
        <v>11466</v>
      </c>
      <c r="Y574" t="s">
        <v>11467</v>
      </c>
      <c r="Z574" t="s">
        <v>11468</v>
      </c>
      <c r="AA574" t="s">
        <v>11469</v>
      </c>
      <c r="AB574" t="s">
        <v>11470</v>
      </c>
      <c r="AC574" t="s">
        <v>11471</v>
      </c>
      <c r="AD574" t="s">
        <v>11472</v>
      </c>
      <c r="AE574" t="s">
        <v>11473</v>
      </c>
      <c r="AF574" t="s">
        <v>74</v>
      </c>
      <c r="AG574">
        <v>54</v>
      </c>
      <c r="AH574">
        <v>33</v>
      </c>
      <c r="AI574">
        <v>36</v>
      </c>
      <c r="AJ574">
        <v>4</v>
      </c>
      <c r="AK574">
        <v>38</v>
      </c>
      <c r="AL574" t="s">
        <v>1440</v>
      </c>
      <c r="AM574" t="s">
        <v>399</v>
      </c>
      <c r="AN574" t="s">
        <v>1441</v>
      </c>
      <c r="AO574" t="s">
        <v>3010</v>
      </c>
      <c r="AP574" t="s">
        <v>3011</v>
      </c>
      <c r="AQ574" t="s">
        <v>74</v>
      </c>
      <c r="AR574" t="s">
        <v>3012</v>
      </c>
      <c r="AS574" t="s">
        <v>3013</v>
      </c>
      <c r="AT574" t="s">
        <v>3950</v>
      </c>
      <c r="AU574">
        <v>2020</v>
      </c>
      <c r="AV574">
        <v>104</v>
      </c>
      <c r="AW574">
        <v>14</v>
      </c>
      <c r="AX574" t="s">
        <v>74</v>
      </c>
      <c r="AY574" t="s">
        <v>74</v>
      </c>
      <c r="AZ574" t="s">
        <v>74</v>
      </c>
      <c r="BA574" t="s">
        <v>74</v>
      </c>
      <c r="BB574">
        <v>6385</v>
      </c>
      <c r="BC574">
        <v>6395</v>
      </c>
      <c r="BD574" t="s">
        <v>74</v>
      </c>
      <c r="BE574" t="s">
        <v>11474</v>
      </c>
      <c r="BF574" t="str">
        <f>HYPERLINK("http://dx.doi.org/10.1007/s00253-020-10666-0","http://dx.doi.org/10.1007/s00253-020-10666-0")</f>
        <v>http://dx.doi.org/10.1007/s00253-020-10666-0</v>
      </c>
      <c r="BG574" t="s">
        <v>74</v>
      </c>
      <c r="BH574" t="s">
        <v>10854</v>
      </c>
      <c r="BI574">
        <v>11</v>
      </c>
      <c r="BJ574" t="s">
        <v>2194</v>
      </c>
      <c r="BK574" t="s">
        <v>102</v>
      </c>
      <c r="BL574" t="s">
        <v>2194</v>
      </c>
      <c r="BM574" t="s">
        <v>11475</v>
      </c>
      <c r="BN574">
        <v>32447439</v>
      </c>
      <c r="BO574" t="s">
        <v>74</v>
      </c>
      <c r="BP574" t="s">
        <v>74</v>
      </c>
      <c r="BQ574" t="s">
        <v>74</v>
      </c>
      <c r="BR574" t="s">
        <v>106</v>
      </c>
      <c r="BS574" t="s">
        <v>11476</v>
      </c>
      <c r="BT574" t="str">
        <f>HYPERLINK("https%3A%2F%2Fwww.webofscience.com%2Fwos%2Fwoscc%2Ffull-record%2FWOS:000535102000001","View Full Record in Web of Science")</f>
        <v>View Full Record in Web of Science</v>
      </c>
    </row>
    <row r="575" spans="1:72" x14ac:dyDescent="0.15">
      <c r="A575" t="s">
        <v>72</v>
      </c>
      <c r="B575" t="s">
        <v>11477</v>
      </c>
      <c r="C575" t="s">
        <v>74</v>
      </c>
      <c r="D575" t="s">
        <v>74</v>
      </c>
      <c r="E575" t="s">
        <v>74</v>
      </c>
      <c r="F575" t="s">
        <v>11478</v>
      </c>
      <c r="G575" t="s">
        <v>74</v>
      </c>
      <c r="H575" t="s">
        <v>74</v>
      </c>
      <c r="I575" t="s">
        <v>11479</v>
      </c>
      <c r="J575" t="s">
        <v>7670</v>
      </c>
      <c r="K575" t="s">
        <v>74</v>
      </c>
      <c r="L575" t="s">
        <v>74</v>
      </c>
      <c r="M575" t="s">
        <v>78</v>
      </c>
      <c r="N575" t="s">
        <v>245</v>
      </c>
      <c r="O575" t="s">
        <v>74</v>
      </c>
      <c r="P575" t="s">
        <v>74</v>
      </c>
      <c r="Q575" t="s">
        <v>74</v>
      </c>
      <c r="R575" t="s">
        <v>74</v>
      </c>
      <c r="S575" t="s">
        <v>74</v>
      </c>
      <c r="T575" t="s">
        <v>74</v>
      </c>
      <c r="U575" t="s">
        <v>11480</v>
      </c>
      <c r="V575" t="s">
        <v>11481</v>
      </c>
      <c r="W575" t="s">
        <v>74</v>
      </c>
      <c r="X575" t="s">
        <v>74</v>
      </c>
      <c r="Y575" t="s">
        <v>11482</v>
      </c>
      <c r="Z575" t="s">
        <v>11483</v>
      </c>
      <c r="AA575" t="s">
        <v>11484</v>
      </c>
      <c r="AB575" t="s">
        <v>11485</v>
      </c>
      <c r="AC575" t="s">
        <v>11486</v>
      </c>
      <c r="AD575" t="s">
        <v>11486</v>
      </c>
      <c r="AE575" t="s">
        <v>11487</v>
      </c>
      <c r="AF575" t="s">
        <v>74</v>
      </c>
      <c r="AG575">
        <v>17</v>
      </c>
      <c r="AH575">
        <v>2</v>
      </c>
      <c r="AI575">
        <v>2</v>
      </c>
      <c r="AJ575">
        <v>0</v>
      </c>
      <c r="AK575">
        <v>4</v>
      </c>
      <c r="AL575" t="s">
        <v>1440</v>
      </c>
      <c r="AM575" t="s">
        <v>399</v>
      </c>
      <c r="AN575" t="s">
        <v>1441</v>
      </c>
      <c r="AO575" t="s">
        <v>7677</v>
      </c>
      <c r="AP575" t="s">
        <v>7678</v>
      </c>
      <c r="AQ575" t="s">
        <v>74</v>
      </c>
      <c r="AR575" t="s">
        <v>7679</v>
      </c>
      <c r="AS575" t="s">
        <v>7680</v>
      </c>
      <c r="AT575" t="s">
        <v>1001</v>
      </c>
      <c r="AU575">
        <v>2020</v>
      </c>
      <c r="AV575">
        <v>40</v>
      </c>
      <c r="AW575">
        <v>5</v>
      </c>
      <c r="AX575" t="s">
        <v>74</v>
      </c>
      <c r="AY575" t="s">
        <v>74</v>
      </c>
      <c r="AZ575" t="s">
        <v>74</v>
      </c>
      <c r="BA575" t="s">
        <v>74</v>
      </c>
      <c r="BB575">
        <v>781</v>
      </c>
      <c r="BC575">
        <v>788</v>
      </c>
      <c r="BD575" t="s">
        <v>74</v>
      </c>
      <c r="BE575" t="s">
        <v>11488</v>
      </c>
      <c r="BF575" t="str">
        <f>HYPERLINK("http://dx.doi.org/10.1007/s00367-020-00658-4","http://dx.doi.org/10.1007/s00367-020-00658-4")</f>
        <v>http://dx.doi.org/10.1007/s00367-020-00658-4</v>
      </c>
      <c r="BG575" t="s">
        <v>74</v>
      </c>
      <c r="BH575" t="s">
        <v>10854</v>
      </c>
      <c r="BI575">
        <v>8</v>
      </c>
      <c r="BJ575" t="s">
        <v>5506</v>
      </c>
      <c r="BK575" t="s">
        <v>102</v>
      </c>
      <c r="BL575" t="s">
        <v>5507</v>
      </c>
      <c r="BM575" t="s">
        <v>7682</v>
      </c>
      <c r="BN575" t="s">
        <v>74</v>
      </c>
      <c r="BO575" t="s">
        <v>74</v>
      </c>
      <c r="BP575" t="s">
        <v>74</v>
      </c>
      <c r="BQ575" t="s">
        <v>74</v>
      </c>
      <c r="BR575" t="s">
        <v>106</v>
      </c>
      <c r="BS575" t="s">
        <v>11489</v>
      </c>
      <c r="BT575" t="str">
        <f>HYPERLINK("https%3A%2F%2Fwww.webofscience.com%2Fwos%2Fwoscc%2Ffull-record%2FWOS:000534988100001","View Full Record in Web of Science")</f>
        <v>View Full Record in Web of Science</v>
      </c>
    </row>
    <row r="576" spans="1:72" x14ac:dyDescent="0.15">
      <c r="A576" t="s">
        <v>72</v>
      </c>
      <c r="B576" t="s">
        <v>11490</v>
      </c>
      <c r="C576" t="s">
        <v>74</v>
      </c>
      <c r="D576" t="s">
        <v>74</v>
      </c>
      <c r="E576" t="s">
        <v>74</v>
      </c>
      <c r="F576" t="s">
        <v>11491</v>
      </c>
      <c r="G576" t="s">
        <v>74</v>
      </c>
      <c r="H576" t="s">
        <v>74</v>
      </c>
      <c r="I576" t="s">
        <v>11492</v>
      </c>
      <c r="J576" t="s">
        <v>11493</v>
      </c>
      <c r="K576" t="s">
        <v>74</v>
      </c>
      <c r="L576" t="s">
        <v>74</v>
      </c>
      <c r="M576" t="s">
        <v>78</v>
      </c>
      <c r="N576" t="s">
        <v>79</v>
      </c>
      <c r="O576" t="s">
        <v>74</v>
      </c>
      <c r="P576" t="s">
        <v>74</v>
      </c>
      <c r="Q576" t="s">
        <v>74</v>
      </c>
      <c r="R576" t="s">
        <v>74</v>
      </c>
      <c r="S576" t="s">
        <v>74</v>
      </c>
      <c r="T576" t="s">
        <v>11494</v>
      </c>
      <c r="U576" t="s">
        <v>11495</v>
      </c>
      <c r="V576" t="s">
        <v>11496</v>
      </c>
      <c r="W576" t="s">
        <v>11497</v>
      </c>
      <c r="X576" t="s">
        <v>11498</v>
      </c>
      <c r="Y576" t="s">
        <v>11499</v>
      </c>
      <c r="Z576" t="s">
        <v>11500</v>
      </c>
      <c r="AA576" t="s">
        <v>74</v>
      </c>
      <c r="AB576" t="s">
        <v>11501</v>
      </c>
      <c r="AC576" t="s">
        <v>11502</v>
      </c>
      <c r="AD576" t="s">
        <v>11503</v>
      </c>
      <c r="AE576" t="s">
        <v>11504</v>
      </c>
      <c r="AF576" t="s">
        <v>74</v>
      </c>
      <c r="AG576">
        <v>44</v>
      </c>
      <c r="AH576">
        <v>4</v>
      </c>
      <c r="AI576">
        <v>4</v>
      </c>
      <c r="AJ576">
        <v>1</v>
      </c>
      <c r="AK576">
        <v>9</v>
      </c>
      <c r="AL576" t="s">
        <v>1440</v>
      </c>
      <c r="AM576" t="s">
        <v>399</v>
      </c>
      <c r="AN576" t="s">
        <v>1441</v>
      </c>
      <c r="AO576" t="s">
        <v>11505</v>
      </c>
      <c r="AP576" t="s">
        <v>11506</v>
      </c>
      <c r="AQ576" t="s">
        <v>74</v>
      </c>
      <c r="AR576" t="s">
        <v>11507</v>
      </c>
      <c r="AS576" t="s">
        <v>11508</v>
      </c>
      <c r="AT576" t="s">
        <v>3950</v>
      </c>
      <c r="AU576">
        <v>2020</v>
      </c>
      <c r="AV576">
        <v>119</v>
      </c>
      <c r="AW576">
        <v>7</v>
      </c>
      <c r="AX576" t="s">
        <v>74</v>
      </c>
      <c r="AY576" t="s">
        <v>74</v>
      </c>
      <c r="AZ576" t="s">
        <v>74</v>
      </c>
      <c r="BA576" t="s">
        <v>74</v>
      </c>
      <c r="BB576">
        <v>2059</v>
      </c>
      <c r="BC576">
        <v>2065</v>
      </c>
      <c r="BD576" t="s">
        <v>74</v>
      </c>
      <c r="BE576" t="s">
        <v>11509</v>
      </c>
      <c r="BF576" t="str">
        <f>HYPERLINK("http://dx.doi.org/10.1007/s00436-020-06704-5","http://dx.doi.org/10.1007/s00436-020-06704-5")</f>
        <v>http://dx.doi.org/10.1007/s00436-020-06704-5</v>
      </c>
      <c r="BG576" t="s">
        <v>74</v>
      </c>
      <c r="BH576" t="s">
        <v>10854</v>
      </c>
      <c r="BI576">
        <v>7</v>
      </c>
      <c r="BJ576" t="s">
        <v>2265</v>
      </c>
      <c r="BK576" t="s">
        <v>102</v>
      </c>
      <c r="BL576" t="s">
        <v>2265</v>
      </c>
      <c r="BM576" t="s">
        <v>11510</v>
      </c>
      <c r="BN576">
        <v>32447516</v>
      </c>
      <c r="BO576" t="s">
        <v>74</v>
      </c>
      <c r="BP576" t="s">
        <v>74</v>
      </c>
      <c r="BQ576" t="s">
        <v>74</v>
      </c>
      <c r="BR576" t="s">
        <v>106</v>
      </c>
      <c r="BS576" t="s">
        <v>11511</v>
      </c>
      <c r="BT576" t="str">
        <f>HYPERLINK("https%3A%2F%2Fwww.webofscience.com%2Fwos%2Fwoscc%2Ffull-record%2FWOS:000534969500002","View Full Record in Web of Science")</f>
        <v>View Full Record in Web of Science</v>
      </c>
    </row>
    <row r="577" spans="1:72" x14ac:dyDescent="0.15">
      <c r="A577" t="s">
        <v>72</v>
      </c>
      <c r="B577" t="s">
        <v>11512</v>
      </c>
      <c r="C577" t="s">
        <v>74</v>
      </c>
      <c r="D577" t="s">
        <v>74</v>
      </c>
      <c r="E577" t="s">
        <v>74</v>
      </c>
      <c r="F577" t="s">
        <v>11513</v>
      </c>
      <c r="G577" t="s">
        <v>74</v>
      </c>
      <c r="H577" t="s">
        <v>74</v>
      </c>
      <c r="I577" t="s">
        <v>11514</v>
      </c>
      <c r="J577" t="s">
        <v>11515</v>
      </c>
      <c r="K577" t="s">
        <v>74</v>
      </c>
      <c r="L577" t="s">
        <v>74</v>
      </c>
      <c r="M577" t="s">
        <v>78</v>
      </c>
      <c r="N577" t="s">
        <v>79</v>
      </c>
      <c r="O577" t="s">
        <v>74</v>
      </c>
      <c r="P577" t="s">
        <v>74</v>
      </c>
      <c r="Q577" t="s">
        <v>74</v>
      </c>
      <c r="R577" t="s">
        <v>74</v>
      </c>
      <c r="S577" t="s">
        <v>74</v>
      </c>
      <c r="T577" t="s">
        <v>74</v>
      </c>
      <c r="U577" t="s">
        <v>11516</v>
      </c>
      <c r="V577" t="s">
        <v>11517</v>
      </c>
      <c r="W577" t="s">
        <v>11518</v>
      </c>
      <c r="X577" t="s">
        <v>11519</v>
      </c>
      <c r="Y577" t="s">
        <v>11520</v>
      </c>
      <c r="Z577" t="s">
        <v>11521</v>
      </c>
      <c r="AA577" t="s">
        <v>11522</v>
      </c>
      <c r="AB577" t="s">
        <v>11523</v>
      </c>
      <c r="AC577" t="s">
        <v>11524</v>
      </c>
      <c r="AD577" t="s">
        <v>11525</v>
      </c>
      <c r="AE577" t="s">
        <v>11526</v>
      </c>
      <c r="AF577" t="s">
        <v>74</v>
      </c>
      <c r="AG577">
        <v>24</v>
      </c>
      <c r="AH577">
        <v>21</v>
      </c>
      <c r="AI577">
        <v>23</v>
      </c>
      <c r="AJ577">
        <v>1</v>
      </c>
      <c r="AK577">
        <v>13</v>
      </c>
      <c r="AL577" t="s">
        <v>2425</v>
      </c>
      <c r="AM577" t="s">
        <v>152</v>
      </c>
      <c r="AN577" t="s">
        <v>2426</v>
      </c>
      <c r="AO577" t="s">
        <v>11527</v>
      </c>
      <c r="AP577" t="s">
        <v>11528</v>
      </c>
      <c r="AQ577" t="s">
        <v>74</v>
      </c>
      <c r="AR577" t="s">
        <v>11529</v>
      </c>
      <c r="AS577" t="s">
        <v>11530</v>
      </c>
      <c r="AT577" t="s">
        <v>11531</v>
      </c>
      <c r="AU577">
        <v>2020</v>
      </c>
      <c r="AV577">
        <v>83</v>
      </c>
      <c r="AW577">
        <v>5</v>
      </c>
      <c r="AX577" t="s">
        <v>74</v>
      </c>
      <c r="AY577" t="s">
        <v>74</v>
      </c>
      <c r="AZ577" t="s">
        <v>74</v>
      </c>
      <c r="BA577" t="s">
        <v>74</v>
      </c>
      <c r="BB577">
        <v>1553</v>
      </c>
      <c r="BC577">
        <v>1562</v>
      </c>
      <c r="BD577" t="s">
        <v>74</v>
      </c>
      <c r="BE577" t="s">
        <v>11532</v>
      </c>
      <c r="BF577" t="str">
        <f>HYPERLINK("http://dx.doi.org/10.1021/acs.jnatprod.0c00025","http://dx.doi.org/10.1021/acs.jnatprod.0c00025")</f>
        <v>http://dx.doi.org/10.1021/acs.jnatprod.0c00025</v>
      </c>
      <c r="BG577" t="s">
        <v>74</v>
      </c>
      <c r="BH577" t="s">
        <v>74</v>
      </c>
      <c r="BI577">
        <v>10</v>
      </c>
      <c r="BJ577" t="s">
        <v>11533</v>
      </c>
      <c r="BK577" t="s">
        <v>11534</v>
      </c>
      <c r="BL577" t="s">
        <v>11535</v>
      </c>
      <c r="BM577" t="s">
        <v>11536</v>
      </c>
      <c r="BN577">
        <v>32281798</v>
      </c>
      <c r="BO577" t="s">
        <v>491</v>
      </c>
      <c r="BP577" t="s">
        <v>74</v>
      </c>
      <c r="BQ577" t="s">
        <v>74</v>
      </c>
      <c r="BR577" t="s">
        <v>106</v>
      </c>
      <c r="BS577" t="s">
        <v>11537</v>
      </c>
      <c r="BT577" t="str">
        <f>HYPERLINK("https%3A%2F%2Fwww.webofscience.com%2Fwos%2Fwoscc%2Ffull-record%2FWOS:000537539300023","View Full Record in Web of Science")</f>
        <v>View Full Record in Web of Science</v>
      </c>
    </row>
    <row r="578" spans="1:72" x14ac:dyDescent="0.15">
      <c r="A578" t="s">
        <v>72</v>
      </c>
      <c r="B578" t="s">
        <v>11538</v>
      </c>
      <c r="C578" t="s">
        <v>74</v>
      </c>
      <c r="D578" t="s">
        <v>74</v>
      </c>
      <c r="E578" t="s">
        <v>74</v>
      </c>
      <c r="F578" t="s">
        <v>11539</v>
      </c>
      <c r="G578" t="s">
        <v>74</v>
      </c>
      <c r="H578" t="s">
        <v>74</v>
      </c>
      <c r="I578" t="s">
        <v>11540</v>
      </c>
      <c r="J578" t="s">
        <v>1106</v>
      </c>
      <c r="K578" t="s">
        <v>74</v>
      </c>
      <c r="L578" t="s">
        <v>74</v>
      </c>
      <c r="M578" t="s">
        <v>78</v>
      </c>
      <c r="N578" t="s">
        <v>79</v>
      </c>
      <c r="O578" t="s">
        <v>74</v>
      </c>
      <c r="P578" t="s">
        <v>74</v>
      </c>
      <c r="Q578" t="s">
        <v>74</v>
      </c>
      <c r="R578" t="s">
        <v>74</v>
      </c>
      <c r="S578" t="s">
        <v>74</v>
      </c>
      <c r="T578" t="s">
        <v>74</v>
      </c>
      <c r="U578" t="s">
        <v>11541</v>
      </c>
      <c r="V578" t="s">
        <v>11542</v>
      </c>
      <c r="W578" t="s">
        <v>11543</v>
      </c>
      <c r="X578" t="s">
        <v>11544</v>
      </c>
      <c r="Y578" t="s">
        <v>11545</v>
      </c>
      <c r="Z578" t="s">
        <v>11546</v>
      </c>
      <c r="AA578" t="s">
        <v>74</v>
      </c>
      <c r="AB578" t="s">
        <v>74</v>
      </c>
      <c r="AC578" t="s">
        <v>11547</v>
      </c>
      <c r="AD578" t="s">
        <v>11548</v>
      </c>
      <c r="AE578" t="s">
        <v>11549</v>
      </c>
      <c r="AF578" t="s">
        <v>74</v>
      </c>
      <c r="AG578">
        <v>60</v>
      </c>
      <c r="AH578">
        <v>7</v>
      </c>
      <c r="AI578">
        <v>8</v>
      </c>
      <c r="AJ578">
        <v>0</v>
      </c>
      <c r="AK578">
        <v>3</v>
      </c>
      <c r="AL578" t="s">
        <v>1389</v>
      </c>
      <c r="AM578" t="s">
        <v>945</v>
      </c>
      <c r="AN578" t="s">
        <v>1390</v>
      </c>
      <c r="AO578" t="s">
        <v>1121</v>
      </c>
      <c r="AP578" t="s">
        <v>74</v>
      </c>
      <c r="AQ578" t="s">
        <v>74</v>
      </c>
      <c r="AR578" t="s">
        <v>1122</v>
      </c>
      <c r="AS578" t="s">
        <v>1123</v>
      </c>
      <c r="AT578" t="s">
        <v>11550</v>
      </c>
      <c r="AU578">
        <v>2020</v>
      </c>
      <c r="AV578">
        <v>10</v>
      </c>
      <c r="AW578">
        <v>1</v>
      </c>
      <c r="AX578" t="s">
        <v>74</v>
      </c>
      <c r="AY578" t="s">
        <v>74</v>
      </c>
      <c r="AZ578" t="s">
        <v>74</v>
      </c>
      <c r="BA578" t="s">
        <v>74</v>
      </c>
      <c r="BB578" t="s">
        <v>74</v>
      </c>
      <c r="BC578" t="s">
        <v>74</v>
      </c>
      <c r="BD578">
        <v>8481</v>
      </c>
      <c r="BE578" t="s">
        <v>11551</v>
      </c>
      <c r="BF578" t="str">
        <f>HYPERLINK("http://dx.doi.org/10.1038/s41598-020-65039-4","http://dx.doi.org/10.1038/s41598-020-65039-4")</f>
        <v>http://dx.doi.org/10.1038/s41598-020-65039-4</v>
      </c>
      <c r="BG578" t="s">
        <v>74</v>
      </c>
      <c r="BH578" t="s">
        <v>74</v>
      </c>
      <c r="BI578">
        <v>11</v>
      </c>
      <c r="BJ578" t="s">
        <v>1125</v>
      </c>
      <c r="BK578" t="s">
        <v>102</v>
      </c>
      <c r="BL578" t="s">
        <v>1126</v>
      </c>
      <c r="BM578" t="s">
        <v>11552</v>
      </c>
      <c r="BN578">
        <v>32439981</v>
      </c>
      <c r="BO578" t="s">
        <v>1778</v>
      </c>
      <c r="BP578" t="s">
        <v>74</v>
      </c>
      <c r="BQ578" t="s">
        <v>74</v>
      </c>
      <c r="BR578" t="s">
        <v>106</v>
      </c>
      <c r="BS578" t="s">
        <v>11553</v>
      </c>
      <c r="BT578" t="str">
        <f>HYPERLINK("https%3A%2F%2Fwww.webofscience.com%2Fwos%2Fwoscc%2Ffull-record%2FWOS:000560445100002","View Full Record in Web of Science")</f>
        <v>View Full Record in Web of Science</v>
      </c>
    </row>
    <row r="579" spans="1:72" x14ac:dyDescent="0.15">
      <c r="A579" t="s">
        <v>72</v>
      </c>
      <c r="B579" t="s">
        <v>11554</v>
      </c>
      <c r="C579" t="s">
        <v>74</v>
      </c>
      <c r="D579" t="s">
        <v>74</v>
      </c>
      <c r="E579" t="s">
        <v>74</v>
      </c>
      <c r="F579" t="s">
        <v>11555</v>
      </c>
      <c r="G579" t="s">
        <v>74</v>
      </c>
      <c r="H579" t="s">
        <v>74</v>
      </c>
      <c r="I579" t="s">
        <v>11556</v>
      </c>
      <c r="J579" t="s">
        <v>2111</v>
      </c>
      <c r="K579" t="s">
        <v>74</v>
      </c>
      <c r="L579" t="s">
        <v>74</v>
      </c>
      <c r="M579" t="s">
        <v>78</v>
      </c>
      <c r="N579" t="s">
        <v>79</v>
      </c>
      <c r="O579" t="s">
        <v>74</v>
      </c>
      <c r="P579" t="s">
        <v>74</v>
      </c>
      <c r="Q579" t="s">
        <v>74</v>
      </c>
      <c r="R579" t="s">
        <v>74</v>
      </c>
      <c r="S579" t="s">
        <v>74</v>
      </c>
      <c r="T579" t="s">
        <v>74</v>
      </c>
      <c r="U579" t="s">
        <v>11557</v>
      </c>
      <c r="V579" t="s">
        <v>11558</v>
      </c>
      <c r="W579" t="s">
        <v>11559</v>
      </c>
      <c r="X579" t="s">
        <v>11560</v>
      </c>
      <c r="Y579" t="s">
        <v>11561</v>
      </c>
      <c r="Z579" t="s">
        <v>11562</v>
      </c>
      <c r="AA579" t="s">
        <v>11563</v>
      </c>
      <c r="AB579" t="s">
        <v>11564</v>
      </c>
      <c r="AC579" t="s">
        <v>11565</v>
      </c>
      <c r="AD579" t="s">
        <v>11566</v>
      </c>
      <c r="AE579" t="s">
        <v>11567</v>
      </c>
      <c r="AF579" t="s">
        <v>74</v>
      </c>
      <c r="AG579">
        <v>108</v>
      </c>
      <c r="AH579">
        <v>5</v>
      </c>
      <c r="AI579">
        <v>5</v>
      </c>
      <c r="AJ579">
        <v>2</v>
      </c>
      <c r="AK579">
        <v>4</v>
      </c>
      <c r="AL579" t="s">
        <v>2121</v>
      </c>
      <c r="AM579" t="s">
        <v>2122</v>
      </c>
      <c r="AN579" t="s">
        <v>2123</v>
      </c>
      <c r="AO579" t="s">
        <v>2124</v>
      </c>
      <c r="AP579" t="s">
        <v>74</v>
      </c>
      <c r="AQ579" t="s">
        <v>74</v>
      </c>
      <c r="AR579" t="s">
        <v>2111</v>
      </c>
      <c r="AS579" t="s">
        <v>2125</v>
      </c>
      <c r="AT579" t="s">
        <v>11550</v>
      </c>
      <c r="AU579">
        <v>2020</v>
      </c>
      <c r="AV579">
        <v>15</v>
      </c>
      <c r="AW579">
        <v>5</v>
      </c>
      <c r="AX579" t="s">
        <v>74</v>
      </c>
      <c r="AY579" t="s">
        <v>74</v>
      </c>
      <c r="AZ579" t="s">
        <v>74</v>
      </c>
      <c r="BA579" t="s">
        <v>74</v>
      </c>
      <c r="BB579" t="s">
        <v>74</v>
      </c>
      <c r="BC579" t="s">
        <v>74</v>
      </c>
      <c r="BD579" t="s">
        <v>11568</v>
      </c>
      <c r="BE579" t="s">
        <v>11569</v>
      </c>
      <c r="BF579" t="str">
        <f>HYPERLINK("http://dx.doi.org/10.1371/journal.pone.0233513","http://dx.doi.org/10.1371/journal.pone.0233513")</f>
        <v>http://dx.doi.org/10.1371/journal.pone.0233513</v>
      </c>
      <c r="BG579" t="s">
        <v>74</v>
      </c>
      <c r="BH579" t="s">
        <v>74</v>
      </c>
      <c r="BI579">
        <v>23</v>
      </c>
      <c r="BJ579" t="s">
        <v>1125</v>
      </c>
      <c r="BK579" t="s">
        <v>102</v>
      </c>
      <c r="BL579" t="s">
        <v>1126</v>
      </c>
      <c r="BM579" t="s">
        <v>11570</v>
      </c>
      <c r="BN579">
        <v>32437403</v>
      </c>
      <c r="BO579" t="s">
        <v>2956</v>
      </c>
      <c r="BP579" t="s">
        <v>74</v>
      </c>
      <c r="BQ579" t="s">
        <v>74</v>
      </c>
      <c r="BR579" t="s">
        <v>106</v>
      </c>
      <c r="BS579" t="s">
        <v>11571</v>
      </c>
      <c r="BT579" t="str">
        <f>HYPERLINK("https%3A%2F%2Fwww.webofscience.com%2Fwos%2Fwoscc%2Ffull-record%2FWOS:000537517800098","View Full Record in Web of Science")</f>
        <v>View Full Record in Web of Science</v>
      </c>
    </row>
    <row r="580" spans="1:72" x14ac:dyDescent="0.15">
      <c r="A580" t="s">
        <v>72</v>
      </c>
      <c r="B580" t="s">
        <v>11572</v>
      </c>
      <c r="C580" t="s">
        <v>74</v>
      </c>
      <c r="D580" t="s">
        <v>74</v>
      </c>
      <c r="E580" t="s">
        <v>74</v>
      </c>
      <c r="F580" t="s">
        <v>11573</v>
      </c>
      <c r="G580" t="s">
        <v>74</v>
      </c>
      <c r="H580" t="s">
        <v>74</v>
      </c>
      <c r="I580" t="s">
        <v>11574</v>
      </c>
      <c r="J580" t="s">
        <v>6000</v>
      </c>
      <c r="K580" t="s">
        <v>74</v>
      </c>
      <c r="L580" t="s">
        <v>74</v>
      </c>
      <c r="M580" t="s">
        <v>78</v>
      </c>
      <c r="N580" t="s">
        <v>79</v>
      </c>
      <c r="O580" t="s">
        <v>74</v>
      </c>
      <c r="P580" t="s">
        <v>74</v>
      </c>
      <c r="Q580" t="s">
        <v>74</v>
      </c>
      <c r="R580" t="s">
        <v>74</v>
      </c>
      <c r="S580" t="s">
        <v>74</v>
      </c>
      <c r="T580" t="s">
        <v>74</v>
      </c>
      <c r="U580" t="s">
        <v>11575</v>
      </c>
      <c r="V580" t="s">
        <v>11576</v>
      </c>
      <c r="W580" t="s">
        <v>11577</v>
      </c>
      <c r="X580" t="s">
        <v>9301</v>
      </c>
      <c r="Y580" t="s">
        <v>11578</v>
      </c>
      <c r="Z580" t="s">
        <v>11579</v>
      </c>
      <c r="AA580" t="s">
        <v>74</v>
      </c>
      <c r="AB580" t="s">
        <v>11580</v>
      </c>
      <c r="AC580" t="s">
        <v>11581</v>
      </c>
      <c r="AD580" t="s">
        <v>11582</v>
      </c>
      <c r="AE580" t="s">
        <v>11583</v>
      </c>
      <c r="AF580" t="s">
        <v>74</v>
      </c>
      <c r="AG580">
        <v>41</v>
      </c>
      <c r="AH580">
        <v>1</v>
      </c>
      <c r="AI580">
        <v>1</v>
      </c>
      <c r="AJ580">
        <v>0</v>
      </c>
      <c r="AK580">
        <v>6</v>
      </c>
      <c r="AL580" t="s">
        <v>994</v>
      </c>
      <c r="AM580" t="s">
        <v>995</v>
      </c>
      <c r="AN580" t="s">
        <v>996</v>
      </c>
      <c r="AO580" t="s">
        <v>6012</v>
      </c>
      <c r="AP580" t="s">
        <v>6013</v>
      </c>
      <c r="AQ580" t="s">
        <v>74</v>
      </c>
      <c r="AR580" t="s">
        <v>6014</v>
      </c>
      <c r="AS580" t="s">
        <v>6015</v>
      </c>
      <c r="AT580" t="s">
        <v>1653</v>
      </c>
      <c r="AU580">
        <v>2021</v>
      </c>
      <c r="AV580">
        <v>56</v>
      </c>
      <c r="AW580">
        <v>1</v>
      </c>
      <c r="AX580" t="s">
        <v>74</v>
      </c>
      <c r="AY580" t="s">
        <v>74</v>
      </c>
      <c r="AZ580" t="s">
        <v>74</v>
      </c>
      <c r="BA580" t="s">
        <v>74</v>
      </c>
      <c r="BB580">
        <v>174</v>
      </c>
      <c r="BC580">
        <v>191</v>
      </c>
      <c r="BD580" t="s">
        <v>74</v>
      </c>
      <c r="BE580" t="s">
        <v>11584</v>
      </c>
      <c r="BF580" t="str">
        <f>HYPERLINK("http://dx.doi.org/10.1111/maps.13491","http://dx.doi.org/10.1111/maps.13491")</f>
        <v>http://dx.doi.org/10.1111/maps.13491</v>
      </c>
      <c r="BG580" t="s">
        <v>74</v>
      </c>
      <c r="BH580" t="s">
        <v>10854</v>
      </c>
      <c r="BI580">
        <v>18</v>
      </c>
      <c r="BJ580" t="s">
        <v>131</v>
      </c>
      <c r="BK580" t="s">
        <v>102</v>
      </c>
      <c r="BL580" t="s">
        <v>131</v>
      </c>
      <c r="BM580" t="s">
        <v>11585</v>
      </c>
      <c r="BN580" t="s">
        <v>74</v>
      </c>
      <c r="BO580" t="s">
        <v>74</v>
      </c>
      <c r="BP580" t="s">
        <v>74</v>
      </c>
      <c r="BQ580" t="s">
        <v>74</v>
      </c>
      <c r="BR580" t="s">
        <v>106</v>
      </c>
      <c r="BS580" t="s">
        <v>11586</v>
      </c>
      <c r="BT580" t="str">
        <f>HYPERLINK("https%3A%2F%2Fwww.webofscience.com%2Fwos%2Fwoscc%2Ffull-record%2FWOS:000534361700001","View Full Record in Web of Science")</f>
        <v>View Full Record in Web of Science</v>
      </c>
    </row>
    <row r="581" spans="1:72" x14ac:dyDescent="0.15">
      <c r="A581" t="s">
        <v>72</v>
      </c>
      <c r="B581" t="s">
        <v>11587</v>
      </c>
      <c r="C581" t="s">
        <v>74</v>
      </c>
      <c r="D581" t="s">
        <v>74</v>
      </c>
      <c r="E581" t="s">
        <v>74</v>
      </c>
      <c r="F581" t="s">
        <v>11588</v>
      </c>
      <c r="G581" t="s">
        <v>74</v>
      </c>
      <c r="H581" t="s">
        <v>74</v>
      </c>
      <c r="I581" t="s">
        <v>11589</v>
      </c>
      <c r="J581" t="s">
        <v>1039</v>
      </c>
      <c r="K581" t="s">
        <v>74</v>
      </c>
      <c r="L581" t="s">
        <v>74</v>
      </c>
      <c r="M581" t="s">
        <v>78</v>
      </c>
      <c r="N581" t="s">
        <v>79</v>
      </c>
      <c r="O581" t="s">
        <v>74</v>
      </c>
      <c r="P581" t="s">
        <v>74</v>
      </c>
      <c r="Q581" t="s">
        <v>74</v>
      </c>
      <c r="R581" t="s">
        <v>74</v>
      </c>
      <c r="S581" t="s">
        <v>74</v>
      </c>
      <c r="T581" t="s">
        <v>74</v>
      </c>
      <c r="U581" t="s">
        <v>11590</v>
      </c>
      <c r="V581" t="s">
        <v>11591</v>
      </c>
      <c r="W581" t="s">
        <v>11592</v>
      </c>
      <c r="X581" t="s">
        <v>11593</v>
      </c>
      <c r="Y581" t="s">
        <v>11594</v>
      </c>
      <c r="Z581" t="s">
        <v>11595</v>
      </c>
      <c r="AA581" t="s">
        <v>11596</v>
      </c>
      <c r="AB581" t="s">
        <v>11597</v>
      </c>
      <c r="AC581" t="s">
        <v>74</v>
      </c>
      <c r="AD581" t="s">
        <v>74</v>
      </c>
      <c r="AE581" t="s">
        <v>74</v>
      </c>
      <c r="AF581" t="s">
        <v>74</v>
      </c>
      <c r="AG581">
        <v>20</v>
      </c>
      <c r="AH581">
        <v>3</v>
      </c>
      <c r="AI581">
        <v>3</v>
      </c>
      <c r="AJ581">
        <v>0</v>
      </c>
      <c r="AK581">
        <v>3</v>
      </c>
      <c r="AL581" t="s">
        <v>1049</v>
      </c>
      <c r="AM581" t="s">
        <v>1050</v>
      </c>
      <c r="AN581" t="s">
        <v>1051</v>
      </c>
      <c r="AO581" t="s">
        <v>1052</v>
      </c>
      <c r="AP581" t="s">
        <v>1053</v>
      </c>
      <c r="AQ581" t="s">
        <v>74</v>
      </c>
      <c r="AR581" t="s">
        <v>1054</v>
      </c>
      <c r="AS581" t="s">
        <v>1055</v>
      </c>
      <c r="AT581" t="s">
        <v>11598</v>
      </c>
      <c r="AU581">
        <v>2020</v>
      </c>
      <c r="AV581">
        <v>12</v>
      </c>
      <c r="AW581">
        <v>2</v>
      </c>
      <c r="AX581" t="s">
        <v>74</v>
      </c>
      <c r="AY581" t="s">
        <v>74</v>
      </c>
      <c r="AZ581" t="s">
        <v>74</v>
      </c>
      <c r="BA581" t="s">
        <v>74</v>
      </c>
      <c r="BB581">
        <v>1171</v>
      </c>
      <c r="BC581">
        <v>1177</v>
      </c>
      <c r="BD581" t="s">
        <v>74</v>
      </c>
      <c r="BE581" t="s">
        <v>11599</v>
      </c>
      <c r="BF581" t="str">
        <f>HYPERLINK("http://dx.doi.org/10.5194/essd-12-1171-2020","http://dx.doi.org/10.5194/essd-12-1171-2020")</f>
        <v>http://dx.doi.org/10.5194/essd-12-1171-2020</v>
      </c>
      <c r="BG581" t="s">
        <v>74</v>
      </c>
      <c r="BH581" t="s">
        <v>74</v>
      </c>
      <c r="BI581">
        <v>7</v>
      </c>
      <c r="BJ581" t="s">
        <v>1057</v>
      </c>
      <c r="BK581" t="s">
        <v>102</v>
      </c>
      <c r="BL581" t="s">
        <v>1058</v>
      </c>
      <c r="BM581" t="s">
        <v>11600</v>
      </c>
      <c r="BN581" t="s">
        <v>74</v>
      </c>
      <c r="BO581" t="s">
        <v>1060</v>
      </c>
      <c r="BP581" t="s">
        <v>74</v>
      </c>
      <c r="BQ581" t="s">
        <v>74</v>
      </c>
      <c r="BR581" t="s">
        <v>106</v>
      </c>
      <c r="BS581" t="s">
        <v>11601</v>
      </c>
      <c r="BT581" t="str">
        <f>HYPERLINK("https%3A%2F%2Fwww.webofscience.com%2Fwos%2Fwoscc%2Ffull-record%2FWOS:000537205600002","View Full Record in Web of Science")</f>
        <v>View Full Record in Web of Science</v>
      </c>
    </row>
    <row r="582" spans="1:72" x14ac:dyDescent="0.15">
      <c r="A582" t="s">
        <v>72</v>
      </c>
      <c r="B582" t="s">
        <v>11602</v>
      </c>
      <c r="C582" t="s">
        <v>74</v>
      </c>
      <c r="D582" t="s">
        <v>74</v>
      </c>
      <c r="E582" t="s">
        <v>74</v>
      </c>
      <c r="F582" t="s">
        <v>11603</v>
      </c>
      <c r="G582" t="s">
        <v>74</v>
      </c>
      <c r="H582" t="s">
        <v>74</v>
      </c>
      <c r="I582" t="s">
        <v>11604</v>
      </c>
      <c r="J582" t="s">
        <v>3490</v>
      </c>
      <c r="K582" t="s">
        <v>74</v>
      </c>
      <c r="L582" t="s">
        <v>74</v>
      </c>
      <c r="M582" t="s">
        <v>78</v>
      </c>
      <c r="N582" t="s">
        <v>79</v>
      </c>
      <c r="O582" t="s">
        <v>74</v>
      </c>
      <c r="P582" t="s">
        <v>74</v>
      </c>
      <c r="Q582" t="s">
        <v>74</v>
      </c>
      <c r="R582" t="s">
        <v>74</v>
      </c>
      <c r="S582" t="s">
        <v>74</v>
      </c>
      <c r="T582" t="s">
        <v>74</v>
      </c>
      <c r="U582" t="s">
        <v>11605</v>
      </c>
      <c r="V582" t="s">
        <v>11606</v>
      </c>
      <c r="W582" t="s">
        <v>11607</v>
      </c>
      <c r="X582" t="s">
        <v>11608</v>
      </c>
      <c r="Y582" t="s">
        <v>11609</v>
      </c>
      <c r="Z582" t="s">
        <v>11610</v>
      </c>
      <c r="AA582" t="s">
        <v>11611</v>
      </c>
      <c r="AB582" t="s">
        <v>11612</v>
      </c>
      <c r="AC582" t="s">
        <v>11613</v>
      </c>
      <c r="AD582" t="s">
        <v>11614</v>
      </c>
      <c r="AE582" t="s">
        <v>11615</v>
      </c>
      <c r="AF582" t="s">
        <v>74</v>
      </c>
      <c r="AG582">
        <v>65</v>
      </c>
      <c r="AH582">
        <v>61</v>
      </c>
      <c r="AI582">
        <v>66</v>
      </c>
      <c r="AJ582">
        <v>11</v>
      </c>
      <c r="AK582">
        <v>59</v>
      </c>
      <c r="AL582" t="s">
        <v>1118</v>
      </c>
      <c r="AM582" t="s">
        <v>1119</v>
      </c>
      <c r="AN582" t="s">
        <v>1120</v>
      </c>
      <c r="AO582" t="s">
        <v>74</v>
      </c>
      <c r="AP582" t="s">
        <v>3493</v>
      </c>
      <c r="AQ582" t="s">
        <v>74</v>
      </c>
      <c r="AR582" t="s">
        <v>3494</v>
      </c>
      <c r="AS582" t="s">
        <v>3495</v>
      </c>
      <c r="AT582" t="s">
        <v>11598</v>
      </c>
      <c r="AU582">
        <v>2020</v>
      </c>
      <c r="AV582">
        <v>11</v>
      </c>
      <c r="AW582">
        <v>1</v>
      </c>
      <c r="AX582" t="s">
        <v>74</v>
      </c>
      <c r="AY582" t="s">
        <v>74</v>
      </c>
      <c r="AZ582" t="s">
        <v>74</v>
      </c>
      <c r="BA582" t="s">
        <v>74</v>
      </c>
      <c r="BB582" t="s">
        <v>74</v>
      </c>
      <c r="BC582" t="s">
        <v>74</v>
      </c>
      <c r="BD582" t="s">
        <v>74</v>
      </c>
      <c r="BE582" t="s">
        <v>11616</v>
      </c>
      <c r="BF582" t="str">
        <f>HYPERLINK("http://dx.doi.org/10.1038/s41467-020-16018-w","http://dx.doi.org/10.1038/s41467-020-16018-w")</f>
        <v>http://dx.doi.org/10.1038/s41467-020-16018-w</v>
      </c>
      <c r="BG582" t="s">
        <v>74</v>
      </c>
      <c r="BH582" t="s">
        <v>74</v>
      </c>
      <c r="BI582">
        <v>9</v>
      </c>
      <c r="BJ582" t="s">
        <v>1125</v>
      </c>
      <c r="BK582" t="s">
        <v>102</v>
      </c>
      <c r="BL582" t="s">
        <v>1126</v>
      </c>
      <c r="BM582" t="s">
        <v>11617</v>
      </c>
      <c r="BN582">
        <v>32433543</v>
      </c>
      <c r="BO582" t="s">
        <v>2956</v>
      </c>
      <c r="BP582" t="s">
        <v>74</v>
      </c>
      <c r="BQ582" t="s">
        <v>74</v>
      </c>
      <c r="BR582" t="s">
        <v>106</v>
      </c>
      <c r="BS582" t="s">
        <v>11618</v>
      </c>
      <c r="BT582" t="str">
        <f>HYPERLINK("https%3A%2F%2Fwww.webofscience.com%2Fwos%2Fwoscc%2Ffull-record%2FWOS:000537059800002","View Full Record in Web of Science")</f>
        <v>View Full Record in Web of Science</v>
      </c>
    </row>
    <row r="583" spans="1:72" x14ac:dyDescent="0.15">
      <c r="A583" t="s">
        <v>72</v>
      </c>
      <c r="B583" t="s">
        <v>11619</v>
      </c>
      <c r="C583" t="s">
        <v>74</v>
      </c>
      <c r="D583" t="s">
        <v>74</v>
      </c>
      <c r="E583" t="s">
        <v>74</v>
      </c>
      <c r="F583" t="s">
        <v>11620</v>
      </c>
      <c r="G583" t="s">
        <v>74</v>
      </c>
      <c r="H583" t="s">
        <v>74</v>
      </c>
      <c r="I583" t="s">
        <v>11621</v>
      </c>
      <c r="J583" t="s">
        <v>11622</v>
      </c>
      <c r="K583" t="s">
        <v>74</v>
      </c>
      <c r="L583" t="s">
        <v>74</v>
      </c>
      <c r="M583" t="s">
        <v>78</v>
      </c>
      <c r="N583" t="s">
        <v>79</v>
      </c>
      <c r="O583" t="s">
        <v>74</v>
      </c>
      <c r="P583" t="s">
        <v>74</v>
      </c>
      <c r="Q583" t="s">
        <v>74</v>
      </c>
      <c r="R583" t="s">
        <v>74</v>
      </c>
      <c r="S583" t="s">
        <v>74</v>
      </c>
      <c r="T583" t="s">
        <v>11623</v>
      </c>
      <c r="U583" t="s">
        <v>11624</v>
      </c>
      <c r="V583" t="s">
        <v>11625</v>
      </c>
      <c r="W583" t="s">
        <v>11626</v>
      </c>
      <c r="X583" t="s">
        <v>11627</v>
      </c>
      <c r="Y583" t="s">
        <v>11628</v>
      </c>
      <c r="Z583" t="s">
        <v>11629</v>
      </c>
      <c r="AA583" t="s">
        <v>11630</v>
      </c>
      <c r="AB583" t="s">
        <v>11631</v>
      </c>
      <c r="AC583" t="s">
        <v>11632</v>
      </c>
      <c r="AD583" t="s">
        <v>11633</v>
      </c>
      <c r="AE583" t="s">
        <v>11634</v>
      </c>
      <c r="AF583" t="s">
        <v>74</v>
      </c>
      <c r="AG583">
        <v>24</v>
      </c>
      <c r="AH583">
        <v>9</v>
      </c>
      <c r="AI583">
        <v>9</v>
      </c>
      <c r="AJ583">
        <v>2</v>
      </c>
      <c r="AK583">
        <v>6</v>
      </c>
      <c r="AL583" t="s">
        <v>1440</v>
      </c>
      <c r="AM583" t="s">
        <v>1628</v>
      </c>
      <c r="AN583" t="s">
        <v>1629</v>
      </c>
      <c r="AO583" t="s">
        <v>11635</v>
      </c>
      <c r="AP583" t="s">
        <v>11636</v>
      </c>
      <c r="AQ583" t="s">
        <v>74</v>
      </c>
      <c r="AR583" t="s">
        <v>11637</v>
      </c>
      <c r="AS583" t="s">
        <v>11638</v>
      </c>
      <c r="AT583" t="s">
        <v>1823</v>
      </c>
      <c r="AU583">
        <v>2020</v>
      </c>
      <c r="AV583">
        <v>25</v>
      </c>
      <c r="AW583">
        <v>6</v>
      </c>
      <c r="AX583" t="s">
        <v>74</v>
      </c>
      <c r="AY583" t="s">
        <v>74</v>
      </c>
      <c r="AZ583" t="s">
        <v>74</v>
      </c>
      <c r="BA583" t="s">
        <v>74</v>
      </c>
      <c r="BB583">
        <v>1111</v>
      </c>
      <c r="BC583">
        <v>1116</v>
      </c>
      <c r="BD583" t="s">
        <v>74</v>
      </c>
      <c r="BE583" t="s">
        <v>11639</v>
      </c>
      <c r="BF583" t="str">
        <f>HYPERLINK("http://dx.doi.org/10.1007/s12192-020-01118-9","http://dx.doi.org/10.1007/s12192-020-01118-9")</f>
        <v>http://dx.doi.org/10.1007/s12192-020-01118-9</v>
      </c>
      <c r="BG583" t="s">
        <v>74</v>
      </c>
      <c r="BH583" t="s">
        <v>10854</v>
      </c>
      <c r="BI583">
        <v>6</v>
      </c>
      <c r="BJ583" t="s">
        <v>11640</v>
      </c>
      <c r="BK583" t="s">
        <v>102</v>
      </c>
      <c r="BL583" t="s">
        <v>11640</v>
      </c>
      <c r="BM583" t="s">
        <v>11641</v>
      </c>
      <c r="BN583">
        <v>32436134</v>
      </c>
      <c r="BO583" t="s">
        <v>7078</v>
      </c>
      <c r="BP583" t="s">
        <v>74</v>
      </c>
      <c r="BQ583" t="s">
        <v>74</v>
      </c>
      <c r="BR583" t="s">
        <v>106</v>
      </c>
      <c r="BS583" t="s">
        <v>11642</v>
      </c>
      <c r="BT583" t="str">
        <f>HYPERLINK("https%3A%2F%2Fwww.webofscience.com%2Fwos%2Fwoscc%2Ffull-record%2FWOS:000534449500001","View Full Record in Web of Science")</f>
        <v>View Full Record in Web of Science</v>
      </c>
    </row>
    <row r="584" spans="1:72" x14ac:dyDescent="0.15">
      <c r="A584" t="s">
        <v>72</v>
      </c>
      <c r="B584" t="s">
        <v>11643</v>
      </c>
      <c r="C584" t="s">
        <v>74</v>
      </c>
      <c r="D584" t="s">
        <v>74</v>
      </c>
      <c r="E584" t="s">
        <v>74</v>
      </c>
      <c r="F584" t="s">
        <v>11644</v>
      </c>
      <c r="G584" t="s">
        <v>74</v>
      </c>
      <c r="H584" t="s">
        <v>74</v>
      </c>
      <c r="I584" t="s">
        <v>11645</v>
      </c>
      <c r="J584" t="s">
        <v>11646</v>
      </c>
      <c r="K584" t="s">
        <v>74</v>
      </c>
      <c r="L584" t="s">
        <v>74</v>
      </c>
      <c r="M584" t="s">
        <v>78</v>
      </c>
      <c r="N584" t="s">
        <v>79</v>
      </c>
      <c r="O584" t="s">
        <v>74</v>
      </c>
      <c r="P584" t="s">
        <v>74</v>
      </c>
      <c r="Q584" t="s">
        <v>74</v>
      </c>
      <c r="R584" t="s">
        <v>74</v>
      </c>
      <c r="S584" t="s">
        <v>74</v>
      </c>
      <c r="T584" t="s">
        <v>11647</v>
      </c>
      <c r="U584" t="s">
        <v>11648</v>
      </c>
      <c r="V584" t="s">
        <v>11649</v>
      </c>
      <c r="W584" t="s">
        <v>11650</v>
      </c>
      <c r="X584" t="s">
        <v>11651</v>
      </c>
      <c r="Y584" t="s">
        <v>11652</v>
      </c>
      <c r="Z584" t="s">
        <v>11653</v>
      </c>
      <c r="AA584" t="s">
        <v>11654</v>
      </c>
      <c r="AB584" t="s">
        <v>11655</v>
      </c>
      <c r="AC584" t="s">
        <v>11656</v>
      </c>
      <c r="AD584" t="s">
        <v>11657</v>
      </c>
      <c r="AE584" t="s">
        <v>11658</v>
      </c>
      <c r="AF584" t="s">
        <v>74</v>
      </c>
      <c r="AG584">
        <v>39</v>
      </c>
      <c r="AH584">
        <v>13</v>
      </c>
      <c r="AI584">
        <v>14</v>
      </c>
      <c r="AJ584">
        <v>13</v>
      </c>
      <c r="AK584">
        <v>66</v>
      </c>
      <c r="AL584" t="s">
        <v>994</v>
      </c>
      <c r="AM584" t="s">
        <v>995</v>
      </c>
      <c r="AN584" t="s">
        <v>996</v>
      </c>
      <c r="AO584" t="s">
        <v>11659</v>
      </c>
      <c r="AP584" t="s">
        <v>11660</v>
      </c>
      <c r="AQ584" t="s">
        <v>74</v>
      </c>
      <c r="AR584" t="s">
        <v>11661</v>
      </c>
      <c r="AS584" t="s">
        <v>11662</v>
      </c>
      <c r="AT584" t="s">
        <v>99</v>
      </c>
      <c r="AU584">
        <v>2020</v>
      </c>
      <c r="AV584">
        <v>97</v>
      </c>
      <c r="AW584">
        <v>8</v>
      </c>
      <c r="AX584" t="s">
        <v>74</v>
      </c>
      <c r="AY584" t="s">
        <v>74</v>
      </c>
      <c r="AZ584" t="s">
        <v>74</v>
      </c>
      <c r="BA584" t="s">
        <v>74</v>
      </c>
      <c r="BB584">
        <v>889</v>
      </c>
      <c r="BC584">
        <v>900</v>
      </c>
      <c r="BD584" t="s">
        <v>74</v>
      </c>
      <c r="BE584" t="s">
        <v>11663</v>
      </c>
      <c r="BF584" t="str">
        <f>HYPERLINK("http://dx.doi.org/10.1002/aocs.12368","http://dx.doi.org/10.1002/aocs.12368")</f>
        <v>http://dx.doi.org/10.1002/aocs.12368</v>
      </c>
      <c r="BG584" t="s">
        <v>74</v>
      </c>
      <c r="BH584" t="s">
        <v>10854</v>
      </c>
      <c r="BI584">
        <v>12</v>
      </c>
      <c r="BJ584" t="s">
        <v>11664</v>
      </c>
      <c r="BK584" t="s">
        <v>102</v>
      </c>
      <c r="BL584" t="s">
        <v>11665</v>
      </c>
      <c r="BM584" t="s">
        <v>11666</v>
      </c>
      <c r="BN584" t="s">
        <v>74</v>
      </c>
      <c r="BO584" t="s">
        <v>74</v>
      </c>
      <c r="BP584" t="s">
        <v>74</v>
      </c>
      <c r="BQ584" t="s">
        <v>74</v>
      </c>
      <c r="BR584" t="s">
        <v>106</v>
      </c>
      <c r="BS584" t="s">
        <v>11667</v>
      </c>
      <c r="BT584" t="str">
        <f>HYPERLINK("https%3A%2F%2Fwww.webofscience.com%2Fwos%2Fwoscc%2Ffull-record%2FWOS:000534404600001","View Full Record in Web of Science")</f>
        <v>View Full Record in Web of Science</v>
      </c>
    </row>
    <row r="585" spans="1:72" x14ac:dyDescent="0.15">
      <c r="A585" t="s">
        <v>72</v>
      </c>
      <c r="B585" t="s">
        <v>11668</v>
      </c>
      <c r="C585" t="s">
        <v>74</v>
      </c>
      <c r="D585" t="s">
        <v>74</v>
      </c>
      <c r="E585" t="s">
        <v>74</v>
      </c>
      <c r="F585" t="s">
        <v>11669</v>
      </c>
      <c r="G585" t="s">
        <v>74</v>
      </c>
      <c r="H585" t="s">
        <v>74</v>
      </c>
      <c r="I585" t="s">
        <v>11670</v>
      </c>
      <c r="J585" t="s">
        <v>11671</v>
      </c>
      <c r="K585" t="s">
        <v>74</v>
      </c>
      <c r="L585" t="s">
        <v>74</v>
      </c>
      <c r="M585" t="s">
        <v>78</v>
      </c>
      <c r="N585" t="s">
        <v>79</v>
      </c>
      <c r="O585" t="s">
        <v>74</v>
      </c>
      <c r="P585" t="s">
        <v>74</v>
      </c>
      <c r="Q585" t="s">
        <v>74</v>
      </c>
      <c r="R585" t="s">
        <v>74</v>
      </c>
      <c r="S585" t="s">
        <v>74</v>
      </c>
      <c r="T585" t="s">
        <v>11672</v>
      </c>
      <c r="U585" t="s">
        <v>11673</v>
      </c>
      <c r="V585" t="s">
        <v>11674</v>
      </c>
      <c r="W585" t="s">
        <v>11675</v>
      </c>
      <c r="X585" t="s">
        <v>662</v>
      </c>
      <c r="Y585" t="s">
        <v>11676</v>
      </c>
      <c r="Z585" t="s">
        <v>11677</v>
      </c>
      <c r="AA585" t="s">
        <v>11678</v>
      </c>
      <c r="AB585" t="s">
        <v>11679</v>
      </c>
      <c r="AC585" t="s">
        <v>11680</v>
      </c>
      <c r="AD585" t="s">
        <v>11681</v>
      </c>
      <c r="AE585" t="s">
        <v>11682</v>
      </c>
      <c r="AF585" t="s">
        <v>74</v>
      </c>
      <c r="AG585">
        <v>72</v>
      </c>
      <c r="AH585">
        <v>29</v>
      </c>
      <c r="AI585">
        <v>30</v>
      </c>
      <c r="AJ585">
        <v>0</v>
      </c>
      <c r="AK585">
        <v>12</v>
      </c>
      <c r="AL585" t="s">
        <v>994</v>
      </c>
      <c r="AM585" t="s">
        <v>995</v>
      </c>
      <c r="AN585" t="s">
        <v>996</v>
      </c>
      <c r="AO585" t="s">
        <v>11683</v>
      </c>
      <c r="AP585" t="s">
        <v>11684</v>
      </c>
      <c r="AQ585" t="s">
        <v>74</v>
      </c>
      <c r="AR585" t="s">
        <v>11685</v>
      </c>
      <c r="AS585" t="s">
        <v>11686</v>
      </c>
      <c r="AT585" t="s">
        <v>8139</v>
      </c>
      <c r="AU585">
        <v>2021</v>
      </c>
      <c r="AV585">
        <v>21</v>
      </c>
      <c r="AW585">
        <v>2</v>
      </c>
      <c r="AX585" t="s">
        <v>74</v>
      </c>
      <c r="AY585" t="s">
        <v>74</v>
      </c>
      <c r="AZ585" t="s">
        <v>74</v>
      </c>
      <c r="BA585" t="s">
        <v>74</v>
      </c>
      <c r="BB585">
        <v>363</v>
      </c>
      <c r="BC585">
        <v>378</v>
      </c>
      <c r="BD585" t="s">
        <v>74</v>
      </c>
      <c r="BE585" t="s">
        <v>11687</v>
      </c>
      <c r="BF585" t="str">
        <f>HYPERLINK("http://dx.doi.org/10.1111/1755-0998.13163","http://dx.doi.org/10.1111/1755-0998.13163")</f>
        <v>http://dx.doi.org/10.1111/1755-0998.13163</v>
      </c>
      <c r="BG585" t="s">
        <v>74</v>
      </c>
      <c r="BH585" t="s">
        <v>10854</v>
      </c>
      <c r="BI585">
        <v>16</v>
      </c>
      <c r="BJ585" t="s">
        <v>10393</v>
      </c>
      <c r="BK585" t="s">
        <v>102</v>
      </c>
      <c r="BL585" t="s">
        <v>10394</v>
      </c>
      <c r="BM585" t="s">
        <v>11688</v>
      </c>
      <c r="BN585">
        <v>32275349</v>
      </c>
      <c r="BO585" t="s">
        <v>976</v>
      </c>
      <c r="BP585" t="s">
        <v>74</v>
      </c>
      <c r="BQ585" t="s">
        <v>74</v>
      </c>
      <c r="BR585" t="s">
        <v>106</v>
      </c>
      <c r="BS585" t="s">
        <v>11689</v>
      </c>
      <c r="BT585" t="str">
        <f>HYPERLINK("https%3A%2F%2Fwww.webofscience.com%2Fwos%2Fwoscc%2Ffull-record%2FWOS:000534086300001","View Full Record in Web of Science")</f>
        <v>View Full Record in Web of Science</v>
      </c>
    </row>
    <row r="586" spans="1:72" x14ac:dyDescent="0.15">
      <c r="A586" t="s">
        <v>72</v>
      </c>
      <c r="B586" t="s">
        <v>11690</v>
      </c>
      <c r="C586" t="s">
        <v>74</v>
      </c>
      <c r="D586" t="s">
        <v>74</v>
      </c>
      <c r="E586" t="s">
        <v>74</v>
      </c>
      <c r="F586" t="s">
        <v>11691</v>
      </c>
      <c r="G586" t="s">
        <v>74</v>
      </c>
      <c r="H586" t="s">
        <v>74</v>
      </c>
      <c r="I586" t="s">
        <v>11692</v>
      </c>
      <c r="J586" t="s">
        <v>299</v>
      </c>
      <c r="K586" t="s">
        <v>74</v>
      </c>
      <c r="L586" t="s">
        <v>74</v>
      </c>
      <c r="M586" t="s">
        <v>78</v>
      </c>
      <c r="N586" t="s">
        <v>79</v>
      </c>
      <c r="O586" t="s">
        <v>74</v>
      </c>
      <c r="P586" t="s">
        <v>74</v>
      </c>
      <c r="Q586" t="s">
        <v>74</v>
      </c>
      <c r="R586" t="s">
        <v>74</v>
      </c>
      <c r="S586" t="s">
        <v>74</v>
      </c>
      <c r="T586" t="s">
        <v>11693</v>
      </c>
      <c r="U586" t="s">
        <v>11694</v>
      </c>
      <c r="V586" t="s">
        <v>11695</v>
      </c>
      <c r="W586" t="s">
        <v>11696</v>
      </c>
      <c r="X586" t="s">
        <v>11697</v>
      </c>
      <c r="Y586" t="s">
        <v>11698</v>
      </c>
      <c r="Z586" t="s">
        <v>11699</v>
      </c>
      <c r="AA586" t="s">
        <v>11700</v>
      </c>
      <c r="AB586" t="s">
        <v>11701</v>
      </c>
      <c r="AC586" t="s">
        <v>11702</v>
      </c>
      <c r="AD586" t="s">
        <v>11703</v>
      </c>
      <c r="AE586" t="s">
        <v>11704</v>
      </c>
      <c r="AF586" t="s">
        <v>74</v>
      </c>
      <c r="AG586">
        <v>74</v>
      </c>
      <c r="AH586">
        <v>9</v>
      </c>
      <c r="AI586">
        <v>9</v>
      </c>
      <c r="AJ586">
        <v>0</v>
      </c>
      <c r="AK586">
        <v>23</v>
      </c>
      <c r="AL586" t="s">
        <v>284</v>
      </c>
      <c r="AM586" t="s">
        <v>285</v>
      </c>
      <c r="AN586" t="s">
        <v>286</v>
      </c>
      <c r="AO586" t="s">
        <v>312</v>
      </c>
      <c r="AP586" t="s">
        <v>313</v>
      </c>
      <c r="AQ586" t="s">
        <v>74</v>
      </c>
      <c r="AR586" t="s">
        <v>314</v>
      </c>
      <c r="AS586" t="s">
        <v>315</v>
      </c>
      <c r="AT586" t="s">
        <v>11598</v>
      </c>
      <c r="AU586">
        <v>2020</v>
      </c>
      <c r="AV586">
        <v>718</v>
      </c>
      <c r="AW586" t="s">
        <v>74</v>
      </c>
      <c r="AX586" t="s">
        <v>74</v>
      </c>
      <c r="AY586" t="s">
        <v>74</v>
      </c>
      <c r="AZ586" t="s">
        <v>74</v>
      </c>
      <c r="BA586" t="s">
        <v>74</v>
      </c>
      <c r="BB586" t="s">
        <v>74</v>
      </c>
      <c r="BC586" t="s">
        <v>74</v>
      </c>
      <c r="BD586">
        <v>137327</v>
      </c>
      <c r="BE586" t="s">
        <v>11705</v>
      </c>
      <c r="BF586" t="str">
        <f>HYPERLINK("http://dx.doi.org/10.1016/j.scitotenv.2020.137327","http://dx.doi.org/10.1016/j.scitotenv.2020.137327")</f>
        <v>http://dx.doi.org/10.1016/j.scitotenv.2020.137327</v>
      </c>
      <c r="BG586" t="s">
        <v>74</v>
      </c>
      <c r="BH586" t="s">
        <v>74</v>
      </c>
      <c r="BI586">
        <v>11</v>
      </c>
      <c r="BJ586" t="s">
        <v>101</v>
      </c>
      <c r="BK586" t="s">
        <v>102</v>
      </c>
      <c r="BL586" t="s">
        <v>103</v>
      </c>
      <c r="BM586" t="s">
        <v>11706</v>
      </c>
      <c r="BN586">
        <v>32097839</v>
      </c>
      <c r="BO586" t="s">
        <v>448</v>
      </c>
      <c r="BP586" t="s">
        <v>74</v>
      </c>
      <c r="BQ586" t="s">
        <v>74</v>
      </c>
      <c r="BR586" t="s">
        <v>106</v>
      </c>
      <c r="BS586" t="s">
        <v>11707</v>
      </c>
      <c r="BT586" t="str">
        <f>HYPERLINK("https%3A%2F%2Fwww.webofscience.com%2Fwos%2Fwoscc%2Ffull-record%2FWOS:000526029000059","View Full Record in Web of Science")</f>
        <v>View Full Record in Web of Science</v>
      </c>
    </row>
    <row r="587" spans="1:72" x14ac:dyDescent="0.15">
      <c r="A587" t="s">
        <v>72</v>
      </c>
      <c r="B587" t="s">
        <v>11708</v>
      </c>
      <c r="C587" t="s">
        <v>74</v>
      </c>
      <c r="D587" t="s">
        <v>74</v>
      </c>
      <c r="E587" t="s">
        <v>74</v>
      </c>
      <c r="F587" t="s">
        <v>11709</v>
      </c>
      <c r="G587" t="s">
        <v>74</v>
      </c>
      <c r="H587" t="s">
        <v>74</v>
      </c>
      <c r="I587" t="s">
        <v>11710</v>
      </c>
      <c r="J587" t="s">
        <v>299</v>
      </c>
      <c r="K587" t="s">
        <v>74</v>
      </c>
      <c r="L587" t="s">
        <v>74</v>
      </c>
      <c r="M587" t="s">
        <v>78</v>
      </c>
      <c r="N587" t="s">
        <v>79</v>
      </c>
      <c r="O587" t="s">
        <v>74</v>
      </c>
      <c r="P587" t="s">
        <v>74</v>
      </c>
      <c r="Q587" t="s">
        <v>74</v>
      </c>
      <c r="R587" t="s">
        <v>74</v>
      </c>
      <c r="S587" t="s">
        <v>74</v>
      </c>
      <c r="T587" t="s">
        <v>11711</v>
      </c>
      <c r="U587" t="s">
        <v>11712</v>
      </c>
      <c r="V587" t="s">
        <v>11713</v>
      </c>
      <c r="W587" t="s">
        <v>11714</v>
      </c>
      <c r="X587" t="s">
        <v>11715</v>
      </c>
      <c r="Y587" t="s">
        <v>11716</v>
      </c>
      <c r="Z587" t="s">
        <v>11717</v>
      </c>
      <c r="AA587" t="s">
        <v>11718</v>
      </c>
      <c r="AB587" t="s">
        <v>11719</v>
      </c>
      <c r="AC587" t="s">
        <v>11720</v>
      </c>
      <c r="AD587" t="s">
        <v>11721</v>
      </c>
      <c r="AE587" t="s">
        <v>11722</v>
      </c>
      <c r="AF587" t="s">
        <v>74</v>
      </c>
      <c r="AG587">
        <v>50</v>
      </c>
      <c r="AH587">
        <v>5</v>
      </c>
      <c r="AI587">
        <v>6</v>
      </c>
      <c r="AJ587">
        <v>5</v>
      </c>
      <c r="AK587">
        <v>50</v>
      </c>
      <c r="AL587" t="s">
        <v>284</v>
      </c>
      <c r="AM587" t="s">
        <v>285</v>
      </c>
      <c r="AN587" t="s">
        <v>286</v>
      </c>
      <c r="AO587" t="s">
        <v>312</v>
      </c>
      <c r="AP587" t="s">
        <v>313</v>
      </c>
      <c r="AQ587" t="s">
        <v>74</v>
      </c>
      <c r="AR587" t="s">
        <v>314</v>
      </c>
      <c r="AS587" t="s">
        <v>315</v>
      </c>
      <c r="AT587" t="s">
        <v>11598</v>
      </c>
      <c r="AU587">
        <v>2020</v>
      </c>
      <c r="AV587">
        <v>718</v>
      </c>
      <c r="AW587" t="s">
        <v>74</v>
      </c>
      <c r="AX587" t="s">
        <v>74</v>
      </c>
      <c r="AY587" t="s">
        <v>74</v>
      </c>
      <c r="AZ587" t="s">
        <v>74</v>
      </c>
      <c r="BA587" t="s">
        <v>74</v>
      </c>
      <c r="BB587" t="s">
        <v>74</v>
      </c>
      <c r="BC587" t="s">
        <v>74</v>
      </c>
      <c r="BD587">
        <v>135255</v>
      </c>
      <c r="BE587" t="s">
        <v>11723</v>
      </c>
      <c r="BF587" t="str">
        <f>HYPERLINK("http://dx.doi.org/10.1016/j.scitotenv.2019.135255","http://dx.doi.org/10.1016/j.scitotenv.2019.135255")</f>
        <v>http://dx.doi.org/10.1016/j.scitotenv.2019.135255</v>
      </c>
      <c r="BG587" t="s">
        <v>74</v>
      </c>
      <c r="BH587" t="s">
        <v>74</v>
      </c>
      <c r="BI587">
        <v>8</v>
      </c>
      <c r="BJ587" t="s">
        <v>101</v>
      </c>
      <c r="BK587" t="s">
        <v>102</v>
      </c>
      <c r="BL587" t="s">
        <v>103</v>
      </c>
      <c r="BM587" t="s">
        <v>11706</v>
      </c>
      <c r="BN587">
        <v>31859058</v>
      </c>
      <c r="BO587" t="s">
        <v>74</v>
      </c>
      <c r="BP587" t="s">
        <v>74</v>
      </c>
      <c r="BQ587" t="s">
        <v>74</v>
      </c>
      <c r="BR587" t="s">
        <v>106</v>
      </c>
      <c r="BS587" t="s">
        <v>11724</v>
      </c>
      <c r="BT587" t="str">
        <f>HYPERLINK("https%3A%2F%2Fwww.webofscience.com%2Fwos%2Fwoscc%2Ffull-record%2FWOS:000526029000027","View Full Record in Web of Science")</f>
        <v>View Full Record in Web of Science</v>
      </c>
    </row>
    <row r="588" spans="1:72" x14ac:dyDescent="0.15">
      <c r="A588" t="s">
        <v>72</v>
      </c>
      <c r="B588" t="s">
        <v>11725</v>
      </c>
      <c r="C588" t="s">
        <v>74</v>
      </c>
      <c r="D588" t="s">
        <v>74</v>
      </c>
      <c r="E588" t="s">
        <v>74</v>
      </c>
      <c r="F588" t="s">
        <v>11726</v>
      </c>
      <c r="G588" t="s">
        <v>74</v>
      </c>
      <c r="H588" t="s">
        <v>74</v>
      </c>
      <c r="I588" t="s">
        <v>11727</v>
      </c>
      <c r="J588" t="s">
        <v>11728</v>
      </c>
      <c r="K588" t="s">
        <v>74</v>
      </c>
      <c r="L588" t="s">
        <v>74</v>
      </c>
      <c r="M588" t="s">
        <v>78</v>
      </c>
      <c r="N588" t="s">
        <v>79</v>
      </c>
      <c r="O588" t="s">
        <v>74</v>
      </c>
      <c r="P588" t="s">
        <v>74</v>
      </c>
      <c r="Q588" t="s">
        <v>74</v>
      </c>
      <c r="R588" t="s">
        <v>74</v>
      </c>
      <c r="S588" t="s">
        <v>74</v>
      </c>
      <c r="T588" t="s">
        <v>11729</v>
      </c>
      <c r="U588" t="s">
        <v>11730</v>
      </c>
      <c r="V588" t="s">
        <v>11731</v>
      </c>
      <c r="W588" t="s">
        <v>11732</v>
      </c>
      <c r="X588" t="s">
        <v>11733</v>
      </c>
      <c r="Y588" t="s">
        <v>11734</v>
      </c>
      <c r="Z588" t="s">
        <v>11735</v>
      </c>
      <c r="AA588" t="s">
        <v>11736</v>
      </c>
      <c r="AB588" t="s">
        <v>11737</v>
      </c>
      <c r="AC588" t="s">
        <v>11738</v>
      </c>
      <c r="AD588" t="s">
        <v>11739</v>
      </c>
      <c r="AE588" t="s">
        <v>11740</v>
      </c>
      <c r="AF588" t="s">
        <v>74</v>
      </c>
      <c r="AG588">
        <v>42</v>
      </c>
      <c r="AH588">
        <v>4</v>
      </c>
      <c r="AI588">
        <v>5</v>
      </c>
      <c r="AJ588">
        <v>3</v>
      </c>
      <c r="AK588">
        <v>34</v>
      </c>
      <c r="AL588" t="s">
        <v>11741</v>
      </c>
      <c r="AM588" t="s">
        <v>11742</v>
      </c>
      <c r="AN588" t="s">
        <v>11743</v>
      </c>
      <c r="AO588" t="s">
        <v>11744</v>
      </c>
      <c r="AP588" t="s">
        <v>11745</v>
      </c>
      <c r="AQ588" t="s">
        <v>74</v>
      </c>
      <c r="AR588" t="s">
        <v>11746</v>
      </c>
      <c r="AS588" t="s">
        <v>11747</v>
      </c>
      <c r="AT588" t="s">
        <v>1930</v>
      </c>
      <c r="AU588">
        <v>2020</v>
      </c>
      <c r="AV588">
        <v>38</v>
      </c>
      <c r="AW588">
        <v>5</v>
      </c>
      <c r="AX588" t="s">
        <v>74</v>
      </c>
      <c r="AY588" t="s">
        <v>74</v>
      </c>
      <c r="AZ588" t="s">
        <v>74</v>
      </c>
      <c r="BA588" t="s">
        <v>74</v>
      </c>
      <c r="BB588">
        <v>1343</v>
      </c>
      <c r="BC588">
        <v>1353</v>
      </c>
      <c r="BD588" t="s">
        <v>74</v>
      </c>
      <c r="BE588" t="s">
        <v>11748</v>
      </c>
      <c r="BF588" t="str">
        <f>HYPERLINK("http://dx.doi.org/10.1007/s00343-020-0035-4","http://dx.doi.org/10.1007/s00343-020-0035-4")</f>
        <v>http://dx.doi.org/10.1007/s00343-020-0035-4</v>
      </c>
      <c r="BG588" t="s">
        <v>74</v>
      </c>
      <c r="BH588" t="s">
        <v>10854</v>
      </c>
      <c r="BI588">
        <v>11</v>
      </c>
      <c r="BJ588" t="s">
        <v>2311</v>
      </c>
      <c r="BK588" t="s">
        <v>102</v>
      </c>
      <c r="BL588" t="s">
        <v>2312</v>
      </c>
      <c r="BM588" t="s">
        <v>11749</v>
      </c>
      <c r="BN588" t="s">
        <v>74</v>
      </c>
      <c r="BO588" t="s">
        <v>74</v>
      </c>
      <c r="BP588" t="s">
        <v>74</v>
      </c>
      <c r="BQ588" t="s">
        <v>74</v>
      </c>
      <c r="BR588" t="s">
        <v>106</v>
      </c>
      <c r="BS588" t="s">
        <v>11750</v>
      </c>
      <c r="BT588" t="str">
        <f>HYPERLINK("https%3A%2F%2Fwww.webofscience.com%2Fwos%2Fwoscc%2Ffull-record%2FWOS:000565844200001","View Full Record in Web of Science")</f>
        <v>View Full Record in Web of Science</v>
      </c>
    </row>
    <row r="589" spans="1:72" x14ac:dyDescent="0.15">
      <c r="A589" t="s">
        <v>72</v>
      </c>
      <c r="B589" t="s">
        <v>11751</v>
      </c>
      <c r="C589" t="s">
        <v>74</v>
      </c>
      <c r="D589" t="s">
        <v>74</v>
      </c>
      <c r="E589" t="s">
        <v>74</v>
      </c>
      <c r="F589" t="s">
        <v>11752</v>
      </c>
      <c r="G589" t="s">
        <v>74</v>
      </c>
      <c r="H589" t="s">
        <v>74</v>
      </c>
      <c r="I589" t="s">
        <v>11753</v>
      </c>
      <c r="J589" t="s">
        <v>11754</v>
      </c>
      <c r="K589" t="s">
        <v>74</v>
      </c>
      <c r="L589" t="s">
        <v>74</v>
      </c>
      <c r="M589" t="s">
        <v>78</v>
      </c>
      <c r="N589" t="s">
        <v>79</v>
      </c>
      <c r="O589" t="s">
        <v>74</v>
      </c>
      <c r="P589" t="s">
        <v>74</v>
      </c>
      <c r="Q589" t="s">
        <v>74</v>
      </c>
      <c r="R589" t="s">
        <v>74</v>
      </c>
      <c r="S589" t="s">
        <v>74</v>
      </c>
      <c r="T589" t="s">
        <v>11755</v>
      </c>
      <c r="U589" t="s">
        <v>11756</v>
      </c>
      <c r="V589" t="s">
        <v>11757</v>
      </c>
      <c r="W589" t="s">
        <v>11758</v>
      </c>
      <c r="X589" t="s">
        <v>11759</v>
      </c>
      <c r="Y589" t="s">
        <v>11760</v>
      </c>
      <c r="Z589" t="s">
        <v>11761</v>
      </c>
      <c r="AA589" t="s">
        <v>74</v>
      </c>
      <c r="AB589" t="s">
        <v>11762</v>
      </c>
      <c r="AC589" t="s">
        <v>11763</v>
      </c>
      <c r="AD589" t="s">
        <v>11764</v>
      </c>
      <c r="AE589" t="s">
        <v>11765</v>
      </c>
      <c r="AF589" t="s">
        <v>74</v>
      </c>
      <c r="AG589">
        <v>67</v>
      </c>
      <c r="AH589">
        <v>10</v>
      </c>
      <c r="AI589">
        <v>10</v>
      </c>
      <c r="AJ589">
        <v>1</v>
      </c>
      <c r="AK589">
        <v>17</v>
      </c>
      <c r="AL589" t="s">
        <v>3829</v>
      </c>
      <c r="AM589" t="s">
        <v>3830</v>
      </c>
      <c r="AN589" t="s">
        <v>3831</v>
      </c>
      <c r="AO589" t="s">
        <v>11766</v>
      </c>
      <c r="AP589" t="s">
        <v>11767</v>
      </c>
      <c r="AQ589" t="s">
        <v>74</v>
      </c>
      <c r="AR589" t="s">
        <v>11768</v>
      </c>
      <c r="AS589" t="s">
        <v>11769</v>
      </c>
      <c r="AT589" t="s">
        <v>11770</v>
      </c>
      <c r="AU589">
        <v>2020</v>
      </c>
      <c r="AV589">
        <v>51</v>
      </c>
      <c r="AW589">
        <v>3</v>
      </c>
      <c r="AX589" t="s">
        <v>74</v>
      </c>
      <c r="AY589" t="s">
        <v>74</v>
      </c>
      <c r="AZ589" t="s">
        <v>74</v>
      </c>
      <c r="BA589" t="s">
        <v>74</v>
      </c>
      <c r="BB589">
        <v>193</v>
      </c>
      <c r="BC589">
        <v>216</v>
      </c>
      <c r="BD589" t="s">
        <v>74</v>
      </c>
      <c r="BE589" t="s">
        <v>11771</v>
      </c>
      <c r="BF589" t="str">
        <f>HYPERLINK("http://dx.doi.org/10.1080/00908320.2020.1736773","http://dx.doi.org/10.1080/00908320.2020.1736773")</f>
        <v>http://dx.doi.org/10.1080/00908320.2020.1736773</v>
      </c>
      <c r="BG589" t="s">
        <v>74</v>
      </c>
      <c r="BH589" t="s">
        <v>10854</v>
      </c>
      <c r="BI589">
        <v>24</v>
      </c>
      <c r="BJ589" t="s">
        <v>11772</v>
      </c>
      <c r="BK589" t="s">
        <v>607</v>
      </c>
      <c r="BL589" t="s">
        <v>11773</v>
      </c>
      <c r="BM589" t="s">
        <v>11774</v>
      </c>
      <c r="BN589" t="s">
        <v>74</v>
      </c>
      <c r="BO589" t="s">
        <v>1474</v>
      </c>
      <c r="BP589" t="s">
        <v>74</v>
      </c>
      <c r="BQ589" t="s">
        <v>74</v>
      </c>
      <c r="BR589" t="s">
        <v>106</v>
      </c>
      <c r="BS589" t="s">
        <v>11775</v>
      </c>
      <c r="BT589" t="str">
        <f>HYPERLINK("https%3A%2F%2Fwww.webofscience.com%2Fwos%2Fwoscc%2Ffull-record%2FWOS:000537563200001","View Full Record in Web of Science")</f>
        <v>View Full Record in Web of Science</v>
      </c>
    </row>
    <row r="590" spans="1:72" x14ac:dyDescent="0.15">
      <c r="A590" t="s">
        <v>72</v>
      </c>
      <c r="B590" t="s">
        <v>11776</v>
      </c>
      <c r="C590" t="s">
        <v>74</v>
      </c>
      <c r="D590" t="s">
        <v>74</v>
      </c>
      <c r="E590" t="s">
        <v>74</v>
      </c>
      <c r="F590" t="s">
        <v>11777</v>
      </c>
      <c r="G590" t="s">
        <v>74</v>
      </c>
      <c r="H590" t="s">
        <v>74</v>
      </c>
      <c r="I590" t="s">
        <v>11778</v>
      </c>
      <c r="J590" t="s">
        <v>11779</v>
      </c>
      <c r="K590" t="s">
        <v>74</v>
      </c>
      <c r="L590" t="s">
        <v>74</v>
      </c>
      <c r="M590" t="s">
        <v>78</v>
      </c>
      <c r="N590" t="s">
        <v>79</v>
      </c>
      <c r="O590" t="s">
        <v>74</v>
      </c>
      <c r="P590" t="s">
        <v>74</v>
      </c>
      <c r="Q590" t="s">
        <v>74</v>
      </c>
      <c r="R590" t="s">
        <v>74</v>
      </c>
      <c r="S590" t="s">
        <v>74</v>
      </c>
      <c r="T590" t="s">
        <v>11780</v>
      </c>
      <c r="U590" t="s">
        <v>11781</v>
      </c>
      <c r="V590" t="s">
        <v>11782</v>
      </c>
      <c r="W590" t="s">
        <v>11783</v>
      </c>
      <c r="X590" t="s">
        <v>11784</v>
      </c>
      <c r="Y590" t="s">
        <v>11785</v>
      </c>
      <c r="Z590" t="s">
        <v>11786</v>
      </c>
      <c r="AA590" t="s">
        <v>11787</v>
      </c>
      <c r="AB590" t="s">
        <v>11788</v>
      </c>
      <c r="AC590" t="s">
        <v>11789</v>
      </c>
      <c r="AD590" t="s">
        <v>11790</v>
      </c>
      <c r="AE590" t="s">
        <v>11791</v>
      </c>
      <c r="AF590" t="s">
        <v>74</v>
      </c>
      <c r="AG590">
        <v>114</v>
      </c>
      <c r="AH590">
        <v>24</v>
      </c>
      <c r="AI590">
        <v>27</v>
      </c>
      <c r="AJ590">
        <v>4</v>
      </c>
      <c r="AK590">
        <v>27</v>
      </c>
      <c r="AL590" t="s">
        <v>6507</v>
      </c>
      <c r="AM590" t="s">
        <v>945</v>
      </c>
      <c r="AN590" t="s">
        <v>6508</v>
      </c>
      <c r="AO590" t="s">
        <v>11792</v>
      </c>
      <c r="AP590" t="s">
        <v>11793</v>
      </c>
      <c r="AQ590" t="s">
        <v>74</v>
      </c>
      <c r="AR590" t="s">
        <v>11794</v>
      </c>
      <c r="AS590" t="s">
        <v>11795</v>
      </c>
      <c r="AT590" t="s">
        <v>1176</v>
      </c>
      <c r="AU590">
        <v>2020</v>
      </c>
      <c r="AV590">
        <v>44</v>
      </c>
      <c r="AW590">
        <v>6</v>
      </c>
      <c r="AX590" t="s">
        <v>74</v>
      </c>
      <c r="AY590" t="s">
        <v>74</v>
      </c>
      <c r="AZ590" t="s">
        <v>74</v>
      </c>
      <c r="BA590" t="s">
        <v>74</v>
      </c>
      <c r="BB590">
        <v>837</v>
      </c>
      <c r="BC590">
        <v>869</v>
      </c>
      <c r="BD590">
        <v>309133320916114</v>
      </c>
      <c r="BE590" t="s">
        <v>11796</v>
      </c>
      <c r="BF590" t="str">
        <f>HYPERLINK("http://dx.doi.org/10.1177/0309133320916114","http://dx.doi.org/10.1177/0309133320916114")</f>
        <v>http://dx.doi.org/10.1177/0309133320916114</v>
      </c>
      <c r="BG590" t="s">
        <v>74</v>
      </c>
      <c r="BH590" t="s">
        <v>10854</v>
      </c>
      <c r="BI590">
        <v>33</v>
      </c>
      <c r="BJ590" t="s">
        <v>694</v>
      </c>
      <c r="BK590" t="s">
        <v>102</v>
      </c>
      <c r="BL590" t="s">
        <v>695</v>
      </c>
      <c r="BM590" t="s">
        <v>11797</v>
      </c>
      <c r="BN590" t="s">
        <v>74</v>
      </c>
      <c r="BO590" t="s">
        <v>560</v>
      </c>
      <c r="BP590" t="s">
        <v>74</v>
      </c>
      <c r="BQ590" t="s">
        <v>74</v>
      </c>
      <c r="BR590" t="s">
        <v>106</v>
      </c>
      <c r="BS590" t="s">
        <v>11798</v>
      </c>
      <c r="BT590" t="str">
        <f>HYPERLINK("https%3A%2F%2Fwww.webofscience.com%2Fwos%2Fwoscc%2Ffull-record%2FWOS:000534656900001","View Full Record in Web of Science")</f>
        <v>View Full Record in Web of Science</v>
      </c>
    </row>
    <row r="591" spans="1:72" x14ac:dyDescent="0.15">
      <c r="A591" t="s">
        <v>72</v>
      </c>
      <c r="B591" t="s">
        <v>11799</v>
      </c>
      <c r="C591" t="s">
        <v>74</v>
      </c>
      <c r="D591" t="s">
        <v>74</v>
      </c>
      <c r="E591" t="s">
        <v>74</v>
      </c>
      <c r="F591" t="s">
        <v>11800</v>
      </c>
      <c r="G591" t="s">
        <v>74</v>
      </c>
      <c r="H591" t="s">
        <v>74</v>
      </c>
      <c r="I591" t="s">
        <v>11801</v>
      </c>
      <c r="J591" t="s">
        <v>1783</v>
      </c>
      <c r="K591" t="s">
        <v>74</v>
      </c>
      <c r="L591" t="s">
        <v>74</v>
      </c>
      <c r="M591" t="s">
        <v>78</v>
      </c>
      <c r="N591" t="s">
        <v>79</v>
      </c>
      <c r="O591" t="s">
        <v>74</v>
      </c>
      <c r="P591" t="s">
        <v>74</v>
      </c>
      <c r="Q591" t="s">
        <v>74</v>
      </c>
      <c r="R591" t="s">
        <v>74</v>
      </c>
      <c r="S591" t="s">
        <v>74</v>
      </c>
      <c r="T591" t="s">
        <v>11802</v>
      </c>
      <c r="U591" t="s">
        <v>11803</v>
      </c>
      <c r="V591" t="s">
        <v>11804</v>
      </c>
      <c r="W591" t="s">
        <v>11805</v>
      </c>
      <c r="X591" t="s">
        <v>11806</v>
      </c>
      <c r="Y591" t="s">
        <v>11807</v>
      </c>
      <c r="Z591" t="s">
        <v>11808</v>
      </c>
      <c r="AA591" t="s">
        <v>11809</v>
      </c>
      <c r="AB591" t="s">
        <v>11810</v>
      </c>
      <c r="AC591" t="s">
        <v>11811</v>
      </c>
      <c r="AD591" t="s">
        <v>11811</v>
      </c>
      <c r="AE591" t="s">
        <v>11812</v>
      </c>
      <c r="AF591" t="s">
        <v>74</v>
      </c>
      <c r="AG591">
        <v>22</v>
      </c>
      <c r="AH591">
        <v>0</v>
      </c>
      <c r="AI591">
        <v>0</v>
      </c>
      <c r="AJ591">
        <v>1</v>
      </c>
      <c r="AK591">
        <v>4</v>
      </c>
      <c r="AL591" t="s">
        <v>1440</v>
      </c>
      <c r="AM591" t="s">
        <v>399</v>
      </c>
      <c r="AN591" t="s">
        <v>1441</v>
      </c>
      <c r="AO591" t="s">
        <v>1796</v>
      </c>
      <c r="AP591" t="s">
        <v>1797</v>
      </c>
      <c r="AQ591" t="s">
        <v>74</v>
      </c>
      <c r="AR591" t="s">
        <v>1798</v>
      </c>
      <c r="AS591" t="s">
        <v>1799</v>
      </c>
      <c r="AT591" t="s">
        <v>3950</v>
      </c>
      <c r="AU591">
        <v>2020</v>
      </c>
      <c r="AV591">
        <v>43</v>
      </c>
      <c r="AW591">
        <v>7</v>
      </c>
      <c r="AX591" t="s">
        <v>74</v>
      </c>
      <c r="AY591" t="s">
        <v>74</v>
      </c>
      <c r="AZ591" t="s">
        <v>74</v>
      </c>
      <c r="BA591" t="s">
        <v>74</v>
      </c>
      <c r="BB591">
        <v>887</v>
      </c>
      <c r="BC591">
        <v>891</v>
      </c>
      <c r="BD591" t="s">
        <v>74</v>
      </c>
      <c r="BE591" t="s">
        <v>11813</v>
      </c>
      <c r="BF591" t="str">
        <f>HYPERLINK("http://dx.doi.org/10.1007/s00300-020-02678-3","http://dx.doi.org/10.1007/s00300-020-02678-3")</f>
        <v>http://dx.doi.org/10.1007/s00300-020-02678-3</v>
      </c>
      <c r="BG591" t="s">
        <v>74</v>
      </c>
      <c r="BH591" t="s">
        <v>10854</v>
      </c>
      <c r="BI591">
        <v>5</v>
      </c>
      <c r="BJ591" t="s">
        <v>1004</v>
      </c>
      <c r="BK591" t="s">
        <v>102</v>
      </c>
      <c r="BL591" t="s">
        <v>1005</v>
      </c>
      <c r="BM591" t="s">
        <v>6677</v>
      </c>
      <c r="BN591" t="s">
        <v>74</v>
      </c>
      <c r="BO591" t="s">
        <v>74</v>
      </c>
      <c r="BP591" t="s">
        <v>74</v>
      </c>
      <c r="BQ591" t="s">
        <v>74</v>
      </c>
      <c r="BR591" t="s">
        <v>106</v>
      </c>
      <c r="BS591" t="s">
        <v>11814</v>
      </c>
      <c r="BT591" t="str">
        <f>HYPERLINK("https%3A%2F%2Fwww.webofscience.com%2Fwos%2Fwoscc%2Ffull-record%2FWOS:000534192600001","View Full Record in Web of Science")</f>
        <v>View Full Record in Web of Science</v>
      </c>
    </row>
    <row r="592" spans="1:72" x14ac:dyDescent="0.15">
      <c r="A592" t="s">
        <v>72</v>
      </c>
      <c r="B592" t="s">
        <v>11815</v>
      </c>
      <c r="C592" t="s">
        <v>74</v>
      </c>
      <c r="D592" t="s">
        <v>74</v>
      </c>
      <c r="E592" t="s">
        <v>74</v>
      </c>
      <c r="F592" t="s">
        <v>11816</v>
      </c>
      <c r="G592" t="s">
        <v>74</v>
      </c>
      <c r="H592" t="s">
        <v>74</v>
      </c>
      <c r="I592" t="s">
        <v>11817</v>
      </c>
      <c r="J592" t="s">
        <v>1783</v>
      </c>
      <c r="K592" t="s">
        <v>74</v>
      </c>
      <c r="L592" t="s">
        <v>74</v>
      </c>
      <c r="M592" t="s">
        <v>78</v>
      </c>
      <c r="N592" t="s">
        <v>79</v>
      </c>
      <c r="O592" t="s">
        <v>74</v>
      </c>
      <c r="P592" t="s">
        <v>74</v>
      </c>
      <c r="Q592" t="s">
        <v>74</v>
      </c>
      <c r="R592" t="s">
        <v>74</v>
      </c>
      <c r="S592" t="s">
        <v>74</v>
      </c>
      <c r="T592" t="s">
        <v>11818</v>
      </c>
      <c r="U592" t="s">
        <v>74</v>
      </c>
      <c r="V592" t="s">
        <v>11819</v>
      </c>
      <c r="W592" t="s">
        <v>11820</v>
      </c>
      <c r="X592" t="s">
        <v>11821</v>
      </c>
      <c r="Y592" t="s">
        <v>11822</v>
      </c>
      <c r="Z592" t="s">
        <v>11823</v>
      </c>
      <c r="AA592" t="s">
        <v>11824</v>
      </c>
      <c r="AB592" t="s">
        <v>11825</v>
      </c>
      <c r="AC592" t="s">
        <v>11826</v>
      </c>
      <c r="AD592" t="s">
        <v>11827</v>
      </c>
      <c r="AE592" t="s">
        <v>11828</v>
      </c>
      <c r="AF592" t="s">
        <v>74</v>
      </c>
      <c r="AG592">
        <v>29</v>
      </c>
      <c r="AH592">
        <v>9</v>
      </c>
      <c r="AI592">
        <v>10</v>
      </c>
      <c r="AJ592">
        <v>1</v>
      </c>
      <c r="AK592">
        <v>12</v>
      </c>
      <c r="AL592" t="s">
        <v>1440</v>
      </c>
      <c r="AM592" t="s">
        <v>399</v>
      </c>
      <c r="AN592" t="s">
        <v>1441</v>
      </c>
      <c r="AO592" t="s">
        <v>1796</v>
      </c>
      <c r="AP592" t="s">
        <v>1797</v>
      </c>
      <c r="AQ592" t="s">
        <v>74</v>
      </c>
      <c r="AR592" t="s">
        <v>1798</v>
      </c>
      <c r="AS592" t="s">
        <v>1799</v>
      </c>
      <c r="AT592" t="s">
        <v>3950</v>
      </c>
      <c r="AU592">
        <v>2020</v>
      </c>
      <c r="AV592">
        <v>43</v>
      </c>
      <c r="AW592">
        <v>7</v>
      </c>
      <c r="AX592" t="s">
        <v>74</v>
      </c>
      <c r="AY592" t="s">
        <v>74</v>
      </c>
      <c r="AZ592" t="s">
        <v>74</v>
      </c>
      <c r="BA592" t="s">
        <v>74</v>
      </c>
      <c r="BB592">
        <v>899</v>
      </c>
      <c r="BC592">
        <v>902</v>
      </c>
      <c r="BD592" t="s">
        <v>74</v>
      </c>
      <c r="BE592" t="s">
        <v>11829</v>
      </c>
      <c r="BF592" t="str">
        <f>HYPERLINK("http://dx.doi.org/10.1007/s00300-020-02680-9","http://dx.doi.org/10.1007/s00300-020-02680-9")</f>
        <v>http://dx.doi.org/10.1007/s00300-020-02680-9</v>
      </c>
      <c r="BG592" t="s">
        <v>74</v>
      </c>
      <c r="BH592" t="s">
        <v>10854</v>
      </c>
      <c r="BI592">
        <v>4</v>
      </c>
      <c r="BJ592" t="s">
        <v>1004</v>
      </c>
      <c r="BK592" t="s">
        <v>102</v>
      </c>
      <c r="BL592" t="s">
        <v>1005</v>
      </c>
      <c r="BM592" t="s">
        <v>6677</v>
      </c>
      <c r="BN592" t="s">
        <v>74</v>
      </c>
      <c r="BO592" t="s">
        <v>74</v>
      </c>
      <c r="BP592" t="s">
        <v>74</v>
      </c>
      <c r="BQ592" t="s">
        <v>74</v>
      </c>
      <c r="BR592" t="s">
        <v>106</v>
      </c>
      <c r="BS592" t="s">
        <v>11830</v>
      </c>
      <c r="BT592" t="str">
        <f>HYPERLINK("https%3A%2F%2Fwww.webofscience.com%2Fwos%2Fwoscc%2Ffull-record%2FWOS:000534192600002","View Full Record in Web of Science")</f>
        <v>View Full Record in Web of Science</v>
      </c>
    </row>
    <row r="593" spans="1:72" x14ac:dyDescent="0.15">
      <c r="A593" t="s">
        <v>72</v>
      </c>
      <c r="B593" t="s">
        <v>11831</v>
      </c>
      <c r="C593" t="s">
        <v>74</v>
      </c>
      <c r="D593" t="s">
        <v>74</v>
      </c>
      <c r="E593" t="s">
        <v>74</v>
      </c>
      <c r="F593" t="s">
        <v>11832</v>
      </c>
      <c r="G593" t="s">
        <v>74</v>
      </c>
      <c r="H593" t="s">
        <v>74</v>
      </c>
      <c r="I593" t="s">
        <v>11833</v>
      </c>
      <c r="J593" t="s">
        <v>11834</v>
      </c>
      <c r="K593" t="s">
        <v>74</v>
      </c>
      <c r="L593" t="s">
        <v>74</v>
      </c>
      <c r="M593" t="s">
        <v>78</v>
      </c>
      <c r="N593" t="s">
        <v>245</v>
      </c>
      <c r="O593" t="s">
        <v>74</v>
      </c>
      <c r="P593" t="s">
        <v>74</v>
      </c>
      <c r="Q593" t="s">
        <v>74</v>
      </c>
      <c r="R593" t="s">
        <v>74</v>
      </c>
      <c r="S593" t="s">
        <v>74</v>
      </c>
      <c r="T593" t="s">
        <v>11835</v>
      </c>
      <c r="U593" t="s">
        <v>11836</v>
      </c>
      <c r="V593" t="s">
        <v>11837</v>
      </c>
      <c r="W593" t="s">
        <v>11838</v>
      </c>
      <c r="X593" t="s">
        <v>11839</v>
      </c>
      <c r="Y593" t="s">
        <v>11840</v>
      </c>
      <c r="Z593" t="s">
        <v>3027</v>
      </c>
      <c r="AA593" t="s">
        <v>11841</v>
      </c>
      <c r="AB593" t="s">
        <v>11842</v>
      </c>
      <c r="AC593" t="s">
        <v>11843</v>
      </c>
      <c r="AD593" t="s">
        <v>11844</v>
      </c>
      <c r="AE593" t="s">
        <v>11845</v>
      </c>
      <c r="AF593" t="s">
        <v>74</v>
      </c>
      <c r="AG593">
        <v>196</v>
      </c>
      <c r="AH593">
        <v>171</v>
      </c>
      <c r="AI593">
        <v>182</v>
      </c>
      <c r="AJ593">
        <v>19</v>
      </c>
      <c r="AK593">
        <v>120</v>
      </c>
      <c r="AL593" t="s">
        <v>994</v>
      </c>
      <c r="AM593" t="s">
        <v>995</v>
      </c>
      <c r="AN593" t="s">
        <v>996</v>
      </c>
      <c r="AO593" t="s">
        <v>11846</v>
      </c>
      <c r="AP593" t="s">
        <v>11847</v>
      </c>
      <c r="AQ593" t="s">
        <v>74</v>
      </c>
      <c r="AR593" t="s">
        <v>11848</v>
      </c>
      <c r="AS593" t="s">
        <v>11849</v>
      </c>
      <c r="AT593" t="s">
        <v>3950</v>
      </c>
      <c r="AU593">
        <v>2020</v>
      </c>
      <c r="AV593">
        <v>11</v>
      </c>
      <c r="AW593">
        <v>4</v>
      </c>
      <c r="AX593" t="s">
        <v>74</v>
      </c>
      <c r="AY593" t="s">
        <v>74</v>
      </c>
      <c r="AZ593" t="s">
        <v>74</v>
      </c>
      <c r="BA593" t="s">
        <v>74</v>
      </c>
      <c r="BB593" t="s">
        <v>74</v>
      </c>
      <c r="BC593" t="s">
        <v>74</v>
      </c>
      <c r="BD593" t="s">
        <v>11850</v>
      </c>
      <c r="BE593" t="s">
        <v>11851</v>
      </c>
      <c r="BF593" t="str">
        <f>HYPERLINK("http://dx.doi.org/10.1002/wcc.652","http://dx.doi.org/10.1002/wcc.652")</f>
        <v>http://dx.doi.org/10.1002/wcc.652</v>
      </c>
      <c r="BG593" t="s">
        <v>74</v>
      </c>
      <c r="BH593" t="s">
        <v>10854</v>
      </c>
      <c r="BI593">
        <v>24</v>
      </c>
      <c r="BJ593" t="s">
        <v>11852</v>
      </c>
      <c r="BK593" t="s">
        <v>925</v>
      </c>
      <c r="BL593" t="s">
        <v>2069</v>
      </c>
      <c r="BM593" t="s">
        <v>11853</v>
      </c>
      <c r="BN593" t="s">
        <v>74</v>
      </c>
      <c r="BO593" t="s">
        <v>1657</v>
      </c>
      <c r="BP593" t="s">
        <v>162</v>
      </c>
      <c r="BQ593" t="s">
        <v>163</v>
      </c>
      <c r="BR593" t="s">
        <v>106</v>
      </c>
      <c r="BS593" t="s">
        <v>11854</v>
      </c>
      <c r="BT593" t="str">
        <f>HYPERLINK("https%3A%2F%2Fwww.webofscience.com%2Fwos%2Fwoscc%2Ffull-record%2FWOS:000534535000001","View Full Record in Web of Science")</f>
        <v>View Full Record in Web of Science</v>
      </c>
    </row>
    <row r="594" spans="1:72" x14ac:dyDescent="0.15">
      <c r="A594" t="s">
        <v>72</v>
      </c>
      <c r="B594" t="s">
        <v>11855</v>
      </c>
      <c r="C594" t="s">
        <v>74</v>
      </c>
      <c r="D594" t="s">
        <v>74</v>
      </c>
      <c r="E594" t="s">
        <v>74</v>
      </c>
      <c r="F594" t="s">
        <v>11856</v>
      </c>
      <c r="G594" t="s">
        <v>74</v>
      </c>
      <c r="H594" t="s">
        <v>74</v>
      </c>
      <c r="I594" t="s">
        <v>11857</v>
      </c>
      <c r="J594" t="s">
        <v>1106</v>
      </c>
      <c r="K594" t="s">
        <v>74</v>
      </c>
      <c r="L594" t="s">
        <v>74</v>
      </c>
      <c r="M594" t="s">
        <v>78</v>
      </c>
      <c r="N594" t="s">
        <v>79</v>
      </c>
      <c r="O594" t="s">
        <v>74</v>
      </c>
      <c r="P594" t="s">
        <v>74</v>
      </c>
      <c r="Q594" t="s">
        <v>74</v>
      </c>
      <c r="R594" t="s">
        <v>74</v>
      </c>
      <c r="S594" t="s">
        <v>74</v>
      </c>
      <c r="T594" t="s">
        <v>74</v>
      </c>
      <c r="U594" t="s">
        <v>11858</v>
      </c>
      <c r="V594" t="s">
        <v>11859</v>
      </c>
      <c r="W594" t="s">
        <v>11860</v>
      </c>
      <c r="X594" t="s">
        <v>11861</v>
      </c>
      <c r="Y594" t="s">
        <v>11862</v>
      </c>
      <c r="Z594" t="s">
        <v>11863</v>
      </c>
      <c r="AA594" t="s">
        <v>11864</v>
      </c>
      <c r="AB594" t="s">
        <v>11865</v>
      </c>
      <c r="AC594" t="s">
        <v>11866</v>
      </c>
      <c r="AD594" t="s">
        <v>11867</v>
      </c>
      <c r="AE594" t="s">
        <v>11868</v>
      </c>
      <c r="AF594" t="s">
        <v>74</v>
      </c>
      <c r="AG594">
        <v>63</v>
      </c>
      <c r="AH594">
        <v>11</v>
      </c>
      <c r="AI594">
        <v>12</v>
      </c>
      <c r="AJ594">
        <v>3</v>
      </c>
      <c r="AK594">
        <v>7</v>
      </c>
      <c r="AL594" t="s">
        <v>1118</v>
      </c>
      <c r="AM594" t="s">
        <v>1119</v>
      </c>
      <c r="AN594" t="s">
        <v>1120</v>
      </c>
      <c r="AO594" t="s">
        <v>1121</v>
      </c>
      <c r="AP594" t="s">
        <v>74</v>
      </c>
      <c r="AQ594" t="s">
        <v>74</v>
      </c>
      <c r="AR594" t="s">
        <v>1122</v>
      </c>
      <c r="AS594" t="s">
        <v>1123</v>
      </c>
      <c r="AT594" t="s">
        <v>11869</v>
      </c>
      <c r="AU594">
        <v>2020</v>
      </c>
      <c r="AV594">
        <v>10</v>
      </c>
      <c r="AW594">
        <v>1</v>
      </c>
      <c r="AX594" t="s">
        <v>74</v>
      </c>
      <c r="AY594" t="s">
        <v>74</v>
      </c>
      <c r="AZ594" t="s">
        <v>74</v>
      </c>
      <c r="BA594" t="s">
        <v>74</v>
      </c>
      <c r="BB594" t="s">
        <v>74</v>
      </c>
      <c r="BC594" t="s">
        <v>74</v>
      </c>
      <c r="BD594">
        <v>8199</v>
      </c>
      <c r="BE594" t="s">
        <v>11870</v>
      </c>
      <c r="BF594" t="str">
        <f>HYPERLINK("http://dx.doi.org/10.1038/s41598-020-64662-5","http://dx.doi.org/10.1038/s41598-020-64662-5")</f>
        <v>http://dx.doi.org/10.1038/s41598-020-64662-5</v>
      </c>
      <c r="BG594" t="s">
        <v>74</v>
      </c>
      <c r="BH594" t="s">
        <v>74</v>
      </c>
      <c r="BI594">
        <v>11</v>
      </c>
      <c r="BJ594" t="s">
        <v>1125</v>
      </c>
      <c r="BK594" t="s">
        <v>102</v>
      </c>
      <c r="BL594" t="s">
        <v>1126</v>
      </c>
      <c r="BM594" t="s">
        <v>11871</v>
      </c>
      <c r="BN594">
        <v>32424226</v>
      </c>
      <c r="BO594" t="s">
        <v>2956</v>
      </c>
      <c r="BP594" t="s">
        <v>74</v>
      </c>
      <c r="BQ594" t="s">
        <v>74</v>
      </c>
      <c r="BR594" t="s">
        <v>106</v>
      </c>
      <c r="BS594" t="s">
        <v>11872</v>
      </c>
      <c r="BT594" t="str">
        <f>HYPERLINK("https%3A%2F%2Fwww.webofscience.com%2Fwos%2Fwoscc%2Ffull-record%2FWOS:000540544000011","View Full Record in Web of Science")</f>
        <v>View Full Record in Web of Science</v>
      </c>
    </row>
    <row r="595" spans="1:72" x14ac:dyDescent="0.15">
      <c r="A595" t="s">
        <v>72</v>
      </c>
      <c r="B595" t="s">
        <v>11873</v>
      </c>
      <c r="C595" t="s">
        <v>74</v>
      </c>
      <c r="D595" t="s">
        <v>74</v>
      </c>
      <c r="E595" t="s">
        <v>74</v>
      </c>
      <c r="F595" t="s">
        <v>11874</v>
      </c>
      <c r="G595" t="s">
        <v>74</v>
      </c>
      <c r="H595" t="s">
        <v>74</v>
      </c>
      <c r="I595" t="s">
        <v>11875</v>
      </c>
      <c r="J595" t="s">
        <v>5774</v>
      </c>
      <c r="K595" t="s">
        <v>74</v>
      </c>
      <c r="L595" t="s">
        <v>74</v>
      </c>
      <c r="M595" t="s">
        <v>78</v>
      </c>
      <c r="N595" t="s">
        <v>79</v>
      </c>
      <c r="O595" t="s">
        <v>74</v>
      </c>
      <c r="P595" t="s">
        <v>74</v>
      </c>
      <c r="Q595" t="s">
        <v>74</v>
      </c>
      <c r="R595" t="s">
        <v>74</v>
      </c>
      <c r="S595" t="s">
        <v>74</v>
      </c>
      <c r="T595" t="s">
        <v>74</v>
      </c>
      <c r="U595" t="s">
        <v>11876</v>
      </c>
      <c r="V595" t="s">
        <v>11877</v>
      </c>
      <c r="W595" t="s">
        <v>11878</v>
      </c>
      <c r="X595" t="s">
        <v>11879</v>
      </c>
      <c r="Y595" t="s">
        <v>11880</v>
      </c>
      <c r="Z595" t="s">
        <v>11881</v>
      </c>
      <c r="AA595" t="s">
        <v>11882</v>
      </c>
      <c r="AB595" t="s">
        <v>11883</v>
      </c>
      <c r="AC595" t="s">
        <v>11884</v>
      </c>
      <c r="AD595" t="s">
        <v>11885</v>
      </c>
      <c r="AE595" t="s">
        <v>11886</v>
      </c>
      <c r="AF595" t="s">
        <v>74</v>
      </c>
      <c r="AG595">
        <v>85</v>
      </c>
      <c r="AH595">
        <v>52</v>
      </c>
      <c r="AI595">
        <v>52</v>
      </c>
      <c r="AJ595">
        <v>1</v>
      </c>
      <c r="AK595">
        <v>36</v>
      </c>
      <c r="AL595" t="s">
        <v>1118</v>
      </c>
      <c r="AM595" t="s">
        <v>1119</v>
      </c>
      <c r="AN595" t="s">
        <v>1120</v>
      </c>
      <c r="AO595" t="s">
        <v>5782</v>
      </c>
      <c r="AP595" t="s">
        <v>5783</v>
      </c>
      <c r="AQ595" t="s">
        <v>74</v>
      </c>
      <c r="AR595" t="s">
        <v>5784</v>
      </c>
      <c r="AS595" t="s">
        <v>5785</v>
      </c>
      <c r="AT595" t="s">
        <v>7663</v>
      </c>
      <c r="AU595">
        <v>2020</v>
      </c>
      <c r="AV595">
        <v>10</v>
      </c>
      <c r="AW595">
        <v>6</v>
      </c>
      <c r="AX595" t="s">
        <v>74</v>
      </c>
      <c r="AY595" t="s">
        <v>74</v>
      </c>
      <c r="AZ595" t="s">
        <v>74</v>
      </c>
      <c r="BA595" t="s">
        <v>74</v>
      </c>
      <c r="BB595">
        <v>568</v>
      </c>
      <c r="BC595" t="s">
        <v>1244</v>
      </c>
      <c r="BD595" t="s">
        <v>74</v>
      </c>
      <c r="BE595" t="s">
        <v>11887</v>
      </c>
      <c r="BF595" t="str">
        <f>HYPERLINK("http://dx.doi.org/10.1038/s41558-020-0758-4","http://dx.doi.org/10.1038/s41558-020-0758-4")</f>
        <v>http://dx.doi.org/10.1038/s41558-020-0758-4</v>
      </c>
      <c r="BG595" t="s">
        <v>74</v>
      </c>
      <c r="BH595" t="s">
        <v>10854</v>
      </c>
      <c r="BI595">
        <v>17</v>
      </c>
      <c r="BJ595" t="s">
        <v>5787</v>
      </c>
      <c r="BK595" t="s">
        <v>925</v>
      </c>
      <c r="BL595" t="s">
        <v>2069</v>
      </c>
      <c r="BM595" t="s">
        <v>9920</v>
      </c>
      <c r="BN595" t="s">
        <v>74</v>
      </c>
      <c r="BO595" t="s">
        <v>294</v>
      </c>
      <c r="BP595" t="s">
        <v>74</v>
      </c>
      <c r="BQ595" t="s">
        <v>74</v>
      </c>
      <c r="BR595" t="s">
        <v>106</v>
      </c>
      <c r="BS595" t="s">
        <v>11888</v>
      </c>
      <c r="BT595" t="str">
        <f>HYPERLINK("https%3A%2F%2Fwww.webofscience.com%2Fwos%2Fwoscc%2Ffull-record%2FWOS:000534778800003","View Full Record in Web of Science")</f>
        <v>View Full Record in Web of Science</v>
      </c>
    </row>
    <row r="596" spans="1:72" x14ac:dyDescent="0.15">
      <c r="A596" t="s">
        <v>72</v>
      </c>
      <c r="B596" t="s">
        <v>11889</v>
      </c>
      <c r="C596" t="s">
        <v>74</v>
      </c>
      <c r="D596" t="s">
        <v>74</v>
      </c>
      <c r="E596" t="s">
        <v>74</v>
      </c>
      <c r="F596" t="s">
        <v>11890</v>
      </c>
      <c r="G596" t="s">
        <v>74</v>
      </c>
      <c r="H596" t="s">
        <v>74</v>
      </c>
      <c r="I596" t="s">
        <v>11891</v>
      </c>
      <c r="J596" t="s">
        <v>2318</v>
      </c>
      <c r="K596" t="s">
        <v>74</v>
      </c>
      <c r="L596" t="s">
        <v>74</v>
      </c>
      <c r="M596" t="s">
        <v>78</v>
      </c>
      <c r="N596" t="s">
        <v>79</v>
      </c>
      <c r="O596" t="s">
        <v>74</v>
      </c>
      <c r="P596" t="s">
        <v>74</v>
      </c>
      <c r="Q596" t="s">
        <v>74</v>
      </c>
      <c r="R596" t="s">
        <v>74</v>
      </c>
      <c r="S596" t="s">
        <v>74</v>
      </c>
      <c r="T596" t="s">
        <v>74</v>
      </c>
      <c r="U596" t="s">
        <v>11892</v>
      </c>
      <c r="V596" t="s">
        <v>11893</v>
      </c>
      <c r="W596" t="s">
        <v>11894</v>
      </c>
      <c r="X596" t="s">
        <v>11895</v>
      </c>
      <c r="Y596" t="s">
        <v>11896</v>
      </c>
      <c r="Z596" t="s">
        <v>11897</v>
      </c>
      <c r="AA596" t="s">
        <v>11898</v>
      </c>
      <c r="AB596" t="s">
        <v>74</v>
      </c>
      <c r="AC596" t="s">
        <v>11899</v>
      </c>
      <c r="AD596" t="s">
        <v>11900</v>
      </c>
      <c r="AE596" t="s">
        <v>11901</v>
      </c>
      <c r="AF596" t="s">
        <v>74</v>
      </c>
      <c r="AG596">
        <v>61</v>
      </c>
      <c r="AH596">
        <v>11</v>
      </c>
      <c r="AI596">
        <v>12</v>
      </c>
      <c r="AJ596">
        <v>1</v>
      </c>
      <c r="AK596">
        <v>24</v>
      </c>
      <c r="AL596" t="s">
        <v>1440</v>
      </c>
      <c r="AM596" t="s">
        <v>399</v>
      </c>
      <c r="AN596" t="s">
        <v>1441</v>
      </c>
      <c r="AO596" t="s">
        <v>2331</v>
      </c>
      <c r="AP596" t="s">
        <v>2332</v>
      </c>
      <c r="AQ596" t="s">
        <v>74</v>
      </c>
      <c r="AR596" t="s">
        <v>2333</v>
      </c>
      <c r="AS596" t="s">
        <v>2334</v>
      </c>
      <c r="AT596" t="s">
        <v>99</v>
      </c>
      <c r="AU596">
        <v>2020</v>
      </c>
      <c r="AV596">
        <v>55</v>
      </c>
      <c r="AW596" t="s">
        <v>8004</v>
      </c>
      <c r="AX596" t="s">
        <v>74</v>
      </c>
      <c r="AY596" t="s">
        <v>74</v>
      </c>
      <c r="AZ596" t="s">
        <v>74</v>
      </c>
      <c r="BA596" t="s">
        <v>74</v>
      </c>
      <c r="BB596">
        <v>771</v>
      </c>
      <c r="BC596">
        <v>787</v>
      </c>
      <c r="BD596" t="s">
        <v>74</v>
      </c>
      <c r="BE596" t="s">
        <v>11902</v>
      </c>
      <c r="BF596" t="str">
        <f>HYPERLINK("http://dx.doi.org/10.1007/s00382-020-05294-3","http://dx.doi.org/10.1007/s00382-020-05294-3")</f>
        <v>http://dx.doi.org/10.1007/s00382-020-05294-3</v>
      </c>
      <c r="BG596" t="s">
        <v>74</v>
      </c>
      <c r="BH596" t="s">
        <v>10854</v>
      </c>
      <c r="BI596">
        <v>17</v>
      </c>
      <c r="BJ596" t="s">
        <v>159</v>
      </c>
      <c r="BK596" t="s">
        <v>102</v>
      </c>
      <c r="BL596" t="s">
        <v>159</v>
      </c>
      <c r="BM596" t="s">
        <v>11903</v>
      </c>
      <c r="BN596" t="s">
        <v>74</v>
      </c>
      <c r="BO596" t="s">
        <v>74</v>
      </c>
      <c r="BP596" t="s">
        <v>74</v>
      </c>
      <c r="BQ596" t="s">
        <v>74</v>
      </c>
      <c r="BR596" t="s">
        <v>106</v>
      </c>
      <c r="BS596" t="s">
        <v>11904</v>
      </c>
      <c r="BT596" t="str">
        <f>HYPERLINK("https%3A%2F%2Fwww.webofscience.com%2Fwos%2Fwoscc%2Ffull-record%2FWOS:000534115200002","View Full Record in Web of Science")</f>
        <v>View Full Record in Web of Science</v>
      </c>
    </row>
    <row r="597" spans="1:72" x14ac:dyDescent="0.15">
      <c r="A597" t="s">
        <v>72</v>
      </c>
      <c r="B597" t="s">
        <v>11905</v>
      </c>
      <c r="C597" t="s">
        <v>74</v>
      </c>
      <c r="D597" t="s">
        <v>74</v>
      </c>
      <c r="E597" t="s">
        <v>74</v>
      </c>
      <c r="F597" t="s">
        <v>11906</v>
      </c>
      <c r="G597" t="s">
        <v>74</v>
      </c>
      <c r="H597" t="s">
        <v>74</v>
      </c>
      <c r="I597" t="s">
        <v>11907</v>
      </c>
      <c r="J597" t="s">
        <v>1505</v>
      </c>
      <c r="K597" t="s">
        <v>74</v>
      </c>
      <c r="L597" t="s">
        <v>74</v>
      </c>
      <c r="M597" t="s">
        <v>78</v>
      </c>
      <c r="N597" t="s">
        <v>79</v>
      </c>
      <c r="O597" t="s">
        <v>74</v>
      </c>
      <c r="P597" t="s">
        <v>74</v>
      </c>
      <c r="Q597" t="s">
        <v>74</v>
      </c>
      <c r="R597" t="s">
        <v>74</v>
      </c>
      <c r="S597" t="s">
        <v>74</v>
      </c>
      <c r="T597" t="s">
        <v>11908</v>
      </c>
      <c r="U597" t="s">
        <v>11909</v>
      </c>
      <c r="V597" t="s">
        <v>11910</v>
      </c>
      <c r="W597" t="s">
        <v>11911</v>
      </c>
      <c r="X597" t="s">
        <v>11912</v>
      </c>
      <c r="Y597" t="s">
        <v>11913</v>
      </c>
      <c r="Z597" t="s">
        <v>11914</v>
      </c>
      <c r="AA597" t="s">
        <v>11915</v>
      </c>
      <c r="AB597" t="s">
        <v>11916</v>
      </c>
      <c r="AC597" t="s">
        <v>11917</v>
      </c>
      <c r="AD597" t="s">
        <v>11918</v>
      </c>
      <c r="AE597" t="s">
        <v>11919</v>
      </c>
      <c r="AF597" t="s">
        <v>74</v>
      </c>
      <c r="AG597">
        <v>40</v>
      </c>
      <c r="AH597">
        <v>46</v>
      </c>
      <c r="AI597">
        <v>48</v>
      </c>
      <c r="AJ597">
        <v>0</v>
      </c>
      <c r="AK597">
        <v>4</v>
      </c>
      <c r="AL597" t="s">
        <v>151</v>
      </c>
      <c r="AM597" t="s">
        <v>152</v>
      </c>
      <c r="AN597" t="s">
        <v>153</v>
      </c>
      <c r="AO597" t="s">
        <v>1517</v>
      </c>
      <c r="AP597" t="s">
        <v>1518</v>
      </c>
      <c r="AQ597" t="s">
        <v>74</v>
      </c>
      <c r="AR597" t="s">
        <v>1519</v>
      </c>
      <c r="AS597" t="s">
        <v>1520</v>
      </c>
      <c r="AT597" t="s">
        <v>11920</v>
      </c>
      <c r="AU597">
        <v>2020</v>
      </c>
      <c r="AV597">
        <v>47</v>
      </c>
      <c r="AW597">
        <v>11</v>
      </c>
      <c r="AX597" t="s">
        <v>74</v>
      </c>
      <c r="AY597" t="s">
        <v>74</v>
      </c>
      <c r="AZ597" t="s">
        <v>74</v>
      </c>
      <c r="BA597" t="s">
        <v>74</v>
      </c>
      <c r="BB597" t="s">
        <v>74</v>
      </c>
      <c r="BC597" t="s">
        <v>74</v>
      </c>
      <c r="BD597" t="s">
        <v>11921</v>
      </c>
      <c r="BE597" t="s">
        <v>11922</v>
      </c>
      <c r="BF597" t="str">
        <f>HYPERLINK("http://dx.doi.org/10.1029/2020GL087311","http://dx.doi.org/10.1029/2020GL087311")</f>
        <v>http://dx.doi.org/10.1029/2020GL087311</v>
      </c>
      <c r="BG597" t="s">
        <v>74</v>
      </c>
      <c r="BH597" t="s">
        <v>74</v>
      </c>
      <c r="BI597">
        <v>10</v>
      </c>
      <c r="BJ597" t="s">
        <v>471</v>
      </c>
      <c r="BK597" t="s">
        <v>102</v>
      </c>
      <c r="BL597" t="s">
        <v>472</v>
      </c>
      <c r="BM597" t="s">
        <v>11923</v>
      </c>
      <c r="BN597" t="s">
        <v>74</v>
      </c>
      <c r="BO597" t="s">
        <v>3041</v>
      </c>
      <c r="BP597" t="s">
        <v>74</v>
      </c>
      <c r="BQ597" t="s">
        <v>74</v>
      </c>
      <c r="BR597" t="s">
        <v>106</v>
      </c>
      <c r="BS597" t="s">
        <v>11924</v>
      </c>
      <c r="BT597" t="str">
        <f>HYPERLINK("https%3A%2F%2Fwww.webofscience.com%2Fwos%2Fwoscc%2Ffull-record%2FWOS:000544080600001","View Full Record in Web of Science")</f>
        <v>View Full Record in Web of Science</v>
      </c>
    </row>
    <row r="598" spans="1:72" x14ac:dyDescent="0.15">
      <c r="A598" t="s">
        <v>72</v>
      </c>
      <c r="B598" t="s">
        <v>11925</v>
      </c>
      <c r="C598" t="s">
        <v>74</v>
      </c>
      <c r="D598" t="s">
        <v>74</v>
      </c>
      <c r="E598" t="s">
        <v>74</v>
      </c>
      <c r="F598" t="s">
        <v>11926</v>
      </c>
      <c r="G598" t="s">
        <v>74</v>
      </c>
      <c r="H598" t="s">
        <v>74</v>
      </c>
      <c r="I598" t="s">
        <v>11927</v>
      </c>
      <c r="J598" t="s">
        <v>1505</v>
      </c>
      <c r="K598" t="s">
        <v>74</v>
      </c>
      <c r="L598" t="s">
        <v>74</v>
      </c>
      <c r="M598" t="s">
        <v>78</v>
      </c>
      <c r="N598" t="s">
        <v>79</v>
      </c>
      <c r="O598" t="s">
        <v>74</v>
      </c>
      <c r="P598" t="s">
        <v>74</v>
      </c>
      <c r="Q598" t="s">
        <v>74</v>
      </c>
      <c r="R598" t="s">
        <v>74</v>
      </c>
      <c r="S598" t="s">
        <v>74</v>
      </c>
      <c r="T598" t="s">
        <v>11928</v>
      </c>
      <c r="U598" t="s">
        <v>11929</v>
      </c>
      <c r="V598" t="s">
        <v>11930</v>
      </c>
      <c r="W598" t="s">
        <v>11931</v>
      </c>
      <c r="X598" t="s">
        <v>11932</v>
      </c>
      <c r="Y598" t="s">
        <v>11933</v>
      </c>
      <c r="Z598" t="s">
        <v>11934</v>
      </c>
      <c r="AA598" t="s">
        <v>11935</v>
      </c>
      <c r="AB598" t="s">
        <v>11936</v>
      </c>
      <c r="AC598" t="s">
        <v>11937</v>
      </c>
      <c r="AD598" t="s">
        <v>11938</v>
      </c>
      <c r="AE598" t="s">
        <v>11939</v>
      </c>
      <c r="AF598" t="s">
        <v>74</v>
      </c>
      <c r="AG598">
        <v>38</v>
      </c>
      <c r="AH598">
        <v>11</v>
      </c>
      <c r="AI598">
        <v>11</v>
      </c>
      <c r="AJ598">
        <v>0</v>
      </c>
      <c r="AK598">
        <v>5</v>
      </c>
      <c r="AL598" t="s">
        <v>151</v>
      </c>
      <c r="AM598" t="s">
        <v>152</v>
      </c>
      <c r="AN598" t="s">
        <v>153</v>
      </c>
      <c r="AO598" t="s">
        <v>1517</v>
      </c>
      <c r="AP598" t="s">
        <v>1518</v>
      </c>
      <c r="AQ598" t="s">
        <v>74</v>
      </c>
      <c r="AR598" t="s">
        <v>1519</v>
      </c>
      <c r="AS598" t="s">
        <v>1520</v>
      </c>
      <c r="AT598" t="s">
        <v>11920</v>
      </c>
      <c r="AU598">
        <v>2020</v>
      </c>
      <c r="AV598">
        <v>47</v>
      </c>
      <c r="AW598">
        <v>9</v>
      </c>
      <c r="AX598" t="s">
        <v>74</v>
      </c>
      <c r="AY598" t="s">
        <v>74</v>
      </c>
      <c r="AZ598" t="s">
        <v>74</v>
      </c>
      <c r="BA598" t="s">
        <v>74</v>
      </c>
      <c r="BB598" t="s">
        <v>74</v>
      </c>
      <c r="BC598" t="s">
        <v>74</v>
      </c>
      <c r="BD598" t="s">
        <v>11940</v>
      </c>
      <c r="BE598" t="s">
        <v>11941</v>
      </c>
      <c r="BF598" t="str">
        <f>HYPERLINK("http://dx.doi.org/10.1029/2019GL086821","http://dx.doi.org/10.1029/2019GL086821")</f>
        <v>http://dx.doi.org/10.1029/2019GL086821</v>
      </c>
      <c r="BG598" t="s">
        <v>74</v>
      </c>
      <c r="BH598" t="s">
        <v>74</v>
      </c>
      <c r="BI598">
        <v>10</v>
      </c>
      <c r="BJ598" t="s">
        <v>471</v>
      </c>
      <c r="BK598" t="s">
        <v>102</v>
      </c>
      <c r="BL598" t="s">
        <v>472</v>
      </c>
      <c r="BM598" t="s">
        <v>11942</v>
      </c>
      <c r="BN598" t="s">
        <v>74</v>
      </c>
      <c r="BO598" t="s">
        <v>4515</v>
      </c>
      <c r="BP598" t="s">
        <v>74</v>
      </c>
      <c r="BQ598" t="s">
        <v>74</v>
      </c>
      <c r="BR598" t="s">
        <v>106</v>
      </c>
      <c r="BS598" t="s">
        <v>11943</v>
      </c>
      <c r="BT598" t="str">
        <f>HYPERLINK("https%3A%2F%2Fwww.webofscience.com%2Fwos%2Fwoscc%2Ffull-record%2FWOS:000536639500055","View Full Record in Web of Science")</f>
        <v>View Full Record in Web of Science</v>
      </c>
    </row>
    <row r="599" spans="1:72" x14ac:dyDescent="0.15">
      <c r="A599" t="s">
        <v>72</v>
      </c>
      <c r="B599" t="s">
        <v>11944</v>
      </c>
      <c r="C599" t="s">
        <v>74</v>
      </c>
      <c r="D599" t="s">
        <v>74</v>
      </c>
      <c r="E599" t="s">
        <v>74</v>
      </c>
      <c r="F599" t="s">
        <v>11945</v>
      </c>
      <c r="G599" t="s">
        <v>74</v>
      </c>
      <c r="H599" t="s">
        <v>74</v>
      </c>
      <c r="I599" t="s">
        <v>11946</v>
      </c>
      <c r="J599" t="s">
        <v>1505</v>
      </c>
      <c r="K599" t="s">
        <v>74</v>
      </c>
      <c r="L599" t="s">
        <v>74</v>
      </c>
      <c r="M599" t="s">
        <v>78</v>
      </c>
      <c r="N599" t="s">
        <v>79</v>
      </c>
      <c r="O599" t="s">
        <v>74</v>
      </c>
      <c r="P599" t="s">
        <v>74</v>
      </c>
      <c r="Q599" t="s">
        <v>74</v>
      </c>
      <c r="R599" t="s">
        <v>74</v>
      </c>
      <c r="S599" t="s">
        <v>74</v>
      </c>
      <c r="T599" t="s">
        <v>11947</v>
      </c>
      <c r="U599" t="s">
        <v>11948</v>
      </c>
      <c r="V599" t="s">
        <v>11949</v>
      </c>
      <c r="W599" t="s">
        <v>11950</v>
      </c>
      <c r="X599" t="s">
        <v>11951</v>
      </c>
      <c r="Y599" t="s">
        <v>11952</v>
      </c>
      <c r="Z599" t="s">
        <v>11953</v>
      </c>
      <c r="AA599" t="s">
        <v>11954</v>
      </c>
      <c r="AB599" t="s">
        <v>11955</v>
      </c>
      <c r="AC599" t="s">
        <v>11956</v>
      </c>
      <c r="AD599" t="s">
        <v>11957</v>
      </c>
      <c r="AE599" t="s">
        <v>11958</v>
      </c>
      <c r="AF599" t="s">
        <v>74</v>
      </c>
      <c r="AG599">
        <v>57</v>
      </c>
      <c r="AH599">
        <v>12</v>
      </c>
      <c r="AI599">
        <v>12</v>
      </c>
      <c r="AJ599">
        <v>1</v>
      </c>
      <c r="AK599">
        <v>11</v>
      </c>
      <c r="AL599" t="s">
        <v>151</v>
      </c>
      <c r="AM599" t="s">
        <v>152</v>
      </c>
      <c r="AN599" t="s">
        <v>153</v>
      </c>
      <c r="AO599" t="s">
        <v>1517</v>
      </c>
      <c r="AP599" t="s">
        <v>1518</v>
      </c>
      <c r="AQ599" t="s">
        <v>74</v>
      </c>
      <c r="AR599" t="s">
        <v>1519</v>
      </c>
      <c r="AS599" t="s">
        <v>1520</v>
      </c>
      <c r="AT599" t="s">
        <v>11920</v>
      </c>
      <c r="AU599">
        <v>2020</v>
      </c>
      <c r="AV599">
        <v>47</v>
      </c>
      <c r="AW599">
        <v>9</v>
      </c>
      <c r="AX599" t="s">
        <v>74</v>
      </c>
      <c r="AY599" t="s">
        <v>74</v>
      </c>
      <c r="AZ599" t="s">
        <v>74</v>
      </c>
      <c r="BA599" t="s">
        <v>74</v>
      </c>
      <c r="BB599" t="s">
        <v>74</v>
      </c>
      <c r="BC599" t="s">
        <v>74</v>
      </c>
      <c r="BD599" t="s">
        <v>11959</v>
      </c>
      <c r="BE599" t="s">
        <v>11960</v>
      </c>
      <c r="BF599" t="str">
        <f>HYPERLINK("http://dx.doi.org/10.1029/2019GL085992","http://dx.doi.org/10.1029/2019GL085992")</f>
        <v>http://dx.doi.org/10.1029/2019GL085992</v>
      </c>
      <c r="BG599" t="s">
        <v>74</v>
      </c>
      <c r="BH599" t="s">
        <v>74</v>
      </c>
      <c r="BI599">
        <v>11</v>
      </c>
      <c r="BJ599" t="s">
        <v>471</v>
      </c>
      <c r="BK599" t="s">
        <v>102</v>
      </c>
      <c r="BL599" t="s">
        <v>472</v>
      </c>
      <c r="BM599" t="s">
        <v>11942</v>
      </c>
      <c r="BN599" t="s">
        <v>74</v>
      </c>
      <c r="BO599" t="s">
        <v>3180</v>
      </c>
      <c r="BP599" t="s">
        <v>74</v>
      </c>
      <c r="BQ599" t="s">
        <v>74</v>
      </c>
      <c r="BR599" t="s">
        <v>106</v>
      </c>
      <c r="BS599" t="s">
        <v>11961</v>
      </c>
      <c r="BT599" t="str">
        <f>HYPERLINK("https%3A%2F%2Fwww.webofscience.com%2Fwos%2Fwoscc%2Ffull-record%2FWOS:000536639500040","View Full Record in Web of Science")</f>
        <v>View Full Record in Web of Science</v>
      </c>
    </row>
    <row r="600" spans="1:72" x14ac:dyDescent="0.15">
      <c r="A600" t="s">
        <v>72</v>
      </c>
      <c r="B600" t="s">
        <v>11962</v>
      </c>
      <c r="C600" t="s">
        <v>74</v>
      </c>
      <c r="D600" t="s">
        <v>74</v>
      </c>
      <c r="E600" t="s">
        <v>74</v>
      </c>
      <c r="F600" t="s">
        <v>11963</v>
      </c>
      <c r="G600" t="s">
        <v>74</v>
      </c>
      <c r="H600" t="s">
        <v>74</v>
      </c>
      <c r="I600" t="s">
        <v>11964</v>
      </c>
      <c r="J600" t="s">
        <v>1505</v>
      </c>
      <c r="K600" t="s">
        <v>74</v>
      </c>
      <c r="L600" t="s">
        <v>74</v>
      </c>
      <c r="M600" t="s">
        <v>78</v>
      </c>
      <c r="N600" t="s">
        <v>79</v>
      </c>
      <c r="O600" t="s">
        <v>74</v>
      </c>
      <c r="P600" t="s">
        <v>74</v>
      </c>
      <c r="Q600" t="s">
        <v>74</v>
      </c>
      <c r="R600" t="s">
        <v>74</v>
      </c>
      <c r="S600" t="s">
        <v>74</v>
      </c>
      <c r="T600" t="s">
        <v>11965</v>
      </c>
      <c r="U600" t="s">
        <v>11966</v>
      </c>
      <c r="V600" t="s">
        <v>11967</v>
      </c>
      <c r="W600" t="s">
        <v>11968</v>
      </c>
      <c r="X600" t="s">
        <v>11969</v>
      </c>
      <c r="Y600" t="s">
        <v>11970</v>
      </c>
      <c r="Z600" t="s">
        <v>11971</v>
      </c>
      <c r="AA600" t="s">
        <v>11972</v>
      </c>
      <c r="AB600" t="s">
        <v>11973</v>
      </c>
      <c r="AC600" t="s">
        <v>11974</v>
      </c>
      <c r="AD600" t="s">
        <v>11975</v>
      </c>
      <c r="AE600" t="s">
        <v>11976</v>
      </c>
      <c r="AF600" t="s">
        <v>74</v>
      </c>
      <c r="AG600">
        <v>60</v>
      </c>
      <c r="AH600">
        <v>136</v>
      </c>
      <c r="AI600">
        <v>145</v>
      </c>
      <c r="AJ600">
        <v>14</v>
      </c>
      <c r="AK600">
        <v>102</v>
      </c>
      <c r="AL600" t="s">
        <v>151</v>
      </c>
      <c r="AM600" t="s">
        <v>152</v>
      </c>
      <c r="AN600" t="s">
        <v>153</v>
      </c>
      <c r="AO600" t="s">
        <v>1517</v>
      </c>
      <c r="AP600" t="s">
        <v>1518</v>
      </c>
      <c r="AQ600" t="s">
        <v>74</v>
      </c>
      <c r="AR600" t="s">
        <v>1519</v>
      </c>
      <c r="AS600" t="s">
        <v>1520</v>
      </c>
      <c r="AT600" t="s">
        <v>11920</v>
      </c>
      <c r="AU600">
        <v>2020</v>
      </c>
      <c r="AV600">
        <v>47</v>
      </c>
      <c r="AW600">
        <v>9</v>
      </c>
      <c r="AX600" t="s">
        <v>74</v>
      </c>
      <c r="AY600" t="s">
        <v>74</v>
      </c>
      <c r="AZ600" t="s">
        <v>74</v>
      </c>
      <c r="BA600" t="s">
        <v>74</v>
      </c>
      <c r="BB600" t="s">
        <v>74</v>
      </c>
      <c r="BC600" t="s">
        <v>74</v>
      </c>
      <c r="BD600" t="s">
        <v>11977</v>
      </c>
      <c r="BE600" t="s">
        <v>11978</v>
      </c>
      <c r="BF600" t="str">
        <f>HYPERLINK("http://dx.doi.org/10.1029/2019GL086729","http://dx.doi.org/10.1029/2019GL086729")</f>
        <v>http://dx.doi.org/10.1029/2019GL086729</v>
      </c>
      <c r="BG600" t="s">
        <v>74</v>
      </c>
      <c r="BH600" t="s">
        <v>74</v>
      </c>
      <c r="BI600">
        <v>10</v>
      </c>
      <c r="BJ600" t="s">
        <v>471</v>
      </c>
      <c r="BK600" t="s">
        <v>102</v>
      </c>
      <c r="BL600" t="s">
        <v>472</v>
      </c>
      <c r="BM600" t="s">
        <v>11942</v>
      </c>
      <c r="BN600" t="s">
        <v>74</v>
      </c>
      <c r="BO600" t="s">
        <v>4515</v>
      </c>
      <c r="BP600" t="s">
        <v>162</v>
      </c>
      <c r="BQ600" t="s">
        <v>163</v>
      </c>
      <c r="BR600" t="s">
        <v>106</v>
      </c>
      <c r="BS600" t="s">
        <v>11979</v>
      </c>
      <c r="BT600" t="str">
        <f>HYPERLINK("https%3A%2F%2Fwww.webofscience.com%2Fwos%2Fwoscc%2Ffull-record%2FWOS:000536639500005","View Full Record in Web of Science")</f>
        <v>View Full Record in Web of Science</v>
      </c>
    </row>
    <row r="601" spans="1:72" x14ac:dyDescent="0.15">
      <c r="A601" t="s">
        <v>72</v>
      </c>
      <c r="B601" t="s">
        <v>11980</v>
      </c>
      <c r="C601" t="s">
        <v>74</v>
      </c>
      <c r="D601" t="s">
        <v>74</v>
      </c>
      <c r="E601" t="s">
        <v>74</v>
      </c>
      <c r="F601" t="s">
        <v>11981</v>
      </c>
      <c r="G601" t="s">
        <v>74</v>
      </c>
      <c r="H601" t="s">
        <v>74</v>
      </c>
      <c r="I601" t="s">
        <v>11982</v>
      </c>
      <c r="J601" t="s">
        <v>1505</v>
      </c>
      <c r="K601" t="s">
        <v>74</v>
      </c>
      <c r="L601" t="s">
        <v>74</v>
      </c>
      <c r="M601" t="s">
        <v>78</v>
      </c>
      <c r="N601" t="s">
        <v>79</v>
      </c>
      <c r="O601" t="s">
        <v>74</v>
      </c>
      <c r="P601" t="s">
        <v>74</v>
      </c>
      <c r="Q601" t="s">
        <v>74</v>
      </c>
      <c r="R601" t="s">
        <v>74</v>
      </c>
      <c r="S601" t="s">
        <v>74</v>
      </c>
      <c r="T601" t="s">
        <v>11983</v>
      </c>
      <c r="U601" t="s">
        <v>11984</v>
      </c>
      <c r="V601" t="s">
        <v>11985</v>
      </c>
      <c r="W601" t="s">
        <v>11986</v>
      </c>
      <c r="X601" t="s">
        <v>11987</v>
      </c>
      <c r="Y601" t="s">
        <v>11988</v>
      </c>
      <c r="Z601" t="s">
        <v>11989</v>
      </c>
      <c r="AA601" t="s">
        <v>11990</v>
      </c>
      <c r="AB601" t="s">
        <v>11991</v>
      </c>
      <c r="AC601" t="s">
        <v>11992</v>
      </c>
      <c r="AD601" t="s">
        <v>11993</v>
      </c>
      <c r="AE601" t="s">
        <v>11994</v>
      </c>
      <c r="AF601" t="s">
        <v>74</v>
      </c>
      <c r="AG601">
        <v>62</v>
      </c>
      <c r="AH601">
        <v>18</v>
      </c>
      <c r="AI601">
        <v>20</v>
      </c>
      <c r="AJ601">
        <v>5</v>
      </c>
      <c r="AK601">
        <v>23</v>
      </c>
      <c r="AL601" t="s">
        <v>151</v>
      </c>
      <c r="AM601" t="s">
        <v>152</v>
      </c>
      <c r="AN601" t="s">
        <v>153</v>
      </c>
      <c r="AO601" t="s">
        <v>1517</v>
      </c>
      <c r="AP601" t="s">
        <v>1518</v>
      </c>
      <c r="AQ601" t="s">
        <v>74</v>
      </c>
      <c r="AR601" t="s">
        <v>1519</v>
      </c>
      <c r="AS601" t="s">
        <v>1520</v>
      </c>
      <c r="AT601" t="s">
        <v>11920</v>
      </c>
      <c r="AU601">
        <v>2020</v>
      </c>
      <c r="AV601">
        <v>47</v>
      </c>
      <c r="AW601">
        <v>9</v>
      </c>
      <c r="AX601" t="s">
        <v>74</v>
      </c>
      <c r="AY601" t="s">
        <v>74</v>
      </c>
      <c r="AZ601" t="s">
        <v>74</v>
      </c>
      <c r="BA601" t="s">
        <v>74</v>
      </c>
      <c r="BB601" t="s">
        <v>74</v>
      </c>
      <c r="BC601" t="s">
        <v>74</v>
      </c>
      <c r="BD601" t="s">
        <v>11995</v>
      </c>
      <c r="BE601" t="s">
        <v>11996</v>
      </c>
      <c r="BF601" t="str">
        <f>HYPERLINK("http://dx.doi.org/10.1029/2020GL087613","http://dx.doi.org/10.1029/2020GL087613")</f>
        <v>http://dx.doi.org/10.1029/2020GL087613</v>
      </c>
      <c r="BG601" t="s">
        <v>74</v>
      </c>
      <c r="BH601" t="s">
        <v>74</v>
      </c>
      <c r="BI601">
        <v>11</v>
      </c>
      <c r="BJ601" t="s">
        <v>471</v>
      </c>
      <c r="BK601" t="s">
        <v>102</v>
      </c>
      <c r="BL601" t="s">
        <v>472</v>
      </c>
      <c r="BM601" t="s">
        <v>11942</v>
      </c>
      <c r="BN601" t="s">
        <v>74</v>
      </c>
      <c r="BO601" t="s">
        <v>4924</v>
      </c>
      <c r="BP601" t="s">
        <v>74</v>
      </c>
      <c r="BQ601" t="s">
        <v>74</v>
      </c>
      <c r="BR601" t="s">
        <v>106</v>
      </c>
      <c r="BS601" t="s">
        <v>11997</v>
      </c>
      <c r="BT601" t="str">
        <f>HYPERLINK("https%3A%2F%2Fwww.webofscience.com%2Fwos%2Fwoscc%2Ffull-record%2FWOS:000536639500016","View Full Record in Web of Science")</f>
        <v>View Full Record in Web of Science</v>
      </c>
    </row>
    <row r="602" spans="1:72" x14ac:dyDescent="0.15">
      <c r="A602" t="s">
        <v>72</v>
      </c>
      <c r="B602" t="s">
        <v>11998</v>
      </c>
      <c r="C602" t="s">
        <v>74</v>
      </c>
      <c r="D602" t="s">
        <v>74</v>
      </c>
      <c r="E602" t="s">
        <v>74</v>
      </c>
      <c r="F602" t="s">
        <v>11999</v>
      </c>
      <c r="G602" t="s">
        <v>74</v>
      </c>
      <c r="H602" t="s">
        <v>74</v>
      </c>
      <c r="I602" t="s">
        <v>12000</v>
      </c>
      <c r="J602" t="s">
        <v>1505</v>
      </c>
      <c r="K602" t="s">
        <v>74</v>
      </c>
      <c r="L602" t="s">
        <v>74</v>
      </c>
      <c r="M602" t="s">
        <v>78</v>
      </c>
      <c r="N602" t="s">
        <v>79</v>
      </c>
      <c r="O602" t="s">
        <v>74</v>
      </c>
      <c r="P602" t="s">
        <v>74</v>
      </c>
      <c r="Q602" t="s">
        <v>74</v>
      </c>
      <c r="R602" t="s">
        <v>74</v>
      </c>
      <c r="S602" t="s">
        <v>74</v>
      </c>
      <c r="T602" t="s">
        <v>12001</v>
      </c>
      <c r="U602" t="s">
        <v>74</v>
      </c>
      <c r="V602" t="s">
        <v>12002</v>
      </c>
      <c r="W602" t="s">
        <v>12003</v>
      </c>
      <c r="X602" t="s">
        <v>12004</v>
      </c>
      <c r="Y602" t="s">
        <v>12005</v>
      </c>
      <c r="Z602" t="s">
        <v>12006</v>
      </c>
      <c r="AA602" t="s">
        <v>12007</v>
      </c>
      <c r="AB602" t="s">
        <v>12008</v>
      </c>
      <c r="AC602" t="s">
        <v>12009</v>
      </c>
      <c r="AD602" t="s">
        <v>12010</v>
      </c>
      <c r="AE602" t="s">
        <v>12011</v>
      </c>
      <c r="AF602" t="s">
        <v>74</v>
      </c>
      <c r="AG602">
        <v>21</v>
      </c>
      <c r="AH602">
        <v>10</v>
      </c>
      <c r="AI602">
        <v>11</v>
      </c>
      <c r="AJ602">
        <v>0</v>
      </c>
      <c r="AK602">
        <v>10</v>
      </c>
      <c r="AL602" t="s">
        <v>151</v>
      </c>
      <c r="AM602" t="s">
        <v>152</v>
      </c>
      <c r="AN602" t="s">
        <v>153</v>
      </c>
      <c r="AO602" t="s">
        <v>1517</v>
      </c>
      <c r="AP602" t="s">
        <v>1518</v>
      </c>
      <c r="AQ602" t="s">
        <v>74</v>
      </c>
      <c r="AR602" t="s">
        <v>1519</v>
      </c>
      <c r="AS602" t="s">
        <v>1520</v>
      </c>
      <c r="AT602" t="s">
        <v>11920</v>
      </c>
      <c r="AU602">
        <v>2020</v>
      </c>
      <c r="AV602">
        <v>47</v>
      </c>
      <c r="AW602">
        <v>9</v>
      </c>
      <c r="AX602" t="s">
        <v>74</v>
      </c>
      <c r="AY602" t="s">
        <v>74</v>
      </c>
      <c r="AZ602" t="s">
        <v>74</v>
      </c>
      <c r="BA602" t="s">
        <v>74</v>
      </c>
      <c r="BB602" t="s">
        <v>74</v>
      </c>
      <c r="BC602" t="s">
        <v>74</v>
      </c>
      <c r="BD602" t="s">
        <v>12012</v>
      </c>
      <c r="BE602" t="s">
        <v>12013</v>
      </c>
      <c r="BF602" t="str">
        <f>HYPERLINK("http://dx.doi.org/10.1029/2020GL087649","http://dx.doi.org/10.1029/2020GL087649")</f>
        <v>http://dx.doi.org/10.1029/2020GL087649</v>
      </c>
      <c r="BG602" t="s">
        <v>74</v>
      </c>
      <c r="BH602" t="s">
        <v>74</v>
      </c>
      <c r="BI602">
        <v>8</v>
      </c>
      <c r="BJ602" t="s">
        <v>471</v>
      </c>
      <c r="BK602" t="s">
        <v>102</v>
      </c>
      <c r="BL602" t="s">
        <v>472</v>
      </c>
      <c r="BM602" t="s">
        <v>11942</v>
      </c>
      <c r="BN602" t="s">
        <v>74</v>
      </c>
      <c r="BO602" t="s">
        <v>491</v>
      </c>
      <c r="BP602" t="s">
        <v>74</v>
      </c>
      <c r="BQ602" t="s">
        <v>74</v>
      </c>
      <c r="BR602" t="s">
        <v>106</v>
      </c>
      <c r="BS602" t="s">
        <v>12014</v>
      </c>
      <c r="BT602" t="str">
        <f>HYPERLINK("https%3A%2F%2Fwww.webofscience.com%2Fwos%2Fwoscc%2Ffull-record%2FWOS:000536639500009","View Full Record in Web of Science")</f>
        <v>View Full Record in Web of Science</v>
      </c>
    </row>
    <row r="603" spans="1:72" x14ac:dyDescent="0.15">
      <c r="A603" t="s">
        <v>72</v>
      </c>
      <c r="B603" t="s">
        <v>12015</v>
      </c>
      <c r="C603" t="s">
        <v>74</v>
      </c>
      <c r="D603" t="s">
        <v>74</v>
      </c>
      <c r="E603" t="s">
        <v>74</v>
      </c>
      <c r="F603" t="s">
        <v>12016</v>
      </c>
      <c r="G603" t="s">
        <v>74</v>
      </c>
      <c r="H603" t="s">
        <v>74</v>
      </c>
      <c r="I603" t="s">
        <v>12017</v>
      </c>
      <c r="J603" t="s">
        <v>12018</v>
      </c>
      <c r="K603" t="s">
        <v>74</v>
      </c>
      <c r="L603" t="s">
        <v>74</v>
      </c>
      <c r="M603" t="s">
        <v>78</v>
      </c>
      <c r="N603" t="s">
        <v>79</v>
      </c>
      <c r="O603" t="s">
        <v>74</v>
      </c>
      <c r="P603" t="s">
        <v>74</v>
      </c>
      <c r="Q603" t="s">
        <v>74</v>
      </c>
      <c r="R603" t="s">
        <v>74</v>
      </c>
      <c r="S603" t="s">
        <v>74</v>
      </c>
      <c r="T603" t="s">
        <v>74</v>
      </c>
      <c r="U603" t="s">
        <v>12019</v>
      </c>
      <c r="V603" t="s">
        <v>12020</v>
      </c>
      <c r="W603" t="s">
        <v>12021</v>
      </c>
      <c r="X603" t="s">
        <v>74</v>
      </c>
      <c r="Y603" t="s">
        <v>12022</v>
      </c>
      <c r="Z603" t="s">
        <v>12023</v>
      </c>
      <c r="AA603" t="s">
        <v>74</v>
      </c>
      <c r="AB603" t="s">
        <v>12024</v>
      </c>
      <c r="AC603" t="s">
        <v>74</v>
      </c>
      <c r="AD603" t="s">
        <v>74</v>
      </c>
      <c r="AE603" t="s">
        <v>74</v>
      </c>
      <c r="AF603" t="s">
        <v>74</v>
      </c>
      <c r="AG603">
        <v>120</v>
      </c>
      <c r="AH603">
        <v>18</v>
      </c>
      <c r="AI603">
        <v>18</v>
      </c>
      <c r="AJ603">
        <v>3</v>
      </c>
      <c r="AK603">
        <v>27</v>
      </c>
      <c r="AL603" t="s">
        <v>2615</v>
      </c>
      <c r="AM603" t="s">
        <v>1412</v>
      </c>
      <c r="AN603" t="s">
        <v>2616</v>
      </c>
      <c r="AO603" t="s">
        <v>12025</v>
      </c>
      <c r="AP603" t="s">
        <v>12026</v>
      </c>
      <c r="AQ603" t="s">
        <v>74</v>
      </c>
      <c r="AR603" t="s">
        <v>12027</v>
      </c>
      <c r="AS603" t="s">
        <v>12028</v>
      </c>
      <c r="AT603" t="s">
        <v>12029</v>
      </c>
      <c r="AU603">
        <v>2022</v>
      </c>
      <c r="AV603">
        <v>44</v>
      </c>
      <c r="AW603">
        <v>2</v>
      </c>
      <c r="AX603" t="s">
        <v>74</v>
      </c>
      <c r="AY603" t="s">
        <v>74</v>
      </c>
      <c r="AZ603" t="s">
        <v>2622</v>
      </c>
      <c r="BA603" t="s">
        <v>74</v>
      </c>
      <c r="BB603">
        <v>221</v>
      </c>
      <c r="BC603">
        <v>242</v>
      </c>
      <c r="BD603" t="s">
        <v>74</v>
      </c>
      <c r="BE603" t="s">
        <v>12030</v>
      </c>
      <c r="BF603" t="str">
        <f>HYPERLINK("http://dx.doi.org/10.1080/07352166.2020.1742577","http://dx.doi.org/10.1080/07352166.2020.1742577")</f>
        <v>http://dx.doi.org/10.1080/07352166.2020.1742577</v>
      </c>
      <c r="BG603" t="s">
        <v>74</v>
      </c>
      <c r="BH603" t="s">
        <v>10854</v>
      </c>
      <c r="BI603">
        <v>22</v>
      </c>
      <c r="BJ603" t="s">
        <v>12031</v>
      </c>
      <c r="BK603" t="s">
        <v>607</v>
      </c>
      <c r="BL603" t="s">
        <v>12031</v>
      </c>
      <c r="BM603" t="s">
        <v>12032</v>
      </c>
      <c r="BN603" t="s">
        <v>74</v>
      </c>
      <c r="BO603" t="s">
        <v>74</v>
      </c>
      <c r="BP603" t="s">
        <v>74</v>
      </c>
      <c r="BQ603" t="s">
        <v>74</v>
      </c>
      <c r="BR603" t="s">
        <v>106</v>
      </c>
      <c r="BS603" t="s">
        <v>12033</v>
      </c>
      <c r="BT603" t="str">
        <f>HYPERLINK("https%3A%2F%2Fwww.webofscience.com%2Fwos%2Fwoscc%2Ffull-record%2FWOS:000535342100001","View Full Record in Web of Science")</f>
        <v>View Full Record in Web of Science</v>
      </c>
    </row>
    <row r="604" spans="1:72" x14ac:dyDescent="0.15">
      <c r="A604" t="s">
        <v>72</v>
      </c>
      <c r="B604" t="s">
        <v>12034</v>
      </c>
      <c r="C604" t="s">
        <v>74</v>
      </c>
      <c r="D604" t="s">
        <v>74</v>
      </c>
      <c r="E604" t="s">
        <v>74</v>
      </c>
      <c r="F604" t="s">
        <v>12035</v>
      </c>
      <c r="G604" t="s">
        <v>74</v>
      </c>
      <c r="H604" t="s">
        <v>74</v>
      </c>
      <c r="I604" t="s">
        <v>12036</v>
      </c>
      <c r="J604" t="s">
        <v>1505</v>
      </c>
      <c r="K604" t="s">
        <v>74</v>
      </c>
      <c r="L604" t="s">
        <v>74</v>
      </c>
      <c r="M604" t="s">
        <v>78</v>
      </c>
      <c r="N604" t="s">
        <v>79</v>
      </c>
      <c r="O604" t="s">
        <v>74</v>
      </c>
      <c r="P604" t="s">
        <v>74</v>
      </c>
      <c r="Q604" t="s">
        <v>74</v>
      </c>
      <c r="R604" t="s">
        <v>74</v>
      </c>
      <c r="S604" t="s">
        <v>74</v>
      </c>
      <c r="T604" t="s">
        <v>12037</v>
      </c>
      <c r="U604" t="s">
        <v>12038</v>
      </c>
      <c r="V604" t="s">
        <v>12039</v>
      </c>
      <c r="W604" t="s">
        <v>12040</v>
      </c>
      <c r="X604" t="s">
        <v>12041</v>
      </c>
      <c r="Y604" t="s">
        <v>12042</v>
      </c>
      <c r="Z604" t="s">
        <v>12043</v>
      </c>
      <c r="AA604" t="s">
        <v>12044</v>
      </c>
      <c r="AB604" t="s">
        <v>12045</v>
      </c>
      <c r="AC604" t="s">
        <v>12046</v>
      </c>
      <c r="AD604" t="s">
        <v>12047</v>
      </c>
      <c r="AE604" t="s">
        <v>12048</v>
      </c>
      <c r="AF604" t="s">
        <v>74</v>
      </c>
      <c r="AG604">
        <v>24</v>
      </c>
      <c r="AH604">
        <v>97</v>
      </c>
      <c r="AI604">
        <v>107</v>
      </c>
      <c r="AJ604">
        <v>24</v>
      </c>
      <c r="AK604">
        <v>92</v>
      </c>
      <c r="AL604" t="s">
        <v>151</v>
      </c>
      <c r="AM604" t="s">
        <v>152</v>
      </c>
      <c r="AN604" t="s">
        <v>153</v>
      </c>
      <c r="AO604" t="s">
        <v>1517</v>
      </c>
      <c r="AP604" t="s">
        <v>1518</v>
      </c>
      <c r="AQ604" t="s">
        <v>74</v>
      </c>
      <c r="AR604" t="s">
        <v>1519</v>
      </c>
      <c r="AS604" t="s">
        <v>1520</v>
      </c>
      <c r="AT604" t="s">
        <v>11920</v>
      </c>
      <c r="AU604">
        <v>2020</v>
      </c>
      <c r="AV604">
        <v>47</v>
      </c>
      <c r="AW604">
        <v>9</v>
      </c>
      <c r="AX604" t="s">
        <v>74</v>
      </c>
      <c r="AY604" t="s">
        <v>74</v>
      </c>
      <c r="AZ604" t="s">
        <v>74</v>
      </c>
      <c r="BA604" t="s">
        <v>74</v>
      </c>
      <c r="BB604" t="s">
        <v>74</v>
      </c>
      <c r="BC604" t="s">
        <v>74</v>
      </c>
      <c r="BD604" t="s">
        <v>12049</v>
      </c>
      <c r="BE604" t="s">
        <v>12050</v>
      </c>
      <c r="BF604" t="str">
        <f>HYPERLINK("http://dx.doi.org/10.1029/2020GL087965","http://dx.doi.org/10.1029/2020GL087965")</f>
        <v>http://dx.doi.org/10.1029/2020GL087965</v>
      </c>
      <c r="BG604" t="s">
        <v>74</v>
      </c>
      <c r="BH604" t="s">
        <v>74</v>
      </c>
      <c r="BI604">
        <v>9</v>
      </c>
      <c r="BJ604" t="s">
        <v>471</v>
      </c>
      <c r="BK604" t="s">
        <v>102</v>
      </c>
      <c r="BL604" t="s">
        <v>472</v>
      </c>
      <c r="BM604" t="s">
        <v>11942</v>
      </c>
      <c r="BN604" t="s">
        <v>74</v>
      </c>
      <c r="BO604" t="s">
        <v>448</v>
      </c>
      <c r="BP604" t="s">
        <v>74</v>
      </c>
      <c r="BQ604" t="s">
        <v>74</v>
      </c>
      <c r="BR604" t="s">
        <v>106</v>
      </c>
      <c r="BS604" t="s">
        <v>12051</v>
      </c>
      <c r="BT604" t="str">
        <f>HYPERLINK("https%3A%2F%2Fwww.webofscience.com%2Fwos%2Fwoscc%2Ffull-record%2FWOS:000536639500037","View Full Record in Web of Science")</f>
        <v>View Full Record in Web of Science</v>
      </c>
    </row>
    <row r="605" spans="1:72" x14ac:dyDescent="0.15">
      <c r="A605" t="s">
        <v>72</v>
      </c>
      <c r="B605" t="s">
        <v>12052</v>
      </c>
      <c r="C605" t="s">
        <v>74</v>
      </c>
      <c r="D605" t="s">
        <v>74</v>
      </c>
      <c r="E605" t="s">
        <v>74</v>
      </c>
      <c r="F605" t="s">
        <v>12053</v>
      </c>
      <c r="G605" t="s">
        <v>74</v>
      </c>
      <c r="H605" t="s">
        <v>74</v>
      </c>
      <c r="I605" t="s">
        <v>12054</v>
      </c>
      <c r="J605" t="s">
        <v>12055</v>
      </c>
      <c r="K605" t="s">
        <v>74</v>
      </c>
      <c r="L605" t="s">
        <v>74</v>
      </c>
      <c r="M605" t="s">
        <v>78</v>
      </c>
      <c r="N605" t="s">
        <v>79</v>
      </c>
      <c r="O605" t="s">
        <v>74</v>
      </c>
      <c r="P605" t="s">
        <v>74</v>
      </c>
      <c r="Q605" t="s">
        <v>74</v>
      </c>
      <c r="R605" t="s">
        <v>74</v>
      </c>
      <c r="S605" t="s">
        <v>74</v>
      </c>
      <c r="T605" t="s">
        <v>74</v>
      </c>
      <c r="U605" t="s">
        <v>12056</v>
      </c>
      <c r="V605" t="s">
        <v>74</v>
      </c>
      <c r="W605" t="s">
        <v>12057</v>
      </c>
      <c r="X605" t="s">
        <v>12058</v>
      </c>
      <c r="Y605" t="s">
        <v>12059</v>
      </c>
      <c r="Z605" t="s">
        <v>12060</v>
      </c>
      <c r="AA605" t="s">
        <v>12061</v>
      </c>
      <c r="AB605" t="s">
        <v>12062</v>
      </c>
      <c r="AC605" t="s">
        <v>12063</v>
      </c>
      <c r="AD605" t="s">
        <v>12064</v>
      </c>
      <c r="AE605" t="s">
        <v>12065</v>
      </c>
      <c r="AF605" t="s">
        <v>74</v>
      </c>
      <c r="AG605">
        <v>152</v>
      </c>
      <c r="AH605">
        <v>8</v>
      </c>
      <c r="AI605">
        <v>10</v>
      </c>
      <c r="AJ605">
        <v>2</v>
      </c>
      <c r="AK605">
        <v>18</v>
      </c>
      <c r="AL605" t="s">
        <v>1411</v>
      </c>
      <c r="AM605" t="s">
        <v>1412</v>
      </c>
      <c r="AN605" t="s">
        <v>1413</v>
      </c>
      <c r="AO605" t="s">
        <v>12066</v>
      </c>
      <c r="AP605" t="s">
        <v>12067</v>
      </c>
      <c r="AQ605" t="s">
        <v>74</v>
      </c>
      <c r="AR605" t="s">
        <v>12068</v>
      </c>
      <c r="AS605" t="s">
        <v>12069</v>
      </c>
      <c r="AT605" t="s">
        <v>3808</v>
      </c>
      <c r="AU605">
        <v>2020</v>
      </c>
      <c r="AV605">
        <v>42</v>
      </c>
      <c r="AW605">
        <v>3</v>
      </c>
      <c r="AX605" t="s">
        <v>74</v>
      </c>
      <c r="AY605" t="s">
        <v>74</v>
      </c>
      <c r="AZ605" t="s">
        <v>74</v>
      </c>
      <c r="BA605" t="s">
        <v>74</v>
      </c>
      <c r="BB605">
        <v>281</v>
      </c>
      <c r="BC605">
        <v>296</v>
      </c>
      <c r="BD605" t="s">
        <v>74</v>
      </c>
      <c r="BE605" t="s">
        <v>12070</v>
      </c>
      <c r="BF605" t="str">
        <f>HYPERLINK("http://dx.doi.org/10.1080/03736687.2020.1750930","http://dx.doi.org/10.1080/03736687.2020.1750930")</f>
        <v>http://dx.doi.org/10.1080/03736687.2020.1750930</v>
      </c>
      <c r="BG605" t="s">
        <v>74</v>
      </c>
      <c r="BH605" t="s">
        <v>10854</v>
      </c>
      <c r="BI605">
        <v>16</v>
      </c>
      <c r="BJ605" t="s">
        <v>1635</v>
      </c>
      <c r="BK605" t="s">
        <v>102</v>
      </c>
      <c r="BL605" t="s">
        <v>1635</v>
      </c>
      <c r="BM605" t="s">
        <v>12071</v>
      </c>
      <c r="BN605" t="s">
        <v>74</v>
      </c>
      <c r="BO605" t="s">
        <v>976</v>
      </c>
      <c r="BP605" t="s">
        <v>74</v>
      </c>
      <c r="BQ605" t="s">
        <v>74</v>
      </c>
      <c r="BR605" t="s">
        <v>106</v>
      </c>
      <c r="BS605" t="s">
        <v>12072</v>
      </c>
      <c r="BT605" t="str">
        <f>HYPERLINK("https%3A%2F%2Fwww.webofscience.com%2Fwos%2Fwoscc%2Ffull-record%2FWOS:000535953000001","View Full Record in Web of Science")</f>
        <v>View Full Record in Web of Science</v>
      </c>
    </row>
    <row r="606" spans="1:72" x14ac:dyDescent="0.15">
      <c r="A606" t="s">
        <v>72</v>
      </c>
      <c r="B606" t="s">
        <v>12073</v>
      </c>
      <c r="C606" t="s">
        <v>74</v>
      </c>
      <c r="D606" t="s">
        <v>74</v>
      </c>
      <c r="E606" t="s">
        <v>74</v>
      </c>
      <c r="F606" t="s">
        <v>12074</v>
      </c>
      <c r="G606" t="s">
        <v>74</v>
      </c>
      <c r="H606" t="s">
        <v>74</v>
      </c>
      <c r="I606" t="s">
        <v>12075</v>
      </c>
      <c r="J606" t="s">
        <v>7319</v>
      </c>
      <c r="K606" t="s">
        <v>74</v>
      </c>
      <c r="L606" t="s">
        <v>74</v>
      </c>
      <c r="M606" t="s">
        <v>78</v>
      </c>
      <c r="N606" t="s">
        <v>79</v>
      </c>
      <c r="O606" t="s">
        <v>74</v>
      </c>
      <c r="P606" t="s">
        <v>74</v>
      </c>
      <c r="Q606" t="s">
        <v>74</v>
      </c>
      <c r="R606" t="s">
        <v>74</v>
      </c>
      <c r="S606" t="s">
        <v>74</v>
      </c>
      <c r="T606" t="s">
        <v>12076</v>
      </c>
      <c r="U606" t="s">
        <v>12077</v>
      </c>
      <c r="V606" t="s">
        <v>12078</v>
      </c>
      <c r="W606" t="s">
        <v>12079</v>
      </c>
      <c r="X606" t="s">
        <v>12080</v>
      </c>
      <c r="Y606" t="s">
        <v>12081</v>
      </c>
      <c r="Z606" t="s">
        <v>12082</v>
      </c>
      <c r="AA606" t="s">
        <v>12083</v>
      </c>
      <c r="AB606" t="s">
        <v>12084</v>
      </c>
      <c r="AC606" t="s">
        <v>12085</v>
      </c>
      <c r="AD606" t="s">
        <v>12086</v>
      </c>
      <c r="AE606" t="s">
        <v>12087</v>
      </c>
      <c r="AF606" t="s">
        <v>74</v>
      </c>
      <c r="AG606">
        <v>69</v>
      </c>
      <c r="AH606">
        <v>50</v>
      </c>
      <c r="AI606">
        <v>52</v>
      </c>
      <c r="AJ606">
        <v>4</v>
      </c>
      <c r="AK606">
        <v>49</v>
      </c>
      <c r="AL606" t="s">
        <v>1024</v>
      </c>
      <c r="AM606" t="s">
        <v>1025</v>
      </c>
      <c r="AN606" t="s">
        <v>1026</v>
      </c>
      <c r="AO606" t="s">
        <v>74</v>
      </c>
      <c r="AP606" t="s">
        <v>7332</v>
      </c>
      <c r="AQ606" t="s">
        <v>74</v>
      </c>
      <c r="AR606" t="s">
        <v>7333</v>
      </c>
      <c r="AS606" t="s">
        <v>7334</v>
      </c>
      <c r="AT606" t="s">
        <v>12088</v>
      </c>
      <c r="AU606">
        <v>2020</v>
      </c>
      <c r="AV606">
        <v>8</v>
      </c>
      <c r="AW606" t="s">
        <v>74</v>
      </c>
      <c r="AX606" t="s">
        <v>74</v>
      </c>
      <c r="AY606" t="s">
        <v>74</v>
      </c>
      <c r="AZ606" t="s">
        <v>74</v>
      </c>
      <c r="BA606" t="s">
        <v>74</v>
      </c>
      <c r="BB606" t="s">
        <v>74</v>
      </c>
      <c r="BC606" t="s">
        <v>74</v>
      </c>
      <c r="BD606">
        <v>53</v>
      </c>
      <c r="BE606" t="s">
        <v>12089</v>
      </c>
      <c r="BF606" t="str">
        <f>HYPERLINK("http://dx.doi.org/10.3389/fenvs.2020.00053","http://dx.doi.org/10.3389/fenvs.2020.00053")</f>
        <v>http://dx.doi.org/10.3389/fenvs.2020.00053</v>
      </c>
      <c r="BG606" t="s">
        <v>74</v>
      </c>
      <c r="BH606" t="s">
        <v>74</v>
      </c>
      <c r="BI606">
        <v>15</v>
      </c>
      <c r="BJ606" t="s">
        <v>101</v>
      </c>
      <c r="BK606" t="s">
        <v>102</v>
      </c>
      <c r="BL606" t="s">
        <v>103</v>
      </c>
      <c r="BM606" t="s">
        <v>12090</v>
      </c>
      <c r="BN606" t="s">
        <v>74</v>
      </c>
      <c r="BO606" t="s">
        <v>4945</v>
      </c>
      <c r="BP606" t="s">
        <v>74</v>
      </c>
      <c r="BQ606" t="s">
        <v>74</v>
      </c>
      <c r="BR606" t="s">
        <v>106</v>
      </c>
      <c r="BS606" t="s">
        <v>12091</v>
      </c>
      <c r="BT606" t="str">
        <f>HYPERLINK("https%3A%2F%2Fwww.webofscience.com%2Fwos%2Fwoscc%2Ffull-record%2FWOS:000556712600001","View Full Record in Web of Science")</f>
        <v>View Full Record in Web of Science</v>
      </c>
    </row>
    <row r="607" spans="1:72" x14ac:dyDescent="0.15">
      <c r="A607" t="s">
        <v>72</v>
      </c>
      <c r="B607" t="s">
        <v>12092</v>
      </c>
      <c r="C607" t="s">
        <v>74</v>
      </c>
      <c r="D607" t="s">
        <v>74</v>
      </c>
      <c r="E607" t="s">
        <v>74</v>
      </c>
      <c r="F607" t="s">
        <v>12093</v>
      </c>
      <c r="G607" t="s">
        <v>74</v>
      </c>
      <c r="H607" t="s">
        <v>74</v>
      </c>
      <c r="I607" t="s">
        <v>12094</v>
      </c>
      <c r="J607" t="s">
        <v>2051</v>
      </c>
      <c r="K607" t="s">
        <v>74</v>
      </c>
      <c r="L607" t="s">
        <v>74</v>
      </c>
      <c r="M607" t="s">
        <v>78</v>
      </c>
      <c r="N607" t="s">
        <v>79</v>
      </c>
      <c r="O607" t="s">
        <v>74</v>
      </c>
      <c r="P607" t="s">
        <v>74</v>
      </c>
      <c r="Q607" t="s">
        <v>74</v>
      </c>
      <c r="R607" t="s">
        <v>74</v>
      </c>
      <c r="S607" t="s">
        <v>74</v>
      </c>
      <c r="T607" t="s">
        <v>74</v>
      </c>
      <c r="U607" t="s">
        <v>12095</v>
      </c>
      <c r="V607" t="s">
        <v>12096</v>
      </c>
      <c r="W607" t="s">
        <v>12097</v>
      </c>
      <c r="X607" t="s">
        <v>12098</v>
      </c>
      <c r="Y607" t="s">
        <v>12099</v>
      </c>
      <c r="Z607" t="s">
        <v>12100</v>
      </c>
      <c r="AA607" t="s">
        <v>12101</v>
      </c>
      <c r="AB607" t="s">
        <v>12102</v>
      </c>
      <c r="AC607" t="s">
        <v>12103</v>
      </c>
      <c r="AD607" t="s">
        <v>12104</v>
      </c>
      <c r="AE607" t="s">
        <v>12105</v>
      </c>
      <c r="AF607" t="s">
        <v>74</v>
      </c>
      <c r="AG607">
        <v>74</v>
      </c>
      <c r="AH607">
        <v>25</v>
      </c>
      <c r="AI607">
        <v>27</v>
      </c>
      <c r="AJ607">
        <v>0</v>
      </c>
      <c r="AK607">
        <v>7</v>
      </c>
      <c r="AL607" t="s">
        <v>1049</v>
      </c>
      <c r="AM607" t="s">
        <v>1050</v>
      </c>
      <c r="AN607" t="s">
        <v>1051</v>
      </c>
      <c r="AO607" t="s">
        <v>2063</v>
      </c>
      <c r="AP607" t="s">
        <v>2064</v>
      </c>
      <c r="AQ607" t="s">
        <v>74</v>
      </c>
      <c r="AR607" t="s">
        <v>2065</v>
      </c>
      <c r="AS607" t="s">
        <v>2066</v>
      </c>
      <c r="AT607" t="s">
        <v>12088</v>
      </c>
      <c r="AU607">
        <v>2020</v>
      </c>
      <c r="AV607">
        <v>20</v>
      </c>
      <c r="AW607">
        <v>9</v>
      </c>
      <c r="AX607" t="s">
        <v>74</v>
      </c>
      <c r="AY607" t="s">
        <v>74</v>
      </c>
      <c r="AZ607" t="s">
        <v>74</v>
      </c>
      <c r="BA607" t="s">
        <v>74</v>
      </c>
      <c r="BB607">
        <v>5811</v>
      </c>
      <c r="BC607">
        <v>5835</v>
      </c>
      <c r="BD607" t="s">
        <v>74</v>
      </c>
      <c r="BE607" t="s">
        <v>12106</v>
      </c>
      <c r="BF607" t="str">
        <f>HYPERLINK("http://dx.doi.org/10.5194/acp-20-5811-2020","http://dx.doi.org/10.5194/acp-20-5811-2020")</f>
        <v>http://dx.doi.org/10.5194/acp-20-5811-2020</v>
      </c>
      <c r="BG607" t="s">
        <v>74</v>
      </c>
      <c r="BH607" t="s">
        <v>74</v>
      </c>
      <c r="BI607">
        <v>25</v>
      </c>
      <c r="BJ607" t="s">
        <v>2068</v>
      </c>
      <c r="BK607" t="s">
        <v>102</v>
      </c>
      <c r="BL607" t="s">
        <v>2069</v>
      </c>
      <c r="BM607" t="s">
        <v>12107</v>
      </c>
      <c r="BN607" t="s">
        <v>74</v>
      </c>
      <c r="BO607" t="s">
        <v>12108</v>
      </c>
      <c r="BP607" t="s">
        <v>74</v>
      </c>
      <c r="BQ607" t="s">
        <v>74</v>
      </c>
      <c r="BR607" t="s">
        <v>106</v>
      </c>
      <c r="BS607" t="s">
        <v>12109</v>
      </c>
      <c r="BT607" t="str">
        <f>HYPERLINK("https%3A%2F%2Fwww.webofscience.com%2Fwos%2Fwoscc%2Ffull-record%2FWOS:000535264700001","View Full Record in Web of Science")</f>
        <v>View Full Record in Web of Science</v>
      </c>
    </row>
    <row r="608" spans="1:72" x14ac:dyDescent="0.15">
      <c r="A608" t="s">
        <v>72</v>
      </c>
      <c r="B608" t="s">
        <v>12110</v>
      </c>
      <c r="C608" t="s">
        <v>74</v>
      </c>
      <c r="D608" t="s">
        <v>74</v>
      </c>
      <c r="E608" t="s">
        <v>74</v>
      </c>
      <c r="F608" t="s">
        <v>12111</v>
      </c>
      <c r="G608" t="s">
        <v>74</v>
      </c>
      <c r="H608" t="s">
        <v>74</v>
      </c>
      <c r="I608" t="s">
        <v>12112</v>
      </c>
      <c r="J608" t="s">
        <v>1887</v>
      </c>
      <c r="K608" t="s">
        <v>74</v>
      </c>
      <c r="L608" t="s">
        <v>74</v>
      </c>
      <c r="M608" t="s">
        <v>78</v>
      </c>
      <c r="N608" t="s">
        <v>79</v>
      </c>
      <c r="O608" t="s">
        <v>74</v>
      </c>
      <c r="P608" t="s">
        <v>74</v>
      </c>
      <c r="Q608" t="s">
        <v>74</v>
      </c>
      <c r="R608" t="s">
        <v>74</v>
      </c>
      <c r="S608" t="s">
        <v>74</v>
      </c>
      <c r="T608" t="s">
        <v>74</v>
      </c>
      <c r="U608" t="s">
        <v>12113</v>
      </c>
      <c r="V608" t="s">
        <v>12114</v>
      </c>
      <c r="W608" t="s">
        <v>12115</v>
      </c>
      <c r="X608" t="s">
        <v>12116</v>
      </c>
      <c r="Y608" t="s">
        <v>12117</v>
      </c>
      <c r="Z608" t="s">
        <v>12118</v>
      </c>
      <c r="AA608" t="s">
        <v>12119</v>
      </c>
      <c r="AB608" t="s">
        <v>12120</v>
      </c>
      <c r="AC608" t="s">
        <v>12121</v>
      </c>
      <c r="AD608" t="s">
        <v>12122</v>
      </c>
      <c r="AE608" t="s">
        <v>12123</v>
      </c>
      <c r="AF608" t="s">
        <v>74</v>
      </c>
      <c r="AG608">
        <v>106</v>
      </c>
      <c r="AH608">
        <v>20</v>
      </c>
      <c r="AI608">
        <v>23</v>
      </c>
      <c r="AJ608">
        <v>2</v>
      </c>
      <c r="AK608">
        <v>42</v>
      </c>
      <c r="AL608" t="s">
        <v>1049</v>
      </c>
      <c r="AM608" t="s">
        <v>1050</v>
      </c>
      <c r="AN608" t="s">
        <v>1051</v>
      </c>
      <c r="AO608" t="s">
        <v>1899</v>
      </c>
      <c r="AP608" t="s">
        <v>1900</v>
      </c>
      <c r="AQ608" t="s">
        <v>74</v>
      </c>
      <c r="AR608" t="s">
        <v>1887</v>
      </c>
      <c r="AS608" t="s">
        <v>1901</v>
      </c>
      <c r="AT608" t="s">
        <v>12088</v>
      </c>
      <c r="AU608">
        <v>2020</v>
      </c>
      <c r="AV608">
        <v>17</v>
      </c>
      <c r="AW608">
        <v>9</v>
      </c>
      <c r="AX608" t="s">
        <v>74</v>
      </c>
      <c r="AY608" t="s">
        <v>74</v>
      </c>
      <c r="AZ608" t="s">
        <v>74</v>
      </c>
      <c r="BA608" t="s">
        <v>74</v>
      </c>
      <c r="BB608">
        <v>2593</v>
      </c>
      <c r="BC608">
        <v>2619</v>
      </c>
      <c r="BD608" t="s">
        <v>74</v>
      </c>
      <c r="BE608" t="s">
        <v>12124</v>
      </c>
      <c r="BF608" t="str">
        <f>HYPERLINK("http://dx.doi.org/10.5194/bg-17-2593-2020","http://dx.doi.org/10.5194/bg-17-2593-2020")</f>
        <v>http://dx.doi.org/10.5194/bg-17-2593-2020</v>
      </c>
      <c r="BG608" t="s">
        <v>74</v>
      </c>
      <c r="BH608" t="s">
        <v>74</v>
      </c>
      <c r="BI608">
        <v>27</v>
      </c>
      <c r="BJ608" t="s">
        <v>1903</v>
      </c>
      <c r="BK608" t="s">
        <v>102</v>
      </c>
      <c r="BL608" t="s">
        <v>1904</v>
      </c>
      <c r="BM608" t="s">
        <v>12125</v>
      </c>
      <c r="BN608" t="s">
        <v>74</v>
      </c>
      <c r="BO608" t="s">
        <v>2993</v>
      </c>
      <c r="BP608" t="s">
        <v>74</v>
      </c>
      <c r="BQ608" t="s">
        <v>74</v>
      </c>
      <c r="BR608" t="s">
        <v>106</v>
      </c>
      <c r="BS608" t="s">
        <v>12126</v>
      </c>
      <c r="BT608" t="str">
        <f>HYPERLINK("https%3A%2F%2Fwww.webofscience.com%2Fwos%2Fwoscc%2Ffull-record%2FWOS:000535271400002","View Full Record in Web of Science")</f>
        <v>View Full Record in Web of Science</v>
      </c>
    </row>
    <row r="609" spans="1:72" x14ac:dyDescent="0.15">
      <c r="A609" t="s">
        <v>72</v>
      </c>
      <c r="B609" t="s">
        <v>12127</v>
      </c>
      <c r="C609" t="s">
        <v>74</v>
      </c>
      <c r="D609" t="s">
        <v>74</v>
      </c>
      <c r="E609" t="s">
        <v>74</v>
      </c>
      <c r="F609" t="s">
        <v>12128</v>
      </c>
      <c r="G609" t="s">
        <v>74</v>
      </c>
      <c r="H609" t="s">
        <v>74</v>
      </c>
      <c r="I609" t="s">
        <v>12129</v>
      </c>
      <c r="J609" t="s">
        <v>12130</v>
      </c>
      <c r="K609" t="s">
        <v>74</v>
      </c>
      <c r="L609" t="s">
        <v>74</v>
      </c>
      <c r="M609" t="s">
        <v>78</v>
      </c>
      <c r="N609" t="s">
        <v>79</v>
      </c>
      <c r="O609" t="s">
        <v>74</v>
      </c>
      <c r="P609" t="s">
        <v>74</v>
      </c>
      <c r="Q609" t="s">
        <v>74</v>
      </c>
      <c r="R609" t="s">
        <v>74</v>
      </c>
      <c r="S609" t="s">
        <v>74</v>
      </c>
      <c r="T609" t="s">
        <v>12131</v>
      </c>
      <c r="U609" t="s">
        <v>12132</v>
      </c>
      <c r="V609" t="s">
        <v>12133</v>
      </c>
      <c r="W609" t="s">
        <v>12134</v>
      </c>
      <c r="X609" t="s">
        <v>12135</v>
      </c>
      <c r="Y609" t="s">
        <v>12136</v>
      </c>
      <c r="Z609" t="s">
        <v>12137</v>
      </c>
      <c r="AA609" t="s">
        <v>74</v>
      </c>
      <c r="AB609" t="s">
        <v>12138</v>
      </c>
      <c r="AC609" t="s">
        <v>12139</v>
      </c>
      <c r="AD609" t="s">
        <v>12140</v>
      </c>
      <c r="AE609" t="s">
        <v>12141</v>
      </c>
      <c r="AF609" t="s">
        <v>74</v>
      </c>
      <c r="AG609">
        <v>48</v>
      </c>
      <c r="AH609">
        <v>5</v>
      </c>
      <c r="AI609">
        <v>5</v>
      </c>
      <c r="AJ609">
        <v>1</v>
      </c>
      <c r="AK609">
        <v>9</v>
      </c>
      <c r="AL609" t="s">
        <v>994</v>
      </c>
      <c r="AM609" t="s">
        <v>995</v>
      </c>
      <c r="AN609" t="s">
        <v>996</v>
      </c>
      <c r="AO609" t="s">
        <v>12142</v>
      </c>
      <c r="AP609" t="s">
        <v>12143</v>
      </c>
      <c r="AQ609" t="s">
        <v>74</v>
      </c>
      <c r="AR609" t="s">
        <v>12144</v>
      </c>
      <c r="AS609" t="s">
        <v>12145</v>
      </c>
      <c r="AT609" t="s">
        <v>99</v>
      </c>
      <c r="AU609">
        <v>2020</v>
      </c>
      <c r="AV609">
        <v>51</v>
      </c>
      <c r="AW609">
        <v>8</v>
      </c>
      <c r="AX609" t="s">
        <v>74</v>
      </c>
      <c r="AY609" t="s">
        <v>74</v>
      </c>
      <c r="AZ609" t="s">
        <v>74</v>
      </c>
      <c r="BA609" t="s">
        <v>74</v>
      </c>
      <c r="BB609">
        <v>3205</v>
      </c>
      <c r="BC609">
        <v>3215</v>
      </c>
      <c r="BD609" t="s">
        <v>74</v>
      </c>
      <c r="BE609" t="s">
        <v>12146</v>
      </c>
      <c r="BF609" t="str">
        <f>HYPERLINK("http://dx.doi.org/10.1111/are.14655","http://dx.doi.org/10.1111/are.14655")</f>
        <v>http://dx.doi.org/10.1111/are.14655</v>
      </c>
      <c r="BG609" t="s">
        <v>74</v>
      </c>
      <c r="BH609" t="s">
        <v>10854</v>
      </c>
      <c r="BI609">
        <v>11</v>
      </c>
      <c r="BJ609" t="s">
        <v>4943</v>
      </c>
      <c r="BK609" t="s">
        <v>102</v>
      </c>
      <c r="BL609" t="s">
        <v>4943</v>
      </c>
      <c r="BM609" t="s">
        <v>12147</v>
      </c>
      <c r="BN609" t="s">
        <v>74</v>
      </c>
      <c r="BO609" t="s">
        <v>161</v>
      </c>
      <c r="BP609" t="s">
        <v>74</v>
      </c>
      <c r="BQ609" t="s">
        <v>74</v>
      </c>
      <c r="BR609" t="s">
        <v>106</v>
      </c>
      <c r="BS609" t="s">
        <v>12148</v>
      </c>
      <c r="BT609" t="str">
        <f>HYPERLINK("https%3A%2F%2Fwww.webofscience.com%2Fwos%2Fwoscc%2Ffull-record%2FWOS:000532700200001","View Full Record in Web of Science")</f>
        <v>View Full Record in Web of Science</v>
      </c>
    </row>
    <row r="610" spans="1:72" x14ac:dyDescent="0.15">
      <c r="A610" t="s">
        <v>72</v>
      </c>
      <c r="B610" t="s">
        <v>12149</v>
      </c>
      <c r="C610" t="s">
        <v>74</v>
      </c>
      <c r="D610" t="s">
        <v>74</v>
      </c>
      <c r="E610" t="s">
        <v>74</v>
      </c>
      <c r="F610" t="s">
        <v>12150</v>
      </c>
      <c r="G610" t="s">
        <v>74</v>
      </c>
      <c r="H610" t="s">
        <v>74</v>
      </c>
      <c r="I610" t="s">
        <v>12151</v>
      </c>
      <c r="J610" t="s">
        <v>1783</v>
      </c>
      <c r="K610" t="s">
        <v>74</v>
      </c>
      <c r="L610" t="s">
        <v>74</v>
      </c>
      <c r="M610" t="s">
        <v>78</v>
      </c>
      <c r="N610" t="s">
        <v>79</v>
      </c>
      <c r="O610" t="s">
        <v>74</v>
      </c>
      <c r="P610" t="s">
        <v>74</v>
      </c>
      <c r="Q610" t="s">
        <v>74</v>
      </c>
      <c r="R610" t="s">
        <v>74</v>
      </c>
      <c r="S610" t="s">
        <v>74</v>
      </c>
      <c r="T610" t="s">
        <v>12152</v>
      </c>
      <c r="U610" t="s">
        <v>12153</v>
      </c>
      <c r="V610" t="s">
        <v>12154</v>
      </c>
      <c r="W610" t="s">
        <v>12155</v>
      </c>
      <c r="X610" t="s">
        <v>12156</v>
      </c>
      <c r="Y610" t="s">
        <v>12157</v>
      </c>
      <c r="Z610" t="s">
        <v>12158</v>
      </c>
      <c r="AA610" t="s">
        <v>74</v>
      </c>
      <c r="AB610" t="s">
        <v>12159</v>
      </c>
      <c r="AC610" t="s">
        <v>12160</v>
      </c>
      <c r="AD610" t="s">
        <v>74</v>
      </c>
      <c r="AE610" t="s">
        <v>12161</v>
      </c>
      <c r="AF610" t="s">
        <v>74</v>
      </c>
      <c r="AG610">
        <v>56</v>
      </c>
      <c r="AH610">
        <v>0</v>
      </c>
      <c r="AI610">
        <v>0</v>
      </c>
      <c r="AJ610">
        <v>0</v>
      </c>
      <c r="AK610">
        <v>1</v>
      </c>
      <c r="AL610" t="s">
        <v>1440</v>
      </c>
      <c r="AM610" t="s">
        <v>399</v>
      </c>
      <c r="AN610" t="s">
        <v>1441</v>
      </c>
      <c r="AO610" t="s">
        <v>1796</v>
      </c>
      <c r="AP610" t="s">
        <v>1797</v>
      </c>
      <c r="AQ610" t="s">
        <v>74</v>
      </c>
      <c r="AR610" t="s">
        <v>1798</v>
      </c>
      <c r="AS610" t="s">
        <v>1799</v>
      </c>
      <c r="AT610" t="s">
        <v>7663</v>
      </c>
      <c r="AU610">
        <v>2020</v>
      </c>
      <c r="AV610">
        <v>43</v>
      </c>
      <c r="AW610">
        <v>6</v>
      </c>
      <c r="AX610" t="s">
        <v>74</v>
      </c>
      <c r="AY610" t="s">
        <v>74</v>
      </c>
      <c r="AZ610" t="s">
        <v>74</v>
      </c>
      <c r="BA610" t="s">
        <v>74</v>
      </c>
      <c r="BB610">
        <v>745</v>
      </c>
      <c r="BC610">
        <v>754</v>
      </c>
      <c r="BD610" t="s">
        <v>74</v>
      </c>
      <c r="BE610" t="s">
        <v>12162</v>
      </c>
      <c r="BF610" t="str">
        <f>HYPERLINK("http://dx.doi.org/10.1007/s00300-020-02676-5","http://dx.doi.org/10.1007/s00300-020-02676-5")</f>
        <v>http://dx.doi.org/10.1007/s00300-020-02676-5</v>
      </c>
      <c r="BG610" t="s">
        <v>74</v>
      </c>
      <c r="BH610" t="s">
        <v>10854</v>
      </c>
      <c r="BI610">
        <v>10</v>
      </c>
      <c r="BJ610" t="s">
        <v>1004</v>
      </c>
      <c r="BK610" t="s">
        <v>102</v>
      </c>
      <c r="BL610" t="s">
        <v>1005</v>
      </c>
      <c r="BM610" t="s">
        <v>12163</v>
      </c>
      <c r="BN610" t="s">
        <v>74</v>
      </c>
      <c r="BO610" t="s">
        <v>74</v>
      </c>
      <c r="BP610" t="s">
        <v>74</v>
      </c>
      <c r="BQ610" t="s">
        <v>74</v>
      </c>
      <c r="BR610" t="s">
        <v>106</v>
      </c>
      <c r="BS610" t="s">
        <v>12164</v>
      </c>
      <c r="BT610" t="str">
        <f>HYPERLINK("https%3A%2F%2Fwww.webofscience.com%2Fwos%2Fwoscc%2Ffull-record%2FWOS:000533040000002","View Full Record in Web of Science")</f>
        <v>View Full Record in Web of Science</v>
      </c>
    </row>
    <row r="611" spans="1:72" x14ac:dyDescent="0.15">
      <c r="A611" t="s">
        <v>72</v>
      </c>
      <c r="B611" t="s">
        <v>12165</v>
      </c>
      <c r="C611" t="s">
        <v>74</v>
      </c>
      <c r="D611" t="s">
        <v>74</v>
      </c>
      <c r="E611" t="s">
        <v>74</v>
      </c>
      <c r="F611" t="s">
        <v>12166</v>
      </c>
      <c r="G611" t="s">
        <v>74</v>
      </c>
      <c r="H611" t="s">
        <v>74</v>
      </c>
      <c r="I611" t="s">
        <v>12167</v>
      </c>
      <c r="J611" t="s">
        <v>412</v>
      </c>
      <c r="K611" t="s">
        <v>74</v>
      </c>
      <c r="L611" t="s">
        <v>74</v>
      </c>
      <c r="M611" t="s">
        <v>78</v>
      </c>
      <c r="N611" t="s">
        <v>79</v>
      </c>
      <c r="O611" t="s">
        <v>74</v>
      </c>
      <c r="P611" t="s">
        <v>74</v>
      </c>
      <c r="Q611" t="s">
        <v>74</v>
      </c>
      <c r="R611" t="s">
        <v>74</v>
      </c>
      <c r="S611" t="s">
        <v>74</v>
      </c>
      <c r="T611" t="s">
        <v>74</v>
      </c>
      <c r="U611" t="s">
        <v>12168</v>
      </c>
      <c r="V611" t="s">
        <v>74</v>
      </c>
      <c r="W611" t="s">
        <v>12169</v>
      </c>
      <c r="X611" t="s">
        <v>12170</v>
      </c>
      <c r="Y611" t="s">
        <v>12171</v>
      </c>
      <c r="Z611" t="s">
        <v>12172</v>
      </c>
      <c r="AA611" t="s">
        <v>12173</v>
      </c>
      <c r="AB611" t="s">
        <v>12174</v>
      </c>
      <c r="AC611" t="s">
        <v>12175</v>
      </c>
      <c r="AD611" t="s">
        <v>12176</v>
      </c>
      <c r="AE611" t="s">
        <v>12177</v>
      </c>
      <c r="AF611" t="s">
        <v>74</v>
      </c>
      <c r="AG611">
        <v>129</v>
      </c>
      <c r="AH611">
        <v>32</v>
      </c>
      <c r="AI611">
        <v>39</v>
      </c>
      <c r="AJ611">
        <v>2</v>
      </c>
      <c r="AK611">
        <v>10</v>
      </c>
      <c r="AL611" t="s">
        <v>92</v>
      </c>
      <c r="AM611" t="s">
        <v>93</v>
      </c>
      <c r="AN611" t="s">
        <v>94</v>
      </c>
      <c r="AO611" t="s">
        <v>425</v>
      </c>
      <c r="AP611" t="s">
        <v>426</v>
      </c>
      <c r="AQ611" t="s">
        <v>74</v>
      </c>
      <c r="AR611" t="s">
        <v>427</v>
      </c>
      <c r="AS611" t="s">
        <v>428</v>
      </c>
      <c r="AT611" t="s">
        <v>12088</v>
      </c>
      <c r="AU611">
        <v>2020</v>
      </c>
      <c r="AV611">
        <v>277</v>
      </c>
      <c r="AW611" t="s">
        <v>74</v>
      </c>
      <c r="AX611" t="s">
        <v>74</v>
      </c>
      <c r="AY611" t="s">
        <v>74</v>
      </c>
      <c r="AZ611" t="s">
        <v>74</v>
      </c>
      <c r="BA611" t="s">
        <v>74</v>
      </c>
      <c r="BB611">
        <v>111</v>
      </c>
      <c r="BC611">
        <v>131</v>
      </c>
      <c r="BD611" t="s">
        <v>74</v>
      </c>
      <c r="BE611" t="s">
        <v>74</v>
      </c>
      <c r="BF611" t="s">
        <v>74</v>
      </c>
      <c r="BG611" t="s">
        <v>74</v>
      </c>
      <c r="BH611" t="s">
        <v>74</v>
      </c>
      <c r="BI611">
        <v>21</v>
      </c>
      <c r="BJ611" t="s">
        <v>131</v>
      </c>
      <c r="BK611" t="s">
        <v>102</v>
      </c>
      <c r="BL611" t="s">
        <v>131</v>
      </c>
      <c r="BM611" t="s">
        <v>12178</v>
      </c>
      <c r="BN611" t="s">
        <v>74</v>
      </c>
      <c r="BO611" t="s">
        <v>4924</v>
      </c>
      <c r="BP611" t="s">
        <v>74</v>
      </c>
      <c r="BQ611" t="s">
        <v>74</v>
      </c>
      <c r="BR611" t="s">
        <v>106</v>
      </c>
      <c r="BS611" t="s">
        <v>12179</v>
      </c>
      <c r="BT611" t="str">
        <f>HYPERLINK("https%3A%2F%2Fwww.webofscience.com%2Fwos%2Fwoscc%2Ffull-record%2FWOS:000530720600006","View Full Record in Web of Science")</f>
        <v>View Full Record in Web of Science</v>
      </c>
    </row>
    <row r="612" spans="1:72" x14ac:dyDescent="0.15">
      <c r="A612" t="s">
        <v>72</v>
      </c>
      <c r="B612" t="s">
        <v>12180</v>
      </c>
      <c r="C612" t="s">
        <v>74</v>
      </c>
      <c r="D612" t="s">
        <v>74</v>
      </c>
      <c r="E612" t="s">
        <v>74</v>
      </c>
      <c r="F612" t="s">
        <v>12181</v>
      </c>
      <c r="G612" t="s">
        <v>74</v>
      </c>
      <c r="H612" t="s">
        <v>74</v>
      </c>
      <c r="I612" t="s">
        <v>12182</v>
      </c>
      <c r="J612" t="s">
        <v>2902</v>
      </c>
      <c r="K612" t="s">
        <v>74</v>
      </c>
      <c r="L612" t="s">
        <v>74</v>
      </c>
      <c r="M612" t="s">
        <v>78</v>
      </c>
      <c r="N612" t="s">
        <v>79</v>
      </c>
      <c r="O612" t="s">
        <v>74</v>
      </c>
      <c r="P612" t="s">
        <v>74</v>
      </c>
      <c r="Q612" t="s">
        <v>74</v>
      </c>
      <c r="R612" t="s">
        <v>74</v>
      </c>
      <c r="S612" t="s">
        <v>74</v>
      </c>
      <c r="T612" t="s">
        <v>12183</v>
      </c>
      <c r="U612" t="s">
        <v>12184</v>
      </c>
      <c r="V612" t="s">
        <v>12185</v>
      </c>
      <c r="W612" t="s">
        <v>12186</v>
      </c>
      <c r="X612" t="s">
        <v>3051</v>
      </c>
      <c r="Y612" t="s">
        <v>12187</v>
      </c>
      <c r="Z612" t="s">
        <v>12188</v>
      </c>
      <c r="AA612" t="s">
        <v>12189</v>
      </c>
      <c r="AB612" t="s">
        <v>12190</v>
      </c>
      <c r="AC612" t="s">
        <v>12191</v>
      </c>
      <c r="AD612" t="s">
        <v>12192</v>
      </c>
      <c r="AE612" t="s">
        <v>12193</v>
      </c>
      <c r="AF612" t="s">
        <v>74</v>
      </c>
      <c r="AG612">
        <v>52</v>
      </c>
      <c r="AH612">
        <v>8</v>
      </c>
      <c r="AI612">
        <v>8</v>
      </c>
      <c r="AJ612">
        <v>1</v>
      </c>
      <c r="AK612">
        <v>23</v>
      </c>
      <c r="AL612" t="s">
        <v>284</v>
      </c>
      <c r="AM612" t="s">
        <v>285</v>
      </c>
      <c r="AN612" t="s">
        <v>713</v>
      </c>
      <c r="AO612" t="s">
        <v>2914</v>
      </c>
      <c r="AP612" t="s">
        <v>2915</v>
      </c>
      <c r="AQ612" t="s">
        <v>74</v>
      </c>
      <c r="AR612" t="s">
        <v>2902</v>
      </c>
      <c r="AS612" t="s">
        <v>2916</v>
      </c>
      <c r="AT612" t="s">
        <v>12088</v>
      </c>
      <c r="AU612">
        <v>2020</v>
      </c>
      <c r="AV612">
        <v>521</v>
      </c>
      <c r="AW612" t="s">
        <v>74</v>
      </c>
      <c r="AX612" t="s">
        <v>74</v>
      </c>
      <c r="AY612" t="s">
        <v>74</v>
      </c>
      <c r="AZ612" t="s">
        <v>74</v>
      </c>
      <c r="BA612" t="s">
        <v>74</v>
      </c>
      <c r="BB612" t="s">
        <v>74</v>
      </c>
      <c r="BC612" t="s">
        <v>74</v>
      </c>
      <c r="BD612">
        <v>735096</v>
      </c>
      <c r="BE612" t="s">
        <v>12194</v>
      </c>
      <c r="BF612" t="str">
        <f>HYPERLINK("http://dx.doi.org/10.1016/j.aquaculture.2020.735096","http://dx.doi.org/10.1016/j.aquaculture.2020.735096")</f>
        <v>http://dx.doi.org/10.1016/j.aquaculture.2020.735096</v>
      </c>
      <c r="BG612" t="s">
        <v>74</v>
      </c>
      <c r="BH612" t="s">
        <v>74</v>
      </c>
      <c r="BI612">
        <v>13</v>
      </c>
      <c r="BJ612" t="s">
        <v>1986</v>
      </c>
      <c r="BK612" t="s">
        <v>102</v>
      </c>
      <c r="BL612" t="s">
        <v>1986</v>
      </c>
      <c r="BM612" t="s">
        <v>12195</v>
      </c>
      <c r="BN612" t="s">
        <v>74</v>
      </c>
      <c r="BO612" t="s">
        <v>74</v>
      </c>
      <c r="BP612" t="s">
        <v>74</v>
      </c>
      <c r="BQ612" t="s">
        <v>74</v>
      </c>
      <c r="BR612" t="s">
        <v>106</v>
      </c>
      <c r="BS612" t="s">
        <v>12196</v>
      </c>
      <c r="BT612" t="str">
        <f>HYPERLINK("https%3A%2F%2Fwww.webofscience.com%2Fwos%2Fwoscc%2Ffull-record%2FWOS:000521282400043","View Full Record in Web of Science")</f>
        <v>View Full Record in Web of Science</v>
      </c>
    </row>
    <row r="613" spans="1:72" x14ac:dyDescent="0.15">
      <c r="A613" t="s">
        <v>72</v>
      </c>
      <c r="B613" t="s">
        <v>12197</v>
      </c>
      <c r="C613" t="s">
        <v>74</v>
      </c>
      <c r="D613" t="s">
        <v>74</v>
      </c>
      <c r="E613" t="s">
        <v>74</v>
      </c>
      <c r="F613" t="s">
        <v>12198</v>
      </c>
      <c r="G613" t="s">
        <v>74</v>
      </c>
      <c r="H613" t="s">
        <v>74</v>
      </c>
      <c r="I613" t="s">
        <v>12199</v>
      </c>
      <c r="J613" t="s">
        <v>2051</v>
      </c>
      <c r="K613" t="s">
        <v>74</v>
      </c>
      <c r="L613" t="s">
        <v>74</v>
      </c>
      <c r="M613" t="s">
        <v>78</v>
      </c>
      <c r="N613" t="s">
        <v>79</v>
      </c>
      <c r="O613" t="s">
        <v>74</v>
      </c>
      <c r="P613" t="s">
        <v>74</v>
      </c>
      <c r="Q613" t="s">
        <v>74</v>
      </c>
      <c r="R613" t="s">
        <v>74</v>
      </c>
      <c r="S613" t="s">
        <v>74</v>
      </c>
      <c r="T613" t="s">
        <v>74</v>
      </c>
      <c r="U613" t="s">
        <v>12200</v>
      </c>
      <c r="V613" t="s">
        <v>12201</v>
      </c>
      <c r="W613" t="s">
        <v>12202</v>
      </c>
      <c r="X613" t="s">
        <v>12203</v>
      </c>
      <c r="Y613" t="s">
        <v>12204</v>
      </c>
      <c r="Z613" t="s">
        <v>12205</v>
      </c>
      <c r="AA613" t="s">
        <v>12206</v>
      </c>
      <c r="AB613" t="s">
        <v>12207</v>
      </c>
      <c r="AC613" t="s">
        <v>12208</v>
      </c>
      <c r="AD613" t="s">
        <v>12209</v>
      </c>
      <c r="AE613" t="s">
        <v>12210</v>
      </c>
      <c r="AF613" t="s">
        <v>74</v>
      </c>
      <c r="AG613">
        <v>100</v>
      </c>
      <c r="AH613">
        <v>16</v>
      </c>
      <c r="AI613">
        <v>16</v>
      </c>
      <c r="AJ613">
        <v>2</v>
      </c>
      <c r="AK613">
        <v>17</v>
      </c>
      <c r="AL613" t="s">
        <v>1049</v>
      </c>
      <c r="AM613" t="s">
        <v>1050</v>
      </c>
      <c r="AN613" t="s">
        <v>1051</v>
      </c>
      <c r="AO613" t="s">
        <v>2063</v>
      </c>
      <c r="AP613" t="s">
        <v>2064</v>
      </c>
      <c r="AQ613" t="s">
        <v>74</v>
      </c>
      <c r="AR613" t="s">
        <v>2065</v>
      </c>
      <c r="AS613" t="s">
        <v>2066</v>
      </c>
      <c r="AT613" t="s">
        <v>12088</v>
      </c>
      <c r="AU613">
        <v>2020</v>
      </c>
      <c r="AV613">
        <v>20</v>
      </c>
      <c r="AW613">
        <v>9</v>
      </c>
      <c r="AX613" t="s">
        <v>74</v>
      </c>
      <c r="AY613" t="s">
        <v>74</v>
      </c>
      <c r="AZ613" t="s">
        <v>74</v>
      </c>
      <c r="BA613" t="s">
        <v>74</v>
      </c>
      <c r="BB613">
        <v>5861</v>
      </c>
      <c r="BC613">
        <v>5885</v>
      </c>
      <c r="BD613" t="s">
        <v>74</v>
      </c>
      <c r="BE613" t="s">
        <v>12211</v>
      </c>
      <c r="BF613" t="str">
        <f>HYPERLINK("http://dx.doi.org/10.5194/acp-20-5861-2020","http://dx.doi.org/10.5194/acp-20-5861-2020")</f>
        <v>http://dx.doi.org/10.5194/acp-20-5861-2020</v>
      </c>
      <c r="BG613" t="s">
        <v>74</v>
      </c>
      <c r="BH613" t="s">
        <v>74</v>
      </c>
      <c r="BI613">
        <v>25</v>
      </c>
      <c r="BJ613" t="s">
        <v>2068</v>
      </c>
      <c r="BK613" t="s">
        <v>102</v>
      </c>
      <c r="BL613" t="s">
        <v>2069</v>
      </c>
      <c r="BM613" t="s">
        <v>12107</v>
      </c>
      <c r="BN613" t="s">
        <v>74</v>
      </c>
      <c r="BO613" t="s">
        <v>3338</v>
      </c>
      <c r="BP613" t="s">
        <v>74</v>
      </c>
      <c r="BQ613" t="s">
        <v>74</v>
      </c>
      <c r="BR613" t="s">
        <v>106</v>
      </c>
      <c r="BS613" t="s">
        <v>12212</v>
      </c>
      <c r="BT613" t="str">
        <f>HYPERLINK("https%3A%2F%2Fwww.webofscience.com%2Fwos%2Fwoscc%2Ffull-record%2FWOS:000535264700003","View Full Record in Web of Science")</f>
        <v>View Full Record in Web of Science</v>
      </c>
    </row>
    <row r="614" spans="1:72" x14ac:dyDescent="0.15">
      <c r="A614" t="s">
        <v>72</v>
      </c>
      <c r="B614" t="s">
        <v>12213</v>
      </c>
      <c r="C614" t="s">
        <v>74</v>
      </c>
      <c r="D614" t="s">
        <v>74</v>
      </c>
      <c r="E614" t="s">
        <v>74</v>
      </c>
      <c r="F614" t="s">
        <v>12214</v>
      </c>
      <c r="G614" t="s">
        <v>74</v>
      </c>
      <c r="H614" t="s">
        <v>74</v>
      </c>
      <c r="I614" t="s">
        <v>12215</v>
      </c>
      <c r="J614" t="s">
        <v>7189</v>
      </c>
      <c r="K614" t="s">
        <v>74</v>
      </c>
      <c r="L614" t="s">
        <v>74</v>
      </c>
      <c r="M614" t="s">
        <v>78</v>
      </c>
      <c r="N614" t="s">
        <v>79</v>
      </c>
      <c r="O614" t="s">
        <v>74</v>
      </c>
      <c r="P614" t="s">
        <v>74</v>
      </c>
      <c r="Q614" t="s">
        <v>74</v>
      </c>
      <c r="R614" t="s">
        <v>74</v>
      </c>
      <c r="S614" t="s">
        <v>74</v>
      </c>
      <c r="T614" t="s">
        <v>12216</v>
      </c>
      <c r="U614" t="s">
        <v>12217</v>
      </c>
      <c r="V614" t="s">
        <v>12218</v>
      </c>
      <c r="W614" t="s">
        <v>12219</v>
      </c>
      <c r="X614" t="s">
        <v>12220</v>
      </c>
      <c r="Y614" t="s">
        <v>12221</v>
      </c>
      <c r="Z614" t="s">
        <v>12222</v>
      </c>
      <c r="AA614" t="s">
        <v>74</v>
      </c>
      <c r="AB614" t="s">
        <v>74</v>
      </c>
      <c r="AC614" t="s">
        <v>12223</v>
      </c>
      <c r="AD614" t="s">
        <v>12224</v>
      </c>
      <c r="AE614" t="s">
        <v>12225</v>
      </c>
      <c r="AF614" t="s">
        <v>74</v>
      </c>
      <c r="AG614">
        <v>11</v>
      </c>
      <c r="AH614">
        <v>8</v>
      </c>
      <c r="AI614">
        <v>9</v>
      </c>
      <c r="AJ614">
        <v>4</v>
      </c>
      <c r="AK614">
        <v>41</v>
      </c>
      <c r="AL614" t="s">
        <v>284</v>
      </c>
      <c r="AM614" t="s">
        <v>285</v>
      </c>
      <c r="AN614" t="s">
        <v>286</v>
      </c>
      <c r="AO614" t="s">
        <v>7200</v>
      </c>
      <c r="AP614" t="s">
        <v>7201</v>
      </c>
      <c r="AQ614" t="s">
        <v>74</v>
      </c>
      <c r="AR614" t="s">
        <v>7202</v>
      </c>
      <c r="AS614" t="s">
        <v>7203</v>
      </c>
      <c r="AT614" t="s">
        <v>12088</v>
      </c>
      <c r="AU614">
        <v>2020</v>
      </c>
      <c r="AV614">
        <v>151</v>
      </c>
      <c r="AW614" t="s">
        <v>74</v>
      </c>
      <c r="AX614" t="s">
        <v>74</v>
      </c>
      <c r="AY614" t="s">
        <v>74</v>
      </c>
      <c r="AZ614" t="s">
        <v>74</v>
      </c>
      <c r="BA614" t="s">
        <v>74</v>
      </c>
      <c r="BB614">
        <v>62</v>
      </c>
      <c r="BC614">
        <v>65</v>
      </c>
      <c r="BD614" t="s">
        <v>74</v>
      </c>
      <c r="BE614" t="s">
        <v>12226</v>
      </c>
      <c r="BF614" t="str">
        <f>HYPERLINK("http://dx.doi.org/10.1016/j.ijbiomac.2020.02.148","http://dx.doi.org/10.1016/j.ijbiomac.2020.02.148")</f>
        <v>http://dx.doi.org/10.1016/j.ijbiomac.2020.02.148</v>
      </c>
      <c r="BG614" t="s">
        <v>74</v>
      </c>
      <c r="BH614" t="s">
        <v>74</v>
      </c>
      <c r="BI614">
        <v>4</v>
      </c>
      <c r="BJ614" t="s">
        <v>7205</v>
      </c>
      <c r="BK614" t="s">
        <v>102</v>
      </c>
      <c r="BL614" t="s">
        <v>7206</v>
      </c>
      <c r="BM614" t="s">
        <v>12227</v>
      </c>
      <c r="BN614">
        <v>32068063</v>
      </c>
      <c r="BO614" t="s">
        <v>74</v>
      </c>
      <c r="BP614" t="s">
        <v>74</v>
      </c>
      <c r="BQ614" t="s">
        <v>74</v>
      </c>
      <c r="BR614" t="s">
        <v>106</v>
      </c>
      <c r="BS614" t="s">
        <v>12228</v>
      </c>
      <c r="BT614" t="str">
        <f>HYPERLINK("https%3A%2F%2Fwww.webofscience.com%2Fwos%2Fwoscc%2Ffull-record%2FWOS:000528267400007","View Full Record in Web of Science")</f>
        <v>View Full Record in Web of Science</v>
      </c>
    </row>
    <row r="615" spans="1:72" x14ac:dyDescent="0.15">
      <c r="A615" t="s">
        <v>72</v>
      </c>
      <c r="B615" t="s">
        <v>12229</v>
      </c>
      <c r="C615" t="s">
        <v>74</v>
      </c>
      <c r="D615" t="s">
        <v>74</v>
      </c>
      <c r="E615" t="s">
        <v>74</v>
      </c>
      <c r="F615" t="s">
        <v>12230</v>
      </c>
      <c r="G615" t="s">
        <v>74</v>
      </c>
      <c r="H615" t="s">
        <v>74</v>
      </c>
      <c r="I615" t="s">
        <v>12231</v>
      </c>
      <c r="J615" t="s">
        <v>12232</v>
      </c>
      <c r="K615" t="s">
        <v>74</v>
      </c>
      <c r="L615" t="s">
        <v>74</v>
      </c>
      <c r="M615" t="s">
        <v>78</v>
      </c>
      <c r="N615" t="s">
        <v>79</v>
      </c>
      <c r="O615" t="s">
        <v>74</v>
      </c>
      <c r="P615" t="s">
        <v>74</v>
      </c>
      <c r="Q615" t="s">
        <v>74</v>
      </c>
      <c r="R615" t="s">
        <v>74</v>
      </c>
      <c r="S615" t="s">
        <v>74</v>
      </c>
      <c r="T615" t="s">
        <v>12233</v>
      </c>
      <c r="U615" t="s">
        <v>12234</v>
      </c>
      <c r="V615" t="s">
        <v>12235</v>
      </c>
      <c r="W615" t="s">
        <v>12236</v>
      </c>
      <c r="X615" t="s">
        <v>12237</v>
      </c>
      <c r="Y615" t="s">
        <v>12238</v>
      </c>
      <c r="Z615" t="s">
        <v>12239</v>
      </c>
      <c r="AA615" t="s">
        <v>12240</v>
      </c>
      <c r="AB615" t="s">
        <v>12241</v>
      </c>
      <c r="AC615" t="s">
        <v>12242</v>
      </c>
      <c r="AD615" t="s">
        <v>12243</v>
      </c>
      <c r="AE615" t="s">
        <v>12244</v>
      </c>
      <c r="AF615" t="s">
        <v>74</v>
      </c>
      <c r="AG615">
        <v>53</v>
      </c>
      <c r="AH615">
        <v>3</v>
      </c>
      <c r="AI615">
        <v>4</v>
      </c>
      <c r="AJ615">
        <v>2</v>
      </c>
      <c r="AK615">
        <v>32</v>
      </c>
      <c r="AL615" t="s">
        <v>284</v>
      </c>
      <c r="AM615" t="s">
        <v>285</v>
      </c>
      <c r="AN615" t="s">
        <v>286</v>
      </c>
      <c r="AO615" t="s">
        <v>12245</v>
      </c>
      <c r="AP615" t="s">
        <v>12246</v>
      </c>
      <c r="AQ615" t="s">
        <v>74</v>
      </c>
      <c r="AR615" t="s">
        <v>12247</v>
      </c>
      <c r="AS615" t="s">
        <v>12248</v>
      </c>
      <c r="AT615" t="s">
        <v>12088</v>
      </c>
      <c r="AU615">
        <v>2020</v>
      </c>
      <c r="AV615">
        <v>464</v>
      </c>
      <c r="AW615" t="s">
        <v>74</v>
      </c>
      <c r="AX615" t="s">
        <v>74</v>
      </c>
      <c r="AY615" t="s">
        <v>74</v>
      </c>
      <c r="AZ615" t="s">
        <v>74</v>
      </c>
      <c r="BA615" t="s">
        <v>74</v>
      </c>
      <c r="BB615" t="s">
        <v>74</v>
      </c>
      <c r="BC615" t="s">
        <v>74</v>
      </c>
      <c r="BD615">
        <v>118034</v>
      </c>
      <c r="BE615" t="s">
        <v>12249</v>
      </c>
      <c r="BF615" t="str">
        <f>HYPERLINK("http://dx.doi.org/10.1016/j.foreco.2020.118034","http://dx.doi.org/10.1016/j.foreco.2020.118034")</f>
        <v>http://dx.doi.org/10.1016/j.foreco.2020.118034</v>
      </c>
      <c r="BG615" t="s">
        <v>74</v>
      </c>
      <c r="BH615" t="s">
        <v>74</v>
      </c>
      <c r="BI615">
        <v>10</v>
      </c>
      <c r="BJ615" t="s">
        <v>12250</v>
      </c>
      <c r="BK615" t="s">
        <v>102</v>
      </c>
      <c r="BL615" t="s">
        <v>12250</v>
      </c>
      <c r="BM615" t="s">
        <v>12251</v>
      </c>
      <c r="BN615" t="s">
        <v>74</v>
      </c>
      <c r="BO615" t="s">
        <v>74</v>
      </c>
      <c r="BP615" t="s">
        <v>74</v>
      </c>
      <c r="BQ615" t="s">
        <v>74</v>
      </c>
      <c r="BR615" t="s">
        <v>106</v>
      </c>
      <c r="BS615" t="s">
        <v>12252</v>
      </c>
      <c r="BT615" t="str">
        <f>HYPERLINK("https%3A%2F%2Fwww.webofscience.com%2Fwos%2Fwoscc%2Ffull-record%2FWOS:000528191300002","View Full Record in Web of Science")</f>
        <v>View Full Record in Web of Science</v>
      </c>
    </row>
    <row r="616" spans="1:72" x14ac:dyDescent="0.15">
      <c r="A616" t="s">
        <v>72</v>
      </c>
      <c r="B616" t="s">
        <v>12253</v>
      </c>
      <c r="C616" t="s">
        <v>74</v>
      </c>
      <c r="D616" t="s">
        <v>74</v>
      </c>
      <c r="E616" t="s">
        <v>74</v>
      </c>
      <c r="F616" t="s">
        <v>12254</v>
      </c>
      <c r="G616" t="s">
        <v>74</v>
      </c>
      <c r="H616" t="s">
        <v>74</v>
      </c>
      <c r="I616" t="s">
        <v>12255</v>
      </c>
      <c r="J616" t="s">
        <v>12256</v>
      </c>
      <c r="K616" t="s">
        <v>74</v>
      </c>
      <c r="L616" t="s">
        <v>74</v>
      </c>
      <c r="M616" t="s">
        <v>78</v>
      </c>
      <c r="N616" t="s">
        <v>79</v>
      </c>
      <c r="O616" t="s">
        <v>74</v>
      </c>
      <c r="P616" t="s">
        <v>74</v>
      </c>
      <c r="Q616" t="s">
        <v>74</v>
      </c>
      <c r="R616" t="s">
        <v>74</v>
      </c>
      <c r="S616" t="s">
        <v>74</v>
      </c>
      <c r="T616" t="s">
        <v>12257</v>
      </c>
      <c r="U616" t="s">
        <v>12258</v>
      </c>
      <c r="V616" t="s">
        <v>12259</v>
      </c>
      <c r="W616" t="s">
        <v>12260</v>
      </c>
      <c r="X616" t="s">
        <v>12261</v>
      </c>
      <c r="Y616" t="s">
        <v>12262</v>
      </c>
      <c r="Z616" t="s">
        <v>12263</v>
      </c>
      <c r="AA616" t="s">
        <v>74</v>
      </c>
      <c r="AB616" t="s">
        <v>12264</v>
      </c>
      <c r="AC616" t="s">
        <v>12265</v>
      </c>
      <c r="AD616" t="s">
        <v>12266</v>
      </c>
      <c r="AE616" t="s">
        <v>12267</v>
      </c>
      <c r="AF616" t="s">
        <v>74</v>
      </c>
      <c r="AG616">
        <v>32</v>
      </c>
      <c r="AH616">
        <v>4</v>
      </c>
      <c r="AI616">
        <v>4</v>
      </c>
      <c r="AJ616">
        <v>2</v>
      </c>
      <c r="AK616">
        <v>10</v>
      </c>
      <c r="AL616" t="s">
        <v>284</v>
      </c>
      <c r="AM616" t="s">
        <v>285</v>
      </c>
      <c r="AN616" t="s">
        <v>286</v>
      </c>
      <c r="AO616" t="s">
        <v>12268</v>
      </c>
      <c r="AP616" t="s">
        <v>12269</v>
      </c>
      <c r="AQ616" t="s">
        <v>74</v>
      </c>
      <c r="AR616" t="s">
        <v>12270</v>
      </c>
      <c r="AS616" t="s">
        <v>12271</v>
      </c>
      <c r="AT616" t="s">
        <v>12088</v>
      </c>
      <c r="AU616">
        <v>2020</v>
      </c>
      <c r="AV616">
        <v>546</v>
      </c>
      <c r="AW616" t="s">
        <v>74</v>
      </c>
      <c r="AX616" t="s">
        <v>74</v>
      </c>
      <c r="AY616" t="s">
        <v>74</v>
      </c>
      <c r="AZ616" t="s">
        <v>74</v>
      </c>
      <c r="BA616" t="s">
        <v>74</v>
      </c>
      <c r="BB616" t="s">
        <v>74</v>
      </c>
      <c r="BC616" t="s">
        <v>74</v>
      </c>
      <c r="BD616">
        <v>109633</v>
      </c>
      <c r="BE616" t="s">
        <v>12272</v>
      </c>
      <c r="BF616" t="str">
        <f>HYPERLINK("http://dx.doi.org/10.1016/j.palaeo.2020.109633","http://dx.doi.org/10.1016/j.palaeo.2020.109633")</f>
        <v>http://dx.doi.org/10.1016/j.palaeo.2020.109633</v>
      </c>
      <c r="BG616" t="s">
        <v>74</v>
      </c>
      <c r="BH616" t="s">
        <v>74</v>
      </c>
      <c r="BI616">
        <v>8</v>
      </c>
      <c r="BJ616" t="s">
        <v>12273</v>
      </c>
      <c r="BK616" t="s">
        <v>102</v>
      </c>
      <c r="BL616" t="s">
        <v>12274</v>
      </c>
      <c r="BM616" t="s">
        <v>12275</v>
      </c>
      <c r="BN616" t="s">
        <v>74</v>
      </c>
      <c r="BO616" t="s">
        <v>448</v>
      </c>
      <c r="BP616" t="s">
        <v>74</v>
      </c>
      <c r="BQ616" t="s">
        <v>74</v>
      </c>
      <c r="BR616" t="s">
        <v>106</v>
      </c>
      <c r="BS616" t="s">
        <v>12276</v>
      </c>
      <c r="BT616" t="str">
        <f>HYPERLINK("https%3A%2F%2Fwww.webofscience.com%2Fwos%2Fwoscc%2Ffull-record%2FWOS:000526826100014","View Full Record in Web of Science")</f>
        <v>View Full Record in Web of Science</v>
      </c>
    </row>
    <row r="617" spans="1:72" x14ac:dyDescent="0.15">
      <c r="A617" t="s">
        <v>72</v>
      </c>
      <c r="B617" t="s">
        <v>12277</v>
      </c>
      <c r="C617" t="s">
        <v>74</v>
      </c>
      <c r="D617" t="s">
        <v>74</v>
      </c>
      <c r="E617" t="s">
        <v>74</v>
      </c>
      <c r="F617" t="s">
        <v>12278</v>
      </c>
      <c r="G617" t="s">
        <v>74</v>
      </c>
      <c r="H617" t="s">
        <v>74</v>
      </c>
      <c r="I617" t="s">
        <v>12279</v>
      </c>
      <c r="J617" t="s">
        <v>12280</v>
      </c>
      <c r="K617" t="s">
        <v>74</v>
      </c>
      <c r="L617" t="s">
        <v>74</v>
      </c>
      <c r="M617" t="s">
        <v>78</v>
      </c>
      <c r="N617" t="s">
        <v>79</v>
      </c>
      <c r="O617" t="s">
        <v>74</v>
      </c>
      <c r="P617" t="s">
        <v>74</v>
      </c>
      <c r="Q617" t="s">
        <v>74</v>
      </c>
      <c r="R617" t="s">
        <v>74</v>
      </c>
      <c r="S617" t="s">
        <v>74</v>
      </c>
      <c r="T617" t="s">
        <v>12281</v>
      </c>
      <c r="U617" t="s">
        <v>12282</v>
      </c>
      <c r="V617" t="s">
        <v>12283</v>
      </c>
      <c r="W617" t="s">
        <v>12284</v>
      </c>
      <c r="X617" t="s">
        <v>12285</v>
      </c>
      <c r="Y617" t="s">
        <v>12286</v>
      </c>
      <c r="Z617" t="s">
        <v>12287</v>
      </c>
      <c r="AA617" t="s">
        <v>12288</v>
      </c>
      <c r="AB617" t="s">
        <v>12289</v>
      </c>
      <c r="AC617" t="s">
        <v>12290</v>
      </c>
      <c r="AD617" t="s">
        <v>12291</v>
      </c>
      <c r="AE617" t="s">
        <v>12292</v>
      </c>
      <c r="AF617" t="s">
        <v>74</v>
      </c>
      <c r="AG617">
        <v>77</v>
      </c>
      <c r="AH617">
        <v>12</v>
      </c>
      <c r="AI617">
        <v>12</v>
      </c>
      <c r="AJ617">
        <v>0</v>
      </c>
      <c r="AK617">
        <v>21</v>
      </c>
      <c r="AL617" t="s">
        <v>398</v>
      </c>
      <c r="AM617" t="s">
        <v>399</v>
      </c>
      <c r="AN617" t="s">
        <v>400</v>
      </c>
      <c r="AO617" t="s">
        <v>12293</v>
      </c>
      <c r="AP617" t="s">
        <v>12294</v>
      </c>
      <c r="AQ617" t="s">
        <v>74</v>
      </c>
      <c r="AR617" t="s">
        <v>12295</v>
      </c>
      <c r="AS617" t="s">
        <v>12296</v>
      </c>
      <c r="AT617" t="s">
        <v>12088</v>
      </c>
      <c r="AU617">
        <v>2020</v>
      </c>
      <c r="AV617">
        <v>236</v>
      </c>
      <c r="AW617" t="s">
        <v>74</v>
      </c>
      <c r="AX617" t="s">
        <v>74</v>
      </c>
      <c r="AY617" t="s">
        <v>74</v>
      </c>
      <c r="AZ617" t="s">
        <v>74</v>
      </c>
      <c r="BA617" t="s">
        <v>74</v>
      </c>
      <c r="BB617" t="s">
        <v>74</v>
      </c>
      <c r="BC617" t="s">
        <v>74</v>
      </c>
      <c r="BD617">
        <v>104802</v>
      </c>
      <c r="BE617" t="s">
        <v>12297</v>
      </c>
      <c r="BF617" t="str">
        <f>HYPERLINK("http://dx.doi.org/10.1016/j.atmosres.2019.104802","http://dx.doi.org/10.1016/j.atmosres.2019.104802")</f>
        <v>http://dx.doi.org/10.1016/j.atmosres.2019.104802</v>
      </c>
      <c r="BG617" t="s">
        <v>74</v>
      </c>
      <c r="BH617" t="s">
        <v>74</v>
      </c>
      <c r="BI617">
        <v>17</v>
      </c>
      <c r="BJ617" t="s">
        <v>159</v>
      </c>
      <c r="BK617" t="s">
        <v>102</v>
      </c>
      <c r="BL617" t="s">
        <v>159</v>
      </c>
      <c r="BM617" t="s">
        <v>12298</v>
      </c>
      <c r="BN617" t="s">
        <v>74</v>
      </c>
      <c r="BO617" t="s">
        <v>133</v>
      </c>
      <c r="BP617" t="s">
        <v>74</v>
      </c>
      <c r="BQ617" t="s">
        <v>74</v>
      </c>
      <c r="BR617" t="s">
        <v>106</v>
      </c>
      <c r="BS617" t="s">
        <v>12299</v>
      </c>
      <c r="BT617" t="str">
        <f>HYPERLINK("https%3A%2F%2Fwww.webofscience.com%2Fwos%2Fwoscc%2Ffull-record%2FWOS:000525322900027","View Full Record in Web of Science")</f>
        <v>View Full Record in Web of Science</v>
      </c>
    </row>
    <row r="618" spans="1:72" x14ac:dyDescent="0.15">
      <c r="A618" t="s">
        <v>72</v>
      </c>
      <c r="B618" t="s">
        <v>12300</v>
      </c>
      <c r="C618" t="s">
        <v>74</v>
      </c>
      <c r="D618" t="s">
        <v>74</v>
      </c>
      <c r="E618" t="s">
        <v>74</v>
      </c>
      <c r="F618" t="s">
        <v>12301</v>
      </c>
      <c r="G618" t="s">
        <v>74</v>
      </c>
      <c r="H618" t="s">
        <v>74</v>
      </c>
      <c r="I618" t="s">
        <v>12302</v>
      </c>
      <c r="J618" t="s">
        <v>2111</v>
      </c>
      <c r="K618" t="s">
        <v>74</v>
      </c>
      <c r="L618" t="s">
        <v>74</v>
      </c>
      <c r="M618" t="s">
        <v>78</v>
      </c>
      <c r="N618" t="s">
        <v>79</v>
      </c>
      <c r="O618" t="s">
        <v>74</v>
      </c>
      <c r="P618" t="s">
        <v>74</v>
      </c>
      <c r="Q618" t="s">
        <v>74</v>
      </c>
      <c r="R618" t="s">
        <v>74</v>
      </c>
      <c r="S618" t="s">
        <v>74</v>
      </c>
      <c r="T618" t="s">
        <v>74</v>
      </c>
      <c r="U618" t="s">
        <v>12303</v>
      </c>
      <c r="V618" t="s">
        <v>12304</v>
      </c>
      <c r="W618" t="s">
        <v>12305</v>
      </c>
      <c r="X618" t="s">
        <v>12306</v>
      </c>
      <c r="Y618" t="s">
        <v>12307</v>
      </c>
      <c r="Z618" t="s">
        <v>12308</v>
      </c>
      <c r="AA618" t="s">
        <v>12309</v>
      </c>
      <c r="AB618" t="s">
        <v>12310</v>
      </c>
      <c r="AC618" t="s">
        <v>12311</v>
      </c>
      <c r="AD618" t="s">
        <v>12312</v>
      </c>
      <c r="AE618" t="s">
        <v>12313</v>
      </c>
      <c r="AF618" t="s">
        <v>74</v>
      </c>
      <c r="AG618">
        <v>83</v>
      </c>
      <c r="AH618">
        <v>13</v>
      </c>
      <c r="AI618">
        <v>15</v>
      </c>
      <c r="AJ618">
        <v>0</v>
      </c>
      <c r="AK618">
        <v>28</v>
      </c>
      <c r="AL618" t="s">
        <v>2121</v>
      </c>
      <c r="AM618" t="s">
        <v>2122</v>
      </c>
      <c r="AN618" t="s">
        <v>2123</v>
      </c>
      <c r="AO618" t="s">
        <v>2124</v>
      </c>
      <c r="AP618" t="s">
        <v>74</v>
      </c>
      <c r="AQ618" t="s">
        <v>74</v>
      </c>
      <c r="AR618" t="s">
        <v>2111</v>
      </c>
      <c r="AS618" t="s">
        <v>2125</v>
      </c>
      <c r="AT618" t="s">
        <v>12314</v>
      </c>
      <c r="AU618">
        <v>2020</v>
      </c>
      <c r="AV618">
        <v>15</v>
      </c>
      <c r="AW618">
        <v>5</v>
      </c>
      <c r="AX618" t="s">
        <v>74</v>
      </c>
      <c r="AY618" t="s">
        <v>74</v>
      </c>
      <c r="AZ618" t="s">
        <v>74</v>
      </c>
      <c r="BA618" t="s">
        <v>74</v>
      </c>
      <c r="BB618" t="s">
        <v>74</v>
      </c>
      <c r="BC618" t="s">
        <v>74</v>
      </c>
      <c r="BD618" t="s">
        <v>12315</v>
      </c>
      <c r="BE618" t="s">
        <v>12316</v>
      </c>
      <c r="BF618" t="str">
        <f>HYPERLINK("http://dx.doi.org/10.1371/journal.pone.0232614","http://dx.doi.org/10.1371/journal.pone.0232614")</f>
        <v>http://dx.doi.org/10.1371/journal.pone.0232614</v>
      </c>
      <c r="BG618" t="s">
        <v>74</v>
      </c>
      <c r="BH618" t="s">
        <v>74</v>
      </c>
      <c r="BI618">
        <v>20</v>
      </c>
      <c r="BJ618" t="s">
        <v>1125</v>
      </c>
      <c r="BK618" t="s">
        <v>102</v>
      </c>
      <c r="BL618" t="s">
        <v>1126</v>
      </c>
      <c r="BM618" t="s">
        <v>12317</v>
      </c>
      <c r="BN618">
        <v>32407403</v>
      </c>
      <c r="BO618" t="s">
        <v>1778</v>
      </c>
      <c r="BP618" t="s">
        <v>74</v>
      </c>
      <c r="BQ618" t="s">
        <v>74</v>
      </c>
      <c r="BR618" t="s">
        <v>106</v>
      </c>
      <c r="BS618" t="s">
        <v>12318</v>
      </c>
      <c r="BT618" t="str">
        <f>HYPERLINK("https%3A%2F%2Fwww.webofscience.com%2Fwos%2Fwoscc%2Ffull-record%2FWOS:000537490700026","View Full Record in Web of Science")</f>
        <v>View Full Record in Web of Science</v>
      </c>
    </row>
    <row r="619" spans="1:72" x14ac:dyDescent="0.15">
      <c r="A619" t="s">
        <v>72</v>
      </c>
      <c r="B619" t="s">
        <v>12319</v>
      </c>
      <c r="C619" t="s">
        <v>74</v>
      </c>
      <c r="D619" t="s">
        <v>74</v>
      </c>
      <c r="E619" t="s">
        <v>74</v>
      </c>
      <c r="F619" t="s">
        <v>12320</v>
      </c>
      <c r="G619" t="s">
        <v>74</v>
      </c>
      <c r="H619" t="s">
        <v>74</v>
      </c>
      <c r="I619" t="s">
        <v>12321</v>
      </c>
      <c r="J619" t="s">
        <v>10377</v>
      </c>
      <c r="K619" t="s">
        <v>74</v>
      </c>
      <c r="L619" t="s">
        <v>74</v>
      </c>
      <c r="M619" t="s">
        <v>78</v>
      </c>
      <c r="N619" t="s">
        <v>79</v>
      </c>
      <c r="O619" t="s">
        <v>74</v>
      </c>
      <c r="P619" t="s">
        <v>74</v>
      </c>
      <c r="Q619" t="s">
        <v>74</v>
      </c>
      <c r="R619" t="s">
        <v>74</v>
      </c>
      <c r="S619" t="s">
        <v>74</v>
      </c>
      <c r="T619" t="s">
        <v>12322</v>
      </c>
      <c r="U619" t="s">
        <v>12323</v>
      </c>
      <c r="V619" t="s">
        <v>12324</v>
      </c>
      <c r="W619" t="s">
        <v>12325</v>
      </c>
      <c r="X619" t="s">
        <v>12326</v>
      </c>
      <c r="Y619" t="s">
        <v>12327</v>
      </c>
      <c r="Z619" t="s">
        <v>12328</v>
      </c>
      <c r="AA619" t="s">
        <v>12329</v>
      </c>
      <c r="AB619" t="s">
        <v>12330</v>
      </c>
      <c r="AC619" t="s">
        <v>12331</v>
      </c>
      <c r="AD619" t="s">
        <v>12332</v>
      </c>
      <c r="AE619" t="s">
        <v>12333</v>
      </c>
      <c r="AF619" t="s">
        <v>74</v>
      </c>
      <c r="AG619">
        <v>110</v>
      </c>
      <c r="AH619">
        <v>55</v>
      </c>
      <c r="AI619">
        <v>58</v>
      </c>
      <c r="AJ619">
        <v>5</v>
      </c>
      <c r="AK619">
        <v>72</v>
      </c>
      <c r="AL619" t="s">
        <v>994</v>
      </c>
      <c r="AM619" t="s">
        <v>995</v>
      </c>
      <c r="AN619" t="s">
        <v>996</v>
      </c>
      <c r="AO619" t="s">
        <v>10388</v>
      </c>
      <c r="AP619" t="s">
        <v>10389</v>
      </c>
      <c r="AQ619" t="s">
        <v>74</v>
      </c>
      <c r="AR619" t="s">
        <v>10390</v>
      </c>
      <c r="AS619" t="s">
        <v>10391</v>
      </c>
      <c r="AT619" t="s">
        <v>11250</v>
      </c>
      <c r="AU619">
        <v>2020</v>
      </c>
      <c r="AV619">
        <v>29</v>
      </c>
      <c r="AW619">
        <v>10</v>
      </c>
      <c r="AX619" t="s">
        <v>74</v>
      </c>
      <c r="AY619" t="s">
        <v>74</v>
      </c>
      <c r="AZ619" t="s">
        <v>74</v>
      </c>
      <c r="BA619" t="s">
        <v>74</v>
      </c>
      <c r="BB619">
        <v>1903</v>
      </c>
      <c r="BC619">
        <v>1918</v>
      </c>
      <c r="BD619" t="s">
        <v>74</v>
      </c>
      <c r="BE619" t="s">
        <v>12334</v>
      </c>
      <c r="BF619" t="str">
        <f>HYPERLINK("http://dx.doi.org/10.1111/mec.15444","http://dx.doi.org/10.1111/mec.15444")</f>
        <v>http://dx.doi.org/10.1111/mec.15444</v>
      </c>
      <c r="BG619" t="s">
        <v>74</v>
      </c>
      <c r="BH619" t="s">
        <v>10854</v>
      </c>
      <c r="BI619">
        <v>16</v>
      </c>
      <c r="BJ619" t="s">
        <v>10393</v>
      </c>
      <c r="BK619" t="s">
        <v>102</v>
      </c>
      <c r="BL619" t="s">
        <v>10394</v>
      </c>
      <c r="BM619" t="s">
        <v>12335</v>
      </c>
      <c r="BN619">
        <v>32270556</v>
      </c>
      <c r="BO619" t="s">
        <v>189</v>
      </c>
      <c r="BP619" t="s">
        <v>74</v>
      </c>
      <c r="BQ619" t="s">
        <v>74</v>
      </c>
      <c r="BR619" t="s">
        <v>106</v>
      </c>
      <c r="BS619" t="s">
        <v>12336</v>
      </c>
      <c r="BT619" t="str">
        <f>HYPERLINK("https%3A%2F%2Fwww.webofscience.com%2Fwos%2Fwoscc%2Ffull-record%2FWOS:000532532800001","View Full Record in Web of Science")</f>
        <v>View Full Record in Web of Science</v>
      </c>
    </row>
    <row r="620" spans="1:72" x14ac:dyDescent="0.15">
      <c r="A620" t="s">
        <v>72</v>
      </c>
      <c r="B620" t="s">
        <v>12337</v>
      </c>
      <c r="C620" t="s">
        <v>74</v>
      </c>
      <c r="D620" t="s">
        <v>74</v>
      </c>
      <c r="E620" t="s">
        <v>74</v>
      </c>
      <c r="F620" t="s">
        <v>12338</v>
      </c>
      <c r="G620" t="s">
        <v>74</v>
      </c>
      <c r="H620" t="s">
        <v>74</v>
      </c>
      <c r="I620" t="s">
        <v>12339</v>
      </c>
      <c r="J620" t="s">
        <v>2028</v>
      </c>
      <c r="K620" t="s">
        <v>74</v>
      </c>
      <c r="L620" t="s">
        <v>74</v>
      </c>
      <c r="M620" t="s">
        <v>78</v>
      </c>
      <c r="N620" t="s">
        <v>79</v>
      </c>
      <c r="O620" t="s">
        <v>74</v>
      </c>
      <c r="P620" t="s">
        <v>74</v>
      </c>
      <c r="Q620" t="s">
        <v>74</v>
      </c>
      <c r="R620" t="s">
        <v>74</v>
      </c>
      <c r="S620" t="s">
        <v>74</v>
      </c>
      <c r="T620" t="s">
        <v>12340</v>
      </c>
      <c r="U620" t="s">
        <v>12341</v>
      </c>
      <c r="V620" t="s">
        <v>12342</v>
      </c>
      <c r="W620" t="s">
        <v>12343</v>
      </c>
      <c r="X620" t="s">
        <v>12344</v>
      </c>
      <c r="Y620" t="s">
        <v>12345</v>
      </c>
      <c r="Z620" t="s">
        <v>12346</v>
      </c>
      <c r="AA620" t="s">
        <v>12347</v>
      </c>
      <c r="AB620" t="s">
        <v>12348</v>
      </c>
      <c r="AC620" t="s">
        <v>12349</v>
      </c>
      <c r="AD620" t="s">
        <v>12350</v>
      </c>
      <c r="AE620" t="s">
        <v>12351</v>
      </c>
      <c r="AF620" t="s">
        <v>74</v>
      </c>
      <c r="AG620">
        <v>40</v>
      </c>
      <c r="AH620">
        <v>15</v>
      </c>
      <c r="AI620">
        <v>17</v>
      </c>
      <c r="AJ620">
        <v>1</v>
      </c>
      <c r="AK620">
        <v>23</v>
      </c>
      <c r="AL620" t="s">
        <v>1024</v>
      </c>
      <c r="AM620" t="s">
        <v>1025</v>
      </c>
      <c r="AN620" t="s">
        <v>1026</v>
      </c>
      <c r="AO620" t="s">
        <v>2040</v>
      </c>
      <c r="AP620" t="s">
        <v>74</v>
      </c>
      <c r="AQ620" t="s">
        <v>74</v>
      </c>
      <c r="AR620" t="s">
        <v>2041</v>
      </c>
      <c r="AS620" t="s">
        <v>2042</v>
      </c>
      <c r="AT620" t="s">
        <v>12352</v>
      </c>
      <c r="AU620">
        <v>2020</v>
      </c>
      <c r="AV620">
        <v>11</v>
      </c>
      <c r="AW620" t="s">
        <v>74</v>
      </c>
      <c r="AX620" t="s">
        <v>74</v>
      </c>
      <c r="AY620" t="s">
        <v>74</v>
      </c>
      <c r="AZ620" t="s">
        <v>74</v>
      </c>
      <c r="BA620" t="s">
        <v>74</v>
      </c>
      <c r="BB620" t="s">
        <v>74</v>
      </c>
      <c r="BC620" t="s">
        <v>74</v>
      </c>
      <c r="BD620">
        <v>881</v>
      </c>
      <c r="BE620" t="s">
        <v>12353</v>
      </c>
      <c r="BF620" t="str">
        <f>HYPERLINK("http://dx.doi.org/10.3389/fmicb.2020.00881","http://dx.doi.org/10.3389/fmicb.2020.00881")</f>
        <v>http://dx.doi.org/10.3389/fmicb.2020.00881</v>
      </c>
      <c r="BG620" t="s">
        <v>74</v>
      </c>
      <c r="BH620" t="s">
        <v>74</v>
      </c>
      <c r="BI620">
        <v>12</v>
      </c>
      <c r="BJ620" t="s">
        <v>2045</v>
      </c>
      <c r="BK620" t="s">
        <v>102</v>
      </c>
      <c r="BL620" t="s">
        <v>2045</v>
      </c>
      <c r="BM620" t="s">
        <v>12354</v>
      </c>
      <c r="BN620">
        <v>32528424</v>
      </c>
      <c r="BO620" t="s">
        <v>1778</v>
      </c>
      <c r="BP620" t="s">
        <v>74</v>
      </c>
      <c r="BQ620" t="s">
        <v>74</v>
      </c>
      <c r="BR620" t="s">
        <v>106</v>
      </c>
      <c r="BS620" t="s">
        <v>12355</v>
      </c>
      <c r="BT620" t="str">
        <f>HYPERLINK("https%3A%2F%2Fwww.webofscience.com%2Fwos%2Fwoscc%2Ffull-record%2FWOS:000537288100001","View Full Record in Web of Science")</f>
        <v>View Full Record in Web of Science</v>
      </c>
    </row>
    <row r="621" spans="1:72" x14ac:dyDescent="0.15">
      <c r="A621" t="s">
        <v>72</v>
      </c>
      <c r="B621" t="s">
        <v>12356</v>
      </c>
      <c r="C621" t="s">
        <v>74</v>
      </c>
      <c r="D621" t="s">
        <v>74</v>
      </c>
      <c r="E621" t="s">
        <v>74</v>
      </c>
      <c r="F621" t="s">
        <v>12357</v>
      </c>
      <c r="G621" t="s">
        <v>74</v>
      </c>
      <c r="H621" t="s">
        <v>74</v>
      </c>
      <c r="I621" t="s">
        <v>12358</v>
      </c>
      <c r="J621" t="s">
        <v>3490</v>
      </c>
      <c r="K621" t="s">
        <v>74</v>
      </c>
      <c r="L621" t="s">
        <v>74</v>
      </c>
      <c r="M621" t="s">
        <v>78</v>
      </c>
      <c r="N621" t="s">
        <v>79</v>
      </c>
      <c r="O621" t="s">
        <v>74</v>
      </c>
      <c r="P621" t="s">
        <v>74</v>
      </c>
      <c r="Q621" t="s">
        <v>74</v>
      </c>
      <c r="R621" t="s">
        <v>74</v>
      </c>
      <c r="S621" t="s">
        <v>74</v>
      </c>
      <c r="T621" t="s">
        <v>74</v>
      </c>
      <c r="U621" t="s">
        <v>12359</v>
      </c>
      <c r="V621" t="s">
        <v>12360</v>
      </c>
      <c r="W621" t="s">
        <v>12361</v>
      </c>
      <c r="X621" t="s">
        <v>12362</v>
      </c>
      <c r="Y621" t="s">
        <v>12363</v>
      </c>
      <c r="Z621" t="s">
        <v>12364</v>
      </c>
      <c r="AA621" t="s">
        <v>12365</v>
      </c>
      <c r="AB621" t="s">
        <v>12366</v>
      </c>
      <c r="AC621" t="s">
        <v>12367</v>
      </c>
      <c r="AD621" t="s">
        <v>12368</v>
      </c>
      <c r="AE621" t="s">
        <v>12369</v>
      </c>
      <c r="AF621" t="s">
        <v>74</v>
      </c>
      <c r="AG621">
        <v>82</v>
      </c>
      <c r="AH621">
        <v>39</v>
      </c>
      <c r="AI621">
        <v>42</v>
      </c>
      <c r="AJ621">
        <v>7</v>
      </c>
      <c r="AK621">
        <v>35</v>
      </c>
      <c r="AL621" t="s">
        <v>1389</v>
      </c>
      <c r="AM621" t="s">
        <v>945</v>
      </c>
      <c r="AN621" t="s">
        <v>1390</v>
      </c>
      <c r="AO621" t="s">
        <v>3493</v>
      </c>
      <c r="AP621" t="s">
        <v>74</v>
      </c>
      <c r="AQ621" t="s">
        <v>74</v>
      </c>
      <c r="AR621" t="s">
        <v>3494</v>
      </c>
      <c r="AS621" t="s">
        <v>3495</v>
      </c>
      <c r="AT621" t="s">
        <v>12352</v>
      </c>
      <c r="AU621">
        <v>2020</v>
      </c>
      <c r="AV621">
        <v>11</v>
      </c>
      <c r="AW621">
        <v>1</v>
      </c>
      <c r="AX621" t="s">
        <v>74</v>
      </c>
      <c r="AY621" t="s">
        <v>74</v>
      </c>
      <c r="AZ621" t="s">
        <v>74</v>
      </c>
      <c r="BA621" t="s">
        <v>74</v>
      </c>
      <c r="BB621" t="s">
        <v>74</v>
      </c>
      <c r="BC621" t="s">
        <v>74</v>
      </c>
      <c r="BD621">
        <v>2382</v>
      </c>
      <c r="BE621" t="s">
        <v>12370</v>
      </c>
      <c r="BF621" t="str">
        <f>HYPERLINK("http://dx.doi.org/10.1038/s41467-020-16181-0","http://dx.doi.org/10.1038/s41467-020-16181-0")</f>
        <v>http://dx.doi.org/10.1038/s41467-020-16181-0</v>
      </c>
      <c r="BG621" t="s">
        <v>74</v>
      </c>
      <c r="BH621" t="s">
        <v>74</v>
      </c>
      <c r="BI621">
        <v>12</v>
      </c>
      <c r="BJ621" t="s">
        <v>1125</v>
      </c>
      <c r="BK621" t="s">
        <v>102</v>
      </c>
      <c r="BL621" t="s">
        <v>1126</v>
      </c>
      <c r="BM621" t="s">
        <v>12371</v>
      </c>
      <c r="BN621">
        <v>32404869</v>
      </c>
      <c r="BO621" t="s">
        <v>2974</v>
      </c>
      <c r="BP621" t="s">
        <v>74</v>
      </c>
      <c r="BQ621" t="s">
        <v>74</v>
      </c>
      <c r="BR621" t="s">
        <v>106</v>
      </c>
      <c r="BS621" t="s">
        <v>12372</v>
      </c>
      <c r="BT621" t="str">
        <f>HYPERLINK("https%3A%2F%2Fwww.webofscience.com%2Fwos%2Fwoscc%2Ffull-record%2FWOS:000536301300005","View Full Record in Web of Science")</f>
        <v>View Full Record in Web of Science</v>
      </c>
    </row>
    <row r="622" spans="1:72" x14ac:dyDescent="0.15">
      <c r="A622" t="s">
        <v>72</v>
      </c>
      <c r="B622" t="s">
        <v>12373</v>
      </c>
      <c r="C622" t="s">
        <v>74</v>
      </c>
      <c r="D622" t="s">
        <v>74</v>
      </c>
      <c r="E622" t="s">
        <v>74</v>
      </c>
      <c r="F622" t="s">
        <v>12374</v>
      </c>
      <c r="G622" t="s">
        <v>74</v>
      </c>
      <c r="H622" t="s">
        <v>74</v>
      </c>
      <c r="I622" t="s">
        <v>12375</v>
      </c>
      <c r="J622" t="s">
        <v>2051</v>
      </c>
      <c r="K622" t="s">
        <v>74</v>
      </c>
      <c r="L622" t="s">
        <v>74</v>
      </c>
      <c r="M622" t="s">
        <v>78</v>
      </c>
      <c r="N622" t="s">
        <v>79</v>
      </c>
      <c r="O622" t="s">
        <v>74</v>
      </c>
      <c r="P622" t="s">
        <v>74</v>
      </c>
      <c r="Q622" t="s">
        <v>74</v>
      </c>
      <c r="R622" t="s">
        <v>74</v>
      </c>
      <c r="S622" t="s">
        <v>74</v>
      </c>
      <c r="T622" t="s">
        <v>74</v>
      </c>
      <c r="U622" t="s">
        <v>12376</v>
      </c>
      <c r="V622" t="s">
        <v>12377</v>
      </c>
      <c r="W622" t="s">
        <v>12378</v>
      </c>
      <c r="X622" t="s">
        <v>12379</v>
      </c>
      <c r="Y622" t="s">
        <v>12380</v>
      </c>
      <c r="Z622" t="s">
        <v>12381</v>
      </c>
      <c r="AA622" t="s">
        <v>12382</v>
      </c>
      <c r="AB622" t="s">
        <v>12383</v>
      </c>
      <c r="AC622" t="s">
        <v>12384</v>
      </c>
      <c r="AD622" t="s">
        <v>12385</v>
      </c>
      <c r="AE622" t="s">
        <v>12386</v>
      </c>
      <c r="AF622" t="s">
        <v>74</v>
      </c>
      <c r="AG622">
        <v>107</v>
      </c>
      <c r="AH622">
        <v>23</v>
      </c>
      <c r="AI622">
        <v>26</v>
      </c>
      <c r="AJ622">
        <v>4</v>
      </c>
      <c r="AK622">
        <v>39</v>
      </c>
      <c r="AL622" t="s">
        <v>1049</v>
      </c>
      <c r="AM622" t="s">
        <v>1050</v>
      </c>
      <c r="AN622" t="s">
        <v>1051</v>
      </c>
      <c r="AO622" t="s">
        <v>2063</v>
      </c>
      <c r="AP622" t="s">
        <v>2064</v>
      </c>
      <c r="AQ622" t="s">
        <v>74</v>
      </c>
      <c r="AR622" t="s">
        <v>2065</v>
      </c>
      <c r="AS622" t="s">
        <v>2066</v>
      </c>
      <c r="AT622" t="s">
        <v>12352</v>
      </c>
      <c r="AU622">
        <v>2020</v>
      </c>
      <c r="AV622">
        <v>20</v>
      </c>
      <c r="AW622">
        <v>9</v>
      </c>
      <c r="AX622" t="s">
        <v>74</v>
      </c>
      <c r="AY622" t="s">
        <v>74</v>
      </c>
      <c r="AZ622" t="s">
        <v>74</v>
      </c>
      <c r="BA622" t="s">
        <v>74</v>
      </c>
      <c r="BB622">
        <v>5573</v>
      </c>
      <c r="BC622">
        <v>5590</v>
      </c>
      <c r="BD622" t="s">
        <v>74</v>
      </c>
      <c r="BE622" t="s">
        <v>12387</v>
      </c>
      <c r="BF622" t="str">
        <f>HYPERLINK("http://dx.doi.org/10.5194/acp-20-5573-2020","http://dx.doi.org/10.5194/acp-20-5573-2020")</f>
        <v>http://dx.doi.org/10.5194/acp-20-5573-2020</v>
      </c>
      <c r="BG622" t="s">
        <v>74</v>
      </c>
      <c r="BH622" t="s">
        <v>74</v>
      </c>
      <c r="BI622">
        <v>18</v>
      </c>
      <c r="BJ622" t="s">
        <v>2068</v>
      </c>
      <c r="BK622" t="s">
        <v>102</v>
      </c>
      <c r="BL622" t="s">
        <v>2069</v>
      </c>
      <c r="BM622" t="s">
        <v>12388</v>
      </c>
      <c r="BN622" t="s">
        <v>74</v>
      </c>
      <c r="BO622" t="s">
        <v>1060</v>
      </c>
      <c r="BP622" t="s">
        <v>74</v>
      </c>
      <c r="BQ622" t="s">
        <v>74</v>
      </c>
      <c r="BR622" t="s">
        <v>106</v>
      </c>
      <c r="BS622" t="s">
        <v>12389</v>
      </c>
      <c r="BT622" t="str">
        <f>HYPERLINK("https%3A%2F%2Fwww.webofscience.com%2Fwos%2Fwoscc%2Ffull-record%2FWOS:000535189200001","View Full Record in Web of Science")</f>
        <v>View Full Record in Web of Science</v>
      </c>
    </row>
    <row r="623" spans="1:72" x14ac:dyDescent="0.15">
      <c r="A623" t="s">
        <v>72</v>
      </c>
      <c r="B623" t="s">
        <v>12390</v>
      </c>
      <c r="C623" t="s">
        <v>74</v>
      </c>
      <c r="D623" t="s">
        <v>74</v>
      </c>
      <c r="E623" t="s">
        <v>74</v>
      </c>
      <c r="F623" t="s">
        <v>12391</v>
      </c>
      <c r="G623" t="s">
        <v>74</v>
      </c>
      <c r="H623" t="s">
        <v>74</v>
      </c>
      <c r="I623" t="s">
        <v>12392</v>
      </c>
      <c r="J623" t="s">
        <v>1911</v>
      </c>
      <c r="K623" t="s">
        <v>74</v>
      </c>
      <c r="L623" t="s">
        <v>74</v>
      </c>
      <c r="M623" t="s">
        <v>78</v>
      </c>
      <c r="N623" t="s">
        <v>79</v>
      </c>
      <c r="O623" t="s">
        <v>74</v>
      </c>
      <c r="P623" t="s">
        <v>74</v>
      </c>
      <c r="Q623" t="s">
        <v>74</v>
      </c>
      <c r="R623" t="s">
        <v>74</v>
      </c>
      <c r="S623" t="s">
        <v>74</v>
      </c>
      <c r="T623" t="s">
        <v>12393</v>
      </c>
      <c r="U623" t="s">
        <v>12394</v>
      </c>
      <c r="V623" t="s">
        <v>12395</v>
      </c>
      <c r="W623" t="s">
        <v>12396</v>
      </c>
      <c r="X623" t="s">
        <v>12397</v>
      </c>
      <c r="Y623" t="s">
        <v>7240</v>
      </c>
      <c r="Z623" t="s">
        <v>7241</v>
      </c>
      <c r="AA623" t="s">
        <v>12398</v>
      </c>
      <c r="AB623" t="s">
        <v>12399</v>
      </c>
      <c r="AC623" t="s">
        <v>12400</v>
      </c>
      <c r="AD623" t="s">
        <v>12401</v>
      </c>
      <c r="AE623" t="s">
        <v>12402</v>
      </c>
      <c r="AF623" t="s">
        <v>74</v>
      </c>
      <c r="AG623">
        <v>90</v>
      </c>
      <c r="AH623">
        <v>20</v>
      </c>
      <c r="AI623">
        <v>20</v>
      </c>
      <c r="AJ623">
        <v>4</v>
      </c>
      <c r="AK623">
        <v>34</v>
      </c>
      <c r="AL623" t="s">
        <v>1924</v>
      </c>
      <c r="AM623" t="s">
        <v>1925</v>
      </c>
      <c r="AN623" t="s">
        <v>1926</v>
      </c>
      <c r="AO623" t="s">
        <v>1927</v>
      </c>
      <c r="AP623" t="s">
        <v>1928</v>
      </c>
      <c r="AQ623" t="s">
        <v>74</v>
      </c>
      <c r="AR623" t="s">
        <v>1911</v>
      </c>
      <c r="AS623" t="s">
        <v>1929</v>
      </c>
      <c r="AT623" t="s">
        <v>3950</v>
      </c>
      <c r="AU623">
        <v>2020</v>
      </c>
      <c r="AV623">
        <v>24</v>
      </c>
      <c r="AW623">
        <v>4</v>
      </c>
      <c r="AX623" t="s">
        <v>74</v>
      </c>
      <c r="AY623" t="s">
        <v>74</v>
      </c>
      <c r="AZ623" t="s">
        <v>74</v>
      </c>
      <c r="BA623" t="s">
        <v>74</v>
      </c>
      <c r="BB623">
        <v>565</v>
      </c>
      <c r="BC623">
        <v>576</v>
      </c>
      <c r="BD623" t="s">
        <v>74</v>
      </c>
      <c r="BE623" t="s">
        <v>12403</v>
      </c>
      <c r="BF623" t="str">
        <f>HYPERLINK("http://dx.doi.org/10.1007/s00792-020-01176-y","http://dx.doi.org/10.1007/s00792-020-01176-y")</f>
        <v>http://dx.doi.org/10.1007/s00792-020-01176-y</v>
      </c>
      <c r="BG623" t="s">
        <v>74</v>
      </c>
      <c r="BH623" t="s">
        <v>10854</v>
      </c>
      <c r="BI623">
        <v>12</v>
      </c>
      <c r="BJ623" t="s">
        <v>1932</v>
      </c>
      <c r="BK623" t="s">
        <v>102</v>
      </c>
      <c r="BL623" t="s">
        <v>1932</v>
      </c>
      <c r="BM623" t="s">
        <v>7248</v>
      </c>
      <c r="BN623">
        <v>32405812</v>
      </c>
      <c r="BO623" t="s">
        <v>74</v>
      </c>
      <c r="BP623" t="s">
        <v>74</v>
      </c>
      <c r="BQ623" t="s">
        <v>74</v>
      </c>
      <c r="BR623" t="s">
        <v>106</v>
      </c>
      <c r="BS623" t="s">
        <v>12404</v>
      </c>
      <c r="BT623" t="str">
        <f>HYPERLINK("https%3A%2F%2Fwww.webofscience.com%2Fwos%2Fwoscc%2Ffull-record%2FWOS:000532636200001","View Full Record in Web of Science")</f>
        <v>View Full Record in Web of Science</v>
      </c>
    </row>
    <row r="624" spans="1:72" x14ac:dyDescent="0.15">
      <c r="A624" t="s">
        <v>72</v>
      </c>
      <c r="B624" t="s">
        <v>12405</v>
      </c>
      <c r="C624" t="s">
        <v>74</v>
      </c>
      <c r="D624" t="s">
        <v>74</v>
      </c>
      <c r="E624" t="s">
        <v>74</v>
      </c>
      <c r="F624" t="s">
        <v>12406</v>
      </c>
      <c r="G624" t="s">
        <v>74</v>
      </c>
      <c r="H624" t="s">
        <v>74</v>
      </c>
      <c r="I624" t="s">
        <v>12407</v>
      </c>
      <c r="J624" t="s">
        <v>1547</v>
      </c>
      <c r="K624" t="s">
        <v>74</v>
      </c>
      <c r="L624" t="s">
        <v>74</v>
      </c>
      <c r="M624" t="s">
        <v>78</v>
      </c>
      <c r="N624" t="s">
        <v>79</v>
      </c>
      <c r="O624" t="s">
        <v>74</v>
      </c>
      <c r="P624" t="s">
        <v>74</v>
      </c>
      <c r="Q624" t="s">
        <v>74</v>
      </c>
      <c r="R624" t="s">
        <v>74</v>
      </c>
      <c r="S624" t="s">
        <v>74</v>
      </c>
      <c r="T624" t="s">
        <v>12408</v>
      </c>
      <c r="U624" t="s">
        <v>12409</v>
      </c>
      <c r="V624" t="s">
        <v>12410</v>
      </c>
      <c r="W624" t="s">
        <v>12411</v>
      </c>
      <c r="X624" t="s">
        <v>12412</v>
      </c>
      <c r="Y624" t="s">
        <v>12413</v>
      </c>
      <c r="Z624" t="s">
        <v>12414</v>
      </c>
      <c r="AA624" t="s">
        <v>12415</v>
      </c>
      <c r="AB624" t="s">
        <v>74</v>
      </c>
      <c r="AC624" t="s">
        <v>12416</v>
      </c>
      <c r="AD624" t="s">
        <v>12417</v>
      </c>
      <c r="AE624" t="s">
        <v>12418</v>
      </c>
      <c r="AF624" t="s">
        <v>74</v>
      </c>
      <c r="AG624">
        <v>69</v>
      </c>
      <c r="AH624">
        <v>9</v>
      </c>
      <c r="AI624">
        <v>10</v>
      </c>
      <c r="AJ624">
        <v>2</v>
      </c>
      <c r="AK624">
        <v>12</v>
      </c>
      <c r="AL624" t="s">
        <v>1560</v>
      </c>
      <c r="AM624" t="s">
        <v>945</v>
      </c>
      <c r="AN624" t="s">
        <v>1561</v>
      </c>
      <c r="AO624" t="s">
        <v>1562</v>
      </c>
      <c r="AP624" t="s">
        <v>74</v>
      </c>
      <c r="AQ624" t="s">
        <v>74</v>
      </c>
      <c r="AR624" t="s">
        <v>1547</v>
      </c>
      <c r="AS624" t="s">
        <v>1563</v>
      </c>
      <c r="AT624" t="s">
        <v>12352</v>
      </c>
      <c r="AU624">
        <v>2020</v>
      </c>
      <c r="AV624">
        <v>8</v>
      </c>
      <c r="AW624" t="s">
        <v>74</v>
      </c>
      <c r="AX624" t="s">
        <v>74</v>
      </c>
      <c r="AY624" t="s">
        <v>74</v>
      </c>
      <c r="AZ624" t="s">
        <v>74</v>
      </c>
      <c r="BA624" t="s">
        <v>74</v>
      </c>
      <c r="BB624" t="s">
        <v>74</v>
      </c>
      <c r="BC624" t="s">
        <v>74</v>
      </c>
      <c r="BD624" t="s">
        <v>12419</v>
      </c>
      <c r="BE624" t="s">
        <v>12420</v>
      </c>
      <c r="BF624" t="str">
        <f>HYPERLINK("http://dx.doi.org/10.7717/peerj.9108","http://dx.doi.org/10.7717/peerj.9108")</f>
        <v>http://dx.doi.org/10.7717/peerj.9108</v>
      </c>
      <c r="BG624" t="s">
        <v>74</v>
      </c>
      <c r="BH624" t="s">
        <v>74</v>
      </c>
      <c r="BI624">
        <v>20</v>
      </c>
      <c r="BJ624" t="s">
        <v>1125</v>
      </c>
      <c r="BK624" t="s">
        <v>102</v>
      </c>
      <c r="BL624" t="s">
        <v>1126</v>
      </c>
      <c r="BM624" t="s">
        <v>12421</v>
      </c>
      <c r="BN624">
        <v>32440374</v>
      </c>
      <c r="BO624" t="s">
        <v>1778</v>
      </c>
      <c r="BP624" t="s">
        <v>74</v>
      </c>
      <c r="BQ624" t="s">
        <v>74</v>
      </c>
      <c r="BR624" t="s">
        <v>106</v>
      </c>
      <c r="BS624" t="s">
        <v>12422</v>
      </c>
      <c r="BT624" t="str">
        <f>HYPERLINK("https%3A%2F%2Fwww.webofscience.com%2Fwos%2Fwoscc%2Ffull-record%2FWOS:000532063300004","View Full Record in Web of Science")</f>
        <v>View Full Record in Web of Science</v>
      </c>
    </row>
    <row r="625" spans="1:72" x14ac:dyDescent="0.15">
      <c r="A625" t="s">
        <v>72</v>
      </c>
      <c r="B625" t="s">
        <v>12423</v>
      </c>
      <c r="C625" t="s">
        <v>74</v>
      </c>
      <c r="D625" t="s">
        <v>74</v>
      </c>
      <c r="E625" t="s">
        <v>74</v>
      </c>
      <c r="F625" t="s">
        <v>12424</v>
      </c>
      <c r="G625" t="s">
        <v>74</v>
      </c>
      <c r="H625" t="s">
        <v>74</v>
      </c>
      <c r="I625" t="s">
        <v>12425</v>
      </c>
      <c r="J625" t="s">
        <v>11671</v>
      </c>
      <c r="K625" t="s">
        <v>74</v>
      </c>
      <c r="L625" t="s">
        <v>74</v>
      </c>
      <c r="M625" t="s">
        <v>78</v>
      </c>
      <c r="N625" t="s">
        <v>79</v>
      </c>
      <c r="O625" t="s">
        <v>74</v>
      </c>
      <c r="P625" t="s">
        <v>74</v>
      </c>
      <c r="Q625" t="s">
        <v>74</v>
      </c>
      <c r="R625" t="s">
        <v>74</v>
      </c>
      <c r="S625" t="s">
        <v>74</v>
      </c>
      <c r="T625" t="s">
        <v>12426</v>
      </c>
      <c r="U625" t="s">
        <v>12427</v>
      </c>
      <c r="V625" t="s">
        <v>12428</v>
      </c>
      <c r="W625" t="s">
        <v>12429</v>
      </c>
      <c r="X625" t="s">
        <v>12430</v>
      </c>
      <c r="Y625" t="s">
        <v>12431</v>
      </c>
      <c r="Z625" t="s">
        <v>12432</v>
      </c>
      <c r="AA625" t="s">
        <v>12433</v>
      </c>
      <c r="AB625" t="s">
        <v>12434</v>
      </c>
      <c r="AC625" t="s">
        <v>12435</v>
      </c>
      <c r="AD625" t="s">
        <v>4865</v>
      </c>
      <c r="AE625" t="s">
        <v>12436</v>
      </c>
      <c r="AF625" t="s">
        <v>74</v>
      </c>
      <c r="AG625">
        <v>62</v>
      </c>
      <c r="AH625">
        <v>17</v>
      </c>
      <c r="AI625">
        <v>19</v>
      </c>
      <c r="AJ625">
        <v>10</v>
      </c>
      <c r="AK625">
        <v>57</v>
      </c>
      <c r="AL625" t="s">
        <v>994</v>
      </c>
      <c r="AM625" t="s">
        <v>995</v>
      </c>
      <c r="AN625" t="s">
        <v>996</v>
      </c>
      <c r="AO625" t="s">
        <v>11683</v>
      </c>
      <c r="AP625" t="s">
        <v>11684</v>
      </c>
      <c r="AQ625" t="s">
        <v>74</v>
      </c>
      <c r="AR625" t="s">
        <v>11685</v>
      </c>
      <c r="AS625" t="s">
        <v>11686</v>
      </c>
      <c r="AT625" t="s">
        <v>3950</v>
      </c>
      <c r="AU625">
        <v>2020</v>
      </c>
      <c r="AV625">
        <v>20</v>
      </c>
      <c r="AW625">
        <v>4</v>
      </c>
      <c r="AX625" t="s">
        <v>74</v>
      </c>
      <c r="AY625" t="s">
        <v>74</v>
      </c>
      <c r="AZ625" t="s">
        <v>74</v>
      </c>
      <c r="BA625" t="s">
        <v>74</v>
      </c>
      <c r="BB625">
        <v>906</v>
      </c>
      <c r="BC625">
        <v>919</v>
      </c>
      <c r="BD625" t="s">
        <v>74</v>
      </c>
      <c r="BE625" t="s">
        <v>12437</v>
      </c>
      <c r="BF625" t="str">
        <f>HYPERLINK("http://dx.doi.org/10.1111/1755-0998.13162","http://dx.doi.org/10.1111/1755-0998.13162")</f>
        <v>http://dx.doi.org/10.1111/1755-0998.13162</v>
      </c>
      <c r="BG625" t="s">
        <v>74</v>
      </c>
      <c r="BH625" t="s">
        <v>10854</v>
      </c>
      <c r="BI625">
        <v>14</v>
      </c>
      <c r="BJ625" t="s">
        <v>10393</v>
      </c>
      <c r="BK625" t="s">
        <v>102</v>
      </c>
      <c r="BL625" t="s">
        <v>10394</v>
      </c>
      <c r="BM625" t="s">
        <v>12438</v>
      </c>
      <c r="BN625">
        <v>32277584</v>
      </c>
      <c r="BO625" t="s">
        <v>1657</v>
      </c>
      <c r="BP625" t="s">
        <v>74</v>
      </c>
      <c r="BQ625" t="s">
        <v>74</v>
      </c>
      <c r="BR625" t="s">
        <v>106</v>
      </c>
      <c r="BS625" t="s">
        <v>12439</v>
      </c>
      <c r="BT625" t="str">
        <f>HYPERLINK("https%3A%2F%2Fwww.webofscience.com%2Fwos%2Fwoscc%2Ffull-record%2FWOS:000531903500001","View Full Record in Web of Science")</f>
        <v>View Full Record in Web of Science</v>
      </c>
    </row>
    <row r="626" spans="1:72" x14ac:dyDescent="0.15">
      <c r="A626" t="s">
        <v>72</v>
      </c>
      <c r="B626" t="s">
        <v>12440</v>
      </c>
      <c r="C626" t="s">
        <v>74</v>
      </c>
      <c r="D626" t="s">
        <v>74</v>
      </c>
      <c r="E626" t="s">
        <v>74</v>
      </c>
      <c r="F626" t="s">
        <v>12441</v>
      </c>
      <c r="G626" t="s">
        <v>74</v>
      </c>
      <c r="H626" t="s">
        <v>74</v>
      </c>
      <c r="I626" t="s">
        <v>12442</v>
      </c>
      <c r="J626" t="s">
        <v>1106</v>
      </c>
      <c r="K626" t="s">
        <v>74</v>
      </c>
      <c r="L626" t="s">
        <v>74</v>
      </c>
      <c r="M626" t="s">
        <v>78</v>
      </c>
      <c r="N626" t="s">
        <v>2846</v>
      </c>
      <c r="O626" t="s">
        <v>74</v>
      </c>
      <c r="P626" t="s">
        <v>74</v>
      </c>
      <c r="Q626" t="s">
        <v>74</v>
      </c>
      <c r="R626" t="s">
        <v>74</v>
      </c>
      <c r="S626" t="s">
        <v>74</v>
      </c>
      <c r="T626" t="s">
        <v>74</v>
      </c>
      <c r="U626" t="s">
        <v>74</v>
      </c>
      <c r="V626" t="s">
        <v>12443</v>
      </c>
      <c r="W626" t="s">
        <v>12444</v>
      </c>
      <c r="X626" t="s">
        <v>12445</v>
      </c>
      <c r="Y626" t="s">
        <v>12446</v>
      </c>
      <c r="Z626" t="s">
        <v>12447</v>
      </c>
      <c r="AA626" t="s">
        <v>12448</v>
      </c>
      <c r="AB626" t="s">
        <v>12449</v>
      </c>
      <c r="AC626" t="s">
        <v>74</v>
      </c>
      <c r="AD626" t="s">
        <v>74</v>
      </c>
      <c r="AE626" t="s">
        <v>74</v>
      </c>
      <c r="AF626" t="s">
        <v>74</v>
      </c>
      <c r="AG626">
        <v>1</v>
      </c>
      <c r="AH626">
        <v>0</v>
      </c>
      <c r="AI626">
        <v>0</v>
      </c>
      <c r="AJ626">
        <v>0</v>
      </c>
      <c r="AK626">
        <v>0</v>
      </c>
      <c r="AL626" t="s">
        <v>1240</v>
      </c>
      <c r="AM626" t="s">
        <v>1119</v>
      </c>
      <c r="AN626" t="s">
        <v>1120</v>
      </c>
      <c r="AO626" t="s">
        <v>1121</v>
      </c>
      <c r="AP626" t="s">
        <v>74</v>
      </c>
      <c r="AQ626" t="s">
        <v>74</v>
      </c>
      <c r="AR626" t="s">
        <v>1122</v>
      </c>
      <c r="AS626" t="s">
        <v>1123</v>
      </c>
      <c r="AT626" t="s">
        <v>12450</v>
      </c>
      <c r="AU626">
        <v>2020</v>
      </c>
      <c r="AV626">
        <v>10</v>
      </c>
      <c r="AW626">
        <v>1</v>
      </c>
      <c r="AX626" t="s">
        <v>74</v>
      </c>
      <c r="AY626" t="s">
        <v>74</v>
      </c>
      <c r="AZ626" t="s">
        <v>74</v>
      </c>
      <c r="BA626" t="s">
        <v>74</v>
      </c>
      <c r="BB626" t="s">
        <v>74</v>
      </c>
      <c r="BC626" t="s">
        <v>74</v>
      </c>
      <c r="BD626">
        <v>8098</v>
      </c>
      <c r="BE626" t="s">
        <v>12451</v>
      </c>
      <c r="BF626" t="str">
        <f>HYPERLINK("http://dx.doi.org/10.1038/s41598-020-64763-1","http://dx.doi.org/10.1038/s41598-020-64763-1")</f>
        <v>http://dx.doi.org/10.1038/s41598-020-64763-1</v>
      </c>
      <c r="BG626" t="s">
        <v>74</v>
      </c>
      <c r="BH626" t="s">
        <v>74</v>
      </c>
      <c r="BI626">
        <v>1</v>
      </c>
      <c r="BJ626" t="s">
        <v>1125</v>
      </c>
      <c r="BK626" t="s">
        <v>102</v>
      </c>
      <c r="BL626" t="s">
        <v>1126</v>
      </c>
      <c r="BM626" t="s">
        <v>12452</v>
      </c>
      <c r="BN626">
        <v>32398874</v>
      </c>
      <c r="BO626" t="s">
        <v>1778</v>
      </c>
      <c r="BP626" t="s">
        <v>74</v>
      </c>
      <c r="BQ626" t="s">
        <v>74</v>
      </c>
      <c r="BR626" t="s">
        <v>106</v>
      </c>
      <c r="BS626" t="s">
        <v>12453</v>
      </c>
      <c r="BT626" t="str">
        <f>HYPERLINK("https%3A%2F%2Fwww.webofscience.com%2Fwos%2Fwoscc%2Ffull-record%2FWOS:000559782700001","View Full Record in Web of Science")</f>
        <v>View Full Record in Web of Science</v>
      </c>
    </row>
    <row r="627" spans="1:72" x14ac:dyDescent="0.15">
      <c r="A627" t="s">
        <v>72</v>
      </c>
      <c r="B627" t="s">
        <v>12454</v>
      </c>
      <c r="C627" t="s">
        <v>74</v>
      </c>
      <c r="D627" t="s">
        <v>74</v>
      </c>
      <c r="E627" t="s">
        <v>74</v>
      </c>
      <c r="F627" t="s">
        <v>12455</v>
      </c>
      <c r="G627" t="s">
        <v>74</v>
      </c>
      <c r="H627" t="s">
        <v>74</v>
      </c>
      <c r="I627" t="s">
        <v>12456</v>
      </c>
      <c r="J627" t="s">
        <v>12457</v>
      </c>
      <c r="K627" t="s">
        <v>74</v>
      </c>
      <c r="L627" t="s">
        <v>74</v>
      </c>
      <c r="M627" t="s">
        <v>78</v>
      </c>
      <c r="N627" t="s">
        <v>245</v>
      </c>
      <c r="O627" t="s">
        <v>74</v>
      </c>
      <c r="P627" t="s">
        <v>74</v>
      </c>
      <c r="Q627" t="s">
        <v>74</v>
      </c>
      <c r="R627" t="s">
        <v>74</v>
      </c>
      <c r="S627" t="s">
        <v>74</v>
      </c>
      <c r="T627" t="s">
        <v>12458</v>
      </c>
      <c r="U627" t="s">
        <v>12459</v>
      </c>
      <c r="V627" t="s">
        <v>12460</v>
      </c>
      <c r="W627" t="s">
        <v>12461</v>
      </c>
      <c r="X627" t="s">
        <v>12462</v>
      </c>
      <c r="Y627" t="s">
        <v>12463</v>
      </c>
      <c r="Z627" t="s">
        <v>12464</v>
      </c>
      <c r="AA627" t="s">
        <v>12465</v>
      </c>
      <c r="AB627" t="s">
        <v>12466</v>
      </c>
      <c r="AC627" t="s">
        <v>12467</v>
      </c>
      <c r="AD627" t="s">
        <v>12468</v>
      </c>
      <c r="AE627" t="s">
        <v>12469</v>
      </c>
      <c r="AF627" t="s">
        <v>74</v>
      </c>
      <c r="AG627">
        <v>248</v>
      </c>
      <c r="AH627">
        <v>19</v>
      </c>
      <c r="AI627">
        <v>20</v>
      </c>
      <c r="AJ627">
        <v>0</v>
      </c>
      <c r="AK627">
        <v>10</v>
      </c>
      <c r="AL627" t="s">
        <v>1440</v>
      </c>
      <c r="AM627" t="s">
        <v>1628</v>
      </c>
      <c r="AN627" t="s">
        <v>1629</v>
      </c>
      <c r="AO627" t="s">
        <v>12470</v>
      </c>
      <c r="AP627" t="s">
        <v>12471</v>
      </c>
      <c r="AQ627" t="s">
        <v>74</v>
      </c>
      <c r="AR627" t="s">
        <v>12472</v>
      </c>
      <c r="AS627" t="s">
        <v>12473</v>
      </c>
      <c r="AT627" t="s">
        <v>12450</v>
      </c>
      <c r="AU627">
        <v>2020</v>
      </c>
      <c r="AV627">
        <v>216</v>
      </c>
      <c r="AW627">
        <v>4</v>
      </c>
      <c r="AX627" t="s">
        <v>74</v>
      </c>
      <c r="AY627" t="s">
        <v>74</v>
      </c>
      <c r="AZ627" t="s">
        <v>74</v>
      </c>
      <c r="BA627" t="s">
        <v>74</v>
      </c>
      <c r="BB627" t="s">
        <v>74</v>
      </c>
      <c r="BC627" t="s">
        <v>74</v>
      </c>
      <c r="BD627">
        <v>54</v>
      </c>
      <c r="BE627" t="s">
        <v>12474</v>
      </c>
      <c r="BF627" t="str">
        <f>HYPERLINK("http://dx.doi.org/10.1007/s11214-020-00679-6","http://dx.doi.org/10.1007/s11214-020-00679-6")</f>
        <v>http://dx.doi.org/10.1007/s11214-020-00679-6</v>
      </c>
      <c r="BG627" t="s">
        <v>74</v>
      </c>
      <c r="BH627" t="s">
        <v>74</v>
      </c>
      <c r="BI627">
        <v>23</v>
      </c>
      <c r="BJ627" t="s">
        <v>774</v>
      </c>
      <c r="BK627" t="s">
        <v>102</v>
      </c>
      <c r="BL627" t="s">
        <v>774</v>
      </c>
      <c r="BM627" t="s">
        <v>12475</v>
      </c>
      <c r="BN627" t="s">
        <v>74</v>
      </c>
      <c r="BO627" t="s">
        <v>1181</v>
      </c>
      <c r="BP627" t="s">
        <v>74</v>
      </c>
      <c r="BQ627" t="s">
        <v>74</v>
      </c>
      <c r="BR627" t="s">
        <v>106</v>
      </c>
      <c r="BS627" t="s">
        <v>12476</v>
      </c>
      <c r="BT627" t="str">
        <f>HYPERLINK("https%3A%2F%2Fwww.webofscience.com%2Fwos%2Fwoscc%2Ffull-record%2FWOS:000535618300001","View Full Record in Web of Science")</f>
        <v>View Full Record in Web of Science</v>
      </c>
    </row>
    <row r="628" spans="1:72" x14ac:dyDescent="0.15">
      <c r="A628" t="s">
        <v>72</v>
      </c>
      <c r="B628" t="s">
        <v>12477</v>
      </c>
      <c r="C628" t="s">
        <v>74</v>
      </c>
      <c r="D628" t="s">
        <v>74</v>
      </c>
      <c r="E628" t="s">
        <v>74</v>
      </c>
      <c r="F628" t="s">
        <v>12478</v>
      </c>
      <c r="G628" t="s">
        <v>74</v>
      </c>
      <c r="H628" t="s">
        <v>74</v>
      </c>
      <c r="I628" t="s">
        <v>12479</v>
      </c>
      <c r="J628" t="s">
        <v>2007</v>
      </c>
      <c r="K628" t="s">
        <v>74</v>
      </c>
      <c r="L628" t="s">
        <v>74</v>
      </c>
      <c r="M628" t="s">
        <v>78</v>
      </c>
      <c r="N628" t="s">
        <v>79</v>
      </c>
      <c r="O628" t="s">
        <v>74</v>
      </c>
      <c r="P628" t="s">
        <v>74</v>
      </c>
      <c r="Q628" t="s">
        <v>74</v>
      </c>
      <c r="R628" t="s">
        <v>74</v>
      </c>
      <c r="S628" t="s">
        <v>74</v>
      </c>
      <c r="T628" t="s">
        <v>74</v>
      </c>
      <c r="U628" t="s">
        <v>12480</v>
      </c>
      <c r="V628" t="s">
        <v>12481</v>
      </c>
      <c r="W628" t="s">
        <v>12482</v>
      </c>
      <c r="X628" t="s">
        <v>12483</v>
      </c>
      <c r="Y628" t="s">
        <v>12484</v>
      </c>
      <c r="Z628" t="s">
        <v>12485</v>
      </c>
      <c r="AA628" t="s">
        <v>12486</v>
      </c>
      <c r="AB628" t="s">
        <v>12487</v>
      </c>
      <c r="AC628" t="s">
        <v>12488</v>
      </c>
      <c r="AD628" t="s">
        <v>12489</v>
      </c>
      <c r="AE628" t="s">
        <v>12490</v>
      </c>
      <c r="AF628" t="s">
        <v>74</v>
      </c>
      <c r="AG628">
        <v>74</v>
      </c>
      <c r="AH628">
        <v>10</v>
      </c>
      <c r="AI628">
        <v>11</v>
      </c>
      <c r="AJ628">
        <v>1</v>
      </c>
      <c r="AK628">
        <v>15</v>
      </c>
      <c r="AL628" t="s">
        <v>1049</v>
      </c>
      <c r="AM628" t="s">
        <v>1050</v>
      </c>
      <c r="AN628" t="s">
        <v>1051</v>
      </c>
      <c r="AO628" t="s">
        <v>2019</v>
      </c>
      <c r="AP628" t="s">
        <v>2020</v>
      </c>
      <c r="AQ628" t="s">
        <v>74</v>
      </c>
      <c r="AR628" t="s">
        <v>2007</v>
      </c>
      <c r="AS628" t="s">
        <v>2021</v>
      </c>
      <c r="AT628" t="s">
        <v>12450</v>
      </c>
      <c r="AU628">
        <v>2020</v>
      </c>
      <c r="AV628">
        <v>14</v>
      </c>
      <c r="AW628">
        <v>5</v>
      </c>
      <c r="AX628" t="s">
        <v>74</v>
      </c>
      <c r="AY628" t="s">
        <v>74</v>
      </c>
      <c r="AZ628" t="s">
        <v>74</v>
      </c>
      <c r="BA628" t="s">
        <v>74</v>
      </c>
      <c r="BB628">
        <v>1537</v>
      </c>
      <c r="BC628">
        <v>1554</v>
      </c>
      <c r="BD628" t="s">
        <v>74</v>
      </c>
      <c r="BE628" t="s">
        <v>12491</v>
      </c>
      <c r="BF628" t="str">
        <f>HYPERLINK("http://dx.doi.org/10.5194/tc-14-1537-2020","http://dx.doi.org/10.5194/tc-14-1537-2020")</f>
        <v>http://dx.doi.org/10.5194/tc-14-1537-2020</v>
      </c>
      <c r="BG628" t="s">
        <v>74</v>
      </c>
      <c r="BH628" t="s">
        <v>74</v>
      </c>
      <c r="BI628">
        <v>18</v>
      </c>
      <c r="BJ628" t="s">
        <v>694</v>
      </c>
      <c r="BK628" t="s">
        <v>102</v>
      </c>
      <c r="BL628" t="s">
        <v>695</v>
      </c>
      <c r="BM628" t="s">
        <v>12492</v>
      </c>
      <c r="BN628" t="s">
        <v>74</v>
      </c>
      <c r="BO628" t="s">
        <v>1060</v>
      </c>
      <c r="BP628" t="s">
        <v>74</v>
      </c>
      <c r="BQ628" t="s">
        <v>74</v>
      </c>
      <c r="BR628" t="s">
        <v>106</v>
      </c>
      <c r="BS628" t="s">
        <v>12493</v>
      </c>
      <c r="BT628" t="str">
        <f>HYPERLINK("https%3A%2F%2Fwww.webofscience.com%2Fwos%2Fwoscc%2Ffull-record%2FWOS:000535177400001","View Full Record in Web of Science")</f>
        <v>View Full Record in Web of Science</v>
      </c>
    </row>
    <row r="629" spans="1:72" x14ac:dyDescent="0.15">
      <c r="A629" t="s">
        <v>72</v>
      </c>
      <c r="B629" t="s">
        <v>12494</v>
      </c>
      <c r="C629" t="s">
        <v>74</v>
      </c>
      <c r="D629" t="s">
        <v>74</v>
      </c>
      <c r="E629" t="s">
        <v>74</v>
      </c>
      <c r="F629" t="s">
        <v>12495</v>
      </c>
      <c r="G629" t="s">
        <v>74</v>
      </c>
      <c r="H629" t="s">
        <v>74</v>
      </c>
      <c r="I629" t="s">
        <v>12496</v>
      </c>
      <c r="J629" t="s">
        <v>2318</v>
      </c>
      <c r="K629" t="s">
        <v>74</v>
      </c>
      <c r="L629" t="s">
        <v>74</v>
      </c>
      <c r="M629" t="s">
        <v>78</v>
      </c>
      <c r="N629" t="s">
        <v>79</v>
      </c>
      <c r="O629" t="s">
        <v>74</v>
      </c>
      <c r="P629" t="s">
        <v>74</v>
      </c>
      <c r="Q629" t="s">
        <v>74</v>
      </c>
      <c r="R629" t="s">
        <v>74</v>
      </c>
      <c r="S629" t="s">
        <v>74</v>
      </c>
      <c r="T629" t="s">
        <v>74</v>
      </c>
      <c r="U629" t="s">
        <v>12497</v>
      </c>
      <c r="V629" t="s">
        <v>12498</v>
      </c>
      <c r="W629" t="s">
        <v>12499</v>
      </c>
      <c r="X629" t="s">
        <v>12500</v>
      </c>
      <c r="Y629" t="s">
        <v>12501</v>
      </c>
      <c r="Z629" t="s">
        <v>12502</v>
      </c>
      <c r="AA629" t="s">
        <v>12503</v>
      </c>
      <c r="AB629" t="s">
        <v>12504</v>
      </c>
      <c r="AC629" t="s">
        <v>12505</v>
      </c>
      <c r="AD629" t="s">
        <v>12506</v>
      </c>
      <c r="AE629" t="s">
        <v>12507</v>
      </c>
      <c r="AF629" t="s">
        <v>74</v>
      </c>
      <c r="AG629">
        <v>73</v>
      </c>
      <c r="AH629">
        <v>12</v>
      </c>
      <c r="AI629">
        <v>13</v>
      </c>
      <c r="AJ629">
        <v>0</v>
      </c>
      <c r="AK629">
        <v>13</v>
      </c>
      <c r="AL629" t="s">
        <v>1440</v>
      </c>
      <c r="AM629" t="s">
        <v>399</v>
      </c>
      <c r="AN629" t="s">
        <v>1441</v>
      </c>
      <c r="AO629" t="s">
        <v>2331</v>
      </c>
      <c r="AP629" t="s">
        <v>2332</v>
      </c>
      <c r="AQ629" t="s">
        <v>74</v>
      </c>
      <c r="AR629" t="s">
        <v>2333</v>
      </c>
      <c r="AS629" t="s">
        <v>2334</v>
      </c>
      <c r="AT629" t="s">
        <v>99</v>
      </c>
      <c r="AU629">
        <v>2020</v>
      </c>
      <c r="AV629">
        <v>55</v>
      </c>
      <c r="AW629" t="s">
        <v>8004</v>
      </c>
      <c r="AX629" t="s">
        <v>74</v>
      </c>
      <c r="AY629" t="s">
        <v>74</v>
      </c>
      <c r="AZ629" t="s">
        <v>74</v>
      </c>
      <c r="BA629" t="s">
        <v>74</v>
      </c>
      <c r="BB629">
        <v>681</v>
      </c>
      <c r="BC629">
        <v>701</v>
      </c>
      <c r="BD629" t="s">
        <v>74</v>
      </c>
      <c r="BE629" t="s">
        <v>12508</v>
      </c>
      <c r="BF629" t="str">
        <f>HYPERLINK("http://dx.doi.org/10.1007/s00382-020-05283-6","http://dx.doi.org/10.1007/s00382-020-05283-6")</f>
        <v>http://dx.doi.org/10.1007/s00382-020-05283-6</v>
      </c>
      <c r="BG629" t="s">
        <v>74</v>
      </c>
      <c r="BH629" t="s">
        <v>10854</v>
      </c>
      <c r="BI629">
        <v>21</v>
      </c>
      <c r="BJ629" t="s">
        <v>159</v>
      </c>
      <c r="BK629" t="s">
        <v>102</v>
      </c>
      <c r="BL629" t="s">
        <v>159</v>
      </c>
      <c r="BM629" t="s">
        <v>11903</v>
      </c>
      <c r="BN629" t="s">
        <v>74</v>
      </c>
      <c r="BO629" t="s">
        <v>976</v>
      </c>
      <c r="BP629" t="s">
        <v>74</v>
      </c>
      <c r="BQ629" t="s">
        <v>74</v>
      </c>
      <c r="BR629" t="s">
        <v>106</v>
      </c>
      <c r="BS629" t="s">
        <v>12509</v>
      </c>
      <c r="BT629" t="str">
        <f>HYPERLINK("https%3A%2F%2Fwww.webofscience.com%2Fwos%2Fwoscc%2Ffull-record%2FWOS:000531458300002","View Full Record in Web of Science")</f>
        <v>View Full Record in Web of Science</v>
      </c>
    </row>
    <row r="630" spans="1:72" x14ac:dyDescent="0.15">
      <c r="A630" t="s">
        <v>72</v>
      </c>
      <c r="B630" t="s">
        <v>12510</v>
      </c>
      <c r="C630" t="s">
        <v>74</v>
      </c>
      <c r="D630" t="s">
        <v>74</v>
      </c>
      <c r="E630" t="s">
        <v>74</v>
      </c>
      <c r="F630" t="s">
        <v>12511</v>
      </c>
      <c r="G630" t="s">
        <v>74</v>
      </c>
      <c r="H630" t="s">
        <v>74</v>
      </c>
      <c r="I630" t="s">
        <v>12512</v>
      </c>
      <c r="J630" t="s">
        <v>12513</v>
      </c>
      <c r="K630" t="s">
        <v>74</v>
      </c>
      <c r="L630" t="s">
        <v>74</v>
      </c>
      <c r="M630" t="s">
        <v>78</v>
      </c>
      <c r="N630" t="s">
        <v>79</v>
      </c>
      <c r="O630" t="s">
        <v>74</v>
      </c>
      <c r="P630" t="s">
        <v>74</v>
      </c>
      <c r="Q630" t="s">
        <v>74</v>
      </c>
      <c r="R630" t="s">
        <v>74</v>
      </c>
      <c r="S630" t="s">
        <v>74</v>
      </c>
      <c r="T630" t="s">
        <v>12514</v>
      </c>
      <c r="U630" t="s">
        <v>12515</v>
      </c>
      <c r="V630" t="s">
        <v>12516</v>
      </c>
      <c r="W630" t="s">
        <v>12517</v>
      </c>
      <c r="X630" t="s">
        <v>12518</v>
      </c>
      <c r="Y630" t="s">
        <v>12519</v>
      </c>
      <c r="Z630" t="s">
        <v>12520</v>
      </c>
      <c r="AA630" t="s">
        <v>9971</v>
      </c>
      <c r="AB630" t="s">
        <v>12521</v>
      </c>
      <c r="AC630" t="s">
        <v>12522</v>
      </c>
      <c r="AD630" t="s">
        <v>12523</v>
      </c>
      <c r="AE630" t="s">
        <v>12524</v>
      </c>
      <c r="AF630" t="s">
        <v>74</v>
      </c>
      <c r="AG630">
        <v>114</v>
      </c>
      <c r="AH630">
        <v>11</v>
      </c>
      <c r="AI630">
        <v>11</v>
      </c>
      <c r="AJ630">
        <v>0</v>
      </c>
      <c r="AK630">
        <v>6</v>
      </c>
      <c r="AL630" t="s">
        <v>994</v>
      </c>
      <c r="AM630" t="s">
        <v>995</v>
      </c>
      <c r="AN630" t="s">
        <v>996</v>
      </c>
      <c r="AO630" t="s">
        <v>12525</v>
      </c>
      <c r="AP630" t="s">
        <v>12526</v>
      </c>
      <c r="AQ630" t="s">
        <v>74</v>
      </c>
      <c r="AR630" t="s">
        <v>12527</v>
      </c>
      <c r="AS630" t="s">
        <v>12528</v>
      </c>
      <c r="AT630" t="s">
        <v>11250</v>
      </c>
      <c r="AU630">
        <v>2020</v>
      </c>
      <c r="AV630">
        <v>107</v>
      </c>
      <c r="AW630">
        <v>5</v>
      </c>
      <c r="AX630" t="s">
        <v>74</v>
      </c>
      <c r="AY630" t="s">
        <v>74</v>
      </c>
      <c r="AZ630" t="s">
        <v>74</v>
      </c>
      <c r="BA630" t="s">
        <v>74</v>
      </c>
      <c r="BB630">
        <v>806</v>
      </c>
      <c r="BC630">
        <v>832</v>
      </c>
      <c r="BD630" t="s">
        <v>74</v>
      </c>
      <c r="BE630" t="s">
        <v>12529</v>
      </c>
      <c r="BF630" t="str">
        <f>HYPERLINK("http://dx.doi.org/10.1002/ajb2.1467","http://dx.doi.org/10.1002/ajb2.1467")</f>
        <v>http://dx.doi.org/10.1002/ajb2.1467</v>
      </c>
      <c r="BG630" t="s">
        <v>74</v>
      </c>
      <c r="BH630" t="s">
        <v>10854</v>
      </c>
      <c r="BI630">
        <v>27</v>
      </c>
      <c r="BJ630" t="s">
        <v>1635</v>
      </c>
      <c r="BK630" t="s">
        <v>102</v>
      </c>
      <c r="BL630" t="s">
        <v>1635</v>
      </c>
      <c r="BM630" t="s">
        <v>12530</v>
      </c>
      <c r="BN630">
        <v>32388874</v>
      </c>
      <c r="BO630" t="s">
        <v>1657</v>
      </c>
      <c r="BP630" t="s">
        <v>74</v>
      </c>
      <c r="BQ630" t="s">
        <v>74</v>
      </c>
      <c r="BR630" t="s">
        <v>106</v>
      </c>
      <c r="BS630" t="s">
        <v>12531</v>
      </c>
      <c r="BT630" t="str">
        <f>HYPERLINK("https%3A%2F%2Fwww.webofscience.com%2Fwos%2Fwoscc%2Ffull-record%2FWOS:000531156500001","View Full Record in Web of Science")</f>
        <v>View Full Record in Web of Science</v>
      </c>
    </row>
    <row r="631" spans="1:72" x14ac:dyDescent="0.15">
      <c r="A631" t="s">
        <v>72</v>
      </c>
      <c r="B631" t="s">
        <v>12532</v>
      </c>
      <c r="C631" t="s">
        <v>74</v>
      </c>
      <c r="D631" t="s">
        <v>74</v>
      </c>
      <c r="E631" t="s">
        <v>74</v>
      </c>
      <c r="F631" t="s">
        <v>12533</v>
      </c>
      <c r="G631" t="s">
        <v>74</v>
      </c>
      <c r="H631" t="s">
        <v>74</v>
      </c>
      <c r="I631" t="s">
        <v>12534</v>
      </c>
      <c r="J631" t="s">
        <v>11728</v>
      </c>
      <c r="K631" t="s">
        <v>74</v>
      </c>
      <c r="L631" t="s">
        <v>74</v>
      </c>
      <c r="M631" t="s">
        <v>78</v>
      </c>
      <c r="N631" t="s">
        <v>79</v>
      </c>
      <c r="O631" t="s">
        <v>74</v>
      </c>
      <c r="P631" t="s">
        <v>74</v>
      </c>
      <c r="Q631" t="s">
        <v>74</v>
      </c>
      <c r="R631" t="s">
        <v>74</v>
      </c>
      <c r="S631" t="s">
        <v>74</v>
      </c>
      <c r="T631" t="s">
        <v>12535</v>
      </c>
      <c r="U631" t="s">
        <v>12536</v>
      </c>
      <c r="V631" t="s">
        <v>12537</v>
      </c>
      <c r="W631" t="s">
        <v>12538</v>
      </c>
      <c r="X631" t="s">
        <v>12539</v>
      </c>
      <c r="Y631" t="s">
        <v>12540</v>
      </c>
      <c r="Z631" t="s">
        <v>12541</v>
      </c>
      <c r="AA631" t="s">
        <v>74</v>
      </c>
      <c r="AB631" t="s">
        <v>74</v>
      </c>
      <c r="AC631" t="s">
        <v>12542</v>
      </c>
      <c r="AD631" t="s">
        <v>12543</v>
      </c>
      <c r="AE631" t="s">
        <v>12544</v>
      </c>
      <c r="AF631" t="s">
        <v>74</v>
      </c>
      <c r="AG631">
        <v>81</v>
      </c>
      <c r="AH631">
        <v>2</v>
      </c>
      <c r="AI631">
        <v>2</v>
      </c>
      <c r="AJ631">
        <v>2</v>
      </c>
      <c r="AK631">
        <v>19</v>
      </c>
      <c r="AL631" t="s">
        <v>11741</v>
      </c>
      <c r="AM631" t="s">
        <v>11742</v>
      </c>
      <c r="AN631" t="s">
        <v>12545</v>
      </c>
      <c r="AO631" t="s">
        <v>11744</v>
      </c>
      <c r="AP631" t="s">
        <v>11745</v>
      </c>
      <c r="AQ631" t="s">
        <v>74</v>
      </c>
      <c r="AR631" t="s">
        <v>11746</v>
      </c>
      <c r="AS631" t="s">
        <v>11747</v>
      </c>
      <c r="AT631" t="s">
        <v>3752</v>
      </c>
      <c r="AU631">
        <v>2021</v>
      </c>
      <c r="AV631">
        <v>39</v>
      </c>
      <c r="AW631">
        <v>2</v>
      </c>
      <c r="AX631" t="s">
        <v>74</v>
      </c>
      <c r="AY631" t="s">
        <v>74</v>
      </c>
      <c r="AZ631" t="s">
        <v>74</v>
      </c>
      <c r="BA631" t="s">
        <v>74</v>
      </c>
      <c r="BB631">
        <v>755</v>
      </c>
      <c r="BC631">
        <v>769</v>
      </c>
      <c r="BD631" t="s">
        <v>74</v>
      </c>
      <c r="BE631" t="s">
        <v>12546</v>
      </c>
      <c r="BF631" t="str">
        <f>HYPERLINK("http://dx.doi.org/10.1007/s00343-020-9309-0","http://dx.doi.org/10.1007/s00343-020-9309-0")</f>
        <v>http://dx.doi.org/10.1007/s00343-020-9309-0</v>
      </c>
      <c r="BG631" t="s">
        <v>74</v>
      </c>
      <c r="BH631" t="s">
        <v>10854</v>
      </c>
      <c r="BI631">
        <v>15</v>
      </c>
      <c r="BJ631" t="s">
        <v>2311</v>
      </c>
      <c r="BK631" t="s">
        <v>102</v>
      </c>
      <c r="BL631" t="s">
        <v>2312</v>
      </c>
      <c r="BM631" t="s">
        <v>12547</v>
      </c>
      <c r="BN631" t="s">
        <v>74</v>
      </c>
      <c r="BO631" t="s">
        <v>74</v>
      </c>
      <c r="BP631" t="s">
        <v>74</v>
      </c>
      <c r="BQ631" t="s">
        <v>74</v>
      </c>
      <c r="BR631" t="s">
        <v>106</v>
      </c>
      <c r="BS631" t="s">
        <v>12548</v>
      </c>
      <c r="BT631" t="str">
        <f>HYPERLINK("https%3A%2F%2Fwww.webofscience.com%2Fwos%2Fwoscc%2Ffull-record%2FWOS:000531220300003","View Full Record in Web of Science")</f>
        <v>View Full Record in Web of Science</v>
      </c>
    </row>
    <row r="632" spans="1:72" x14ac:dyDescent="0.15">
      <c r="A632" t="s">
        <v>72</v>
      </c>
      <c r="B632" t="s">
        <v>12549</v>
      </c>
      <c r="C632" t="s">
        <v>74</v>
      </c>
      <c r="D632" t="s">
        <v>74</v>
      </c>
      <c r="E632" t="s">
        <v>74</v>
      </c>
      <c r="F632" t="s">
        <v>12550</v>
      </c>
      <c r="G632" t="s">
        <v>74</v>
      </c>
      <c r="H632" t="s">
        <v>74</v>
      </c>
      <c r="I632" t="s">
        <v>12551</v>
      </c>
      <c r="J632" t="s">
        <v>12552</v>
      </c>
      <c r="K632" t="s">
        <v>74</v>
      </c>
      <c r="L632" t="s">
        <v>74</v>
      </c>
      <c r="M632" t="s">
        <v>78</v>
      </c>
      <c r="N632" t="s">
        <v>79</v>
      </c>
      <c r="O632" t="s">
        <v>74</v>
      </c>
      <c r="P632" t="s">
        <v>74</v>
      </c>
      <c r="Q632" t="s">
        <v>74</v>
      </c>
      <c r="R632" t="s">
        <v>74</v>
      </c>
      <c r="S632" t="s">
        <v>74</v>
      </c>
      <c r="T632" t="s">
        <v>74</v>
      </c>
      <c r="U632" t="s">
        <v>12553</v>
      </c>
      <c r="V632" t="s">
        <v>12554</v>
      </c>
      <c r="W632" t="s">
        <v>12555</v>
      </c>
      <c r="X632" t="s">
        <v>12556</v>
      </c>
      <c r="Y632" t="s">
        <v>12557</v>
      </c>
      <c r="Z632" t="s">
        <v>12558</v>
      </c>
      <c r="AA632" t="s">
        <v>12559</v>
      </c>
      <c r="AB632" t="s">
        <v>12560</v>
      </c>
      <c r="AC632" t="s">
        <v>12561</v>
      </c>
      <c r="AD632" t="s">
        <v>12562</v>
      </c>
      <c r="AE632" t="s">
        <v>12563</v>
      </c>
      <c r="AF632" t="s">
        <v>74</v>
      </c>
      <c r="AG632">
        <v>74</v>
      </c>
      <c r="AH632">
        <v>5</v>
      </c>
      <c r="AI632">
        <v>5</v>
      </c>
      <c r="AJ632">
        <v>1</v>
      </c>
      <c r="AK632">
        <v>4</v>
      </c>
      <c r="AL632" t="s">
        <v>1144</v>
      </c>
      <c r="AM632" t="s">
        <v>1145</v>
      </c>
      <c r="AN632" t="s">
        <v>1146</v>
      </c>
      <c r="AO632" t="s">
        <v>74</v>
      </c>
      <c r="AP632" t="s">
        <v>12564</v>
      </c>
      <c r="AQ632" t="s">
        <v>74</v>
      </c>
      <c r="AR632" t="s">
        <v>12565</v>
      </c>
      <c r="AS632" t="s">
        <v>12566</v>
      </c>
      <c r="AT632" t="s">
        <v>12567</v>
      </c>
      <c r="AU632">
        <v>2020</v>
      </c>
      <c r="AV632">
        <v>2</v>
      </c>
      <c r="AW632">
        <v>2</v>
      </c>
      <c r="AX632" t="s">
        <v>74</v>
      </c>
      <c r="AY632" t="s">
        <v>74</v>
      </c>
      <c r="AZ632" t="s">
        <v>74</v>
      </c>
      <c r="BA632" t="s">
        <v>74</v>
      </c>
      <c r="BB632" t="s">
        <v>74</v>
      </c>
      <c r="BC632" t="s">
        <v>74</v>
      </c>
      <c r="BD632">
        <v>23143</v>
      </c>
      <c r="BE632" t="s">
        <v>12568</v>
      </c>
      <c r="BF632" t="str">
        <f>HYPERLINK("http://dx.doi.org/10.1103/PhysRevResearch.2.023143","http://dx.doi.org/10.1103/PhysRevResearch.2.023143")</f>
        <v>http://dx.doi.org/10.1103/PhysRevResearch.2.023143</v>
      </c>
      <c r="BG632" t="s">
        <v>74</v>
      </c>
      <c r="BH632" t="s">
        <v>74</v>
      </c>
      <c r="BI632">
        <v>15</v>
      </c>
      <c r="BJ632" t="s">
        <v>8246</v>
      </c>
      <c r="BK632" t="s">
        <v>3838</v>
      </c>
      <c r="BL632" t="s">
        <v>8247</v>
      </c>
      <c r="BM632" t="s">
        <v>12569</v>
      </c>
      <c r="BN632" t="s">
        <v>74</v>
      </c>
      <c r="BO632" t="s">
        <v>2089</v>
      </c>
      <c r="BP632" t="s">
        <v>74</v>
      </c>
      <c r="BQ632" t="s">
        <v>74</v>
      </c>
      <c r="BR632" t="s">
        <v>106</v>
      </c>
      <c r="BS632" t="s">
        <v>12570</v>
      </c>
      <c r="BT632" t="str">
        <f>HYPERLINK("https%3A%2F%2Fwww.webofscience.com%2Fwos%2Fwoscc%2Ffull-record%2FWOS:000603577500007","View Full Record in Web of Science")</f>
        <v>View Full Record in Web of Science</v>
      </c>
    </row>
    <row r="633" spans="1:72" x14ac:dyDescent="0.15">
      <c r="A633" t="s">
        <v>72</v>
      </c>
      <c r="B633" t="s">
        <v>12571</v>
      </c>
      <c r="C633" t="s">
        <v>74</v>
      </c>
      <c r="D633" t="s">
        <v>74</v>
      </c>
      <c r="E633" t="s">
        <v>74</v>
      </c>
      <c r="F633" t="s">
        <v>12572</v>
      </c>
      <c r="G633" t="s">
        <v>74</v>
      </c>
      <c r="H633" t="s">
        <v>74</v>
      </c>
      <c r="I633" t="s">
        <v>12573</v>
      </c>
      <c r="J633" t="s">
        <v>12574</v>
      </c>
      <c r="K633" t="s">
        <v>74</v>
      </c>
      <c r="L633" t="s">
        <v>74</v>
      </c>
      <c r="M633" t="s">
        <v>78</v>
      </c>
      <c r="N633" t="s">
        <v>79</v>
      </c>
      <c r="O633" t="s">
        <v>74</v>
      </c>
      <c r="P633" t="s">
        <v>74</v>
      </c>
      <c r="Q633" t="s">
        <v>74</v>
      </c>
      <c r="R633" t="s">
        <v>74</v>
      </c>
      <c r="S633" t="s">
        <v>74</v>
      </c>
      <c r="T633" t="s">
        <v>74</v>
      </c>
      <c r="U633" t="s">
        <v>12575</v>
      </c>
      <c r="V633" t="s">
        <v>12576</v>
      </c>
      <c r="W633" t="s">
        <v>12577</v>
      </c>
      <c r="X633" t="s">
        <v>12578</v>
      </c>
      <c r="Y633" t="s">
        <v>12579</v>
      </c>
      <c r="Z633" t="s">
        <v>12580</v>
      </c>
      <c r="AA633" t="s">
        <v>12581</v>
      </c>
      <c r="AB633" t="s">
        <v>12582</v>
      </c>
      <c r="AC633" t="s">
        <v>12583</v>
      </c>
      <c r="AD633" t="s">
        <v>12584</v>
      </c>
      <c r="AE633" t="s">
        <v>12585</v>
      </c>
      <c r="AF633" t="s">
        <v>74</v>
      </c>
      <c r="AG633">
        <v>42</v>
      </c>
      <c r="AH633">
        <v>7</v>
      </c>
      <c r="AI633">
        <v>7</v>
      </c>
      <c r="AJ633">
        <v>0</v>
      </c>
      <c r="AK633">
        <v>4</v>
      </c>
      <c r="AL633" t="s">
        <v>1049</v>
      </c>
      <c r="AM633" t="s">
        <v>1050</v>
      </c>
      <c r="AN633" t="s">
        <v>1051</v>
      </c>
      <c r="AO633" t="s">
        <v>12586</v>
      </c>
      <c r="AP633" t="s">
        <v>12587</v>
      </c>
      <c r="AQ633" t="s">
        <v>74</v>
      </c>
      <c r="AR633" t="s">
        <v>12588</v>
      </c>
      <c r="AS633" t="s">
        <v>12589</v>
      </c>
      <c r="AT633" t="s">
        <v>12567</v>
      </c>
      <c r="AU633">
        <v>2020</v>
      </c>
      <c r="AV633">
        <v>8</v>
      </c>
      <c r="AW633">
        <v>2</v>
      </c>
      <c r="AX633" t="s">
        <v>74</v>
      </c>
      <c r="AY633" t="s">
        <v>74</v>
      </c>
      <c r="AZ633" t="s">
        <v>74</v>
      </c>
      <c r="BA633" t="s">
        <v>74</v>
      </c>
      <c r="BB633">
        <v>351</v>
      </c>
      <c r="BC633">
        <v>366</v>
      </c>
      <c r="BD633" t="s">
        <v>74</v>
      </c>
      <c r="BE633" t="s">
        <v>12590</v>
      </c>
      <c r="BF633" t="str">
        <f>HYPERLINK("http://dx.doi.org/10.5194/esurf-8-351-2020","http://dx.doi.org/10.5194/esurf-8-351-2020")</f>
        <v>http://dx.doi.org/10.5194/esurf-8-351-2020</v>
      </c>
      <c r="BG633" t="s">
        <v>74</v>
      </c>
      <c r="BH633" t="s">
        <v>74</v>
      </c>
      <c r="BI633">
        <v>16</v>
      </c>
      <c r="BJ633" t="s">
        <v>694</v>
      </c>
      <c r="BK633" t="s">
        <v>102</v>
      </c>
      <c r="BL633" t="s">
        <v>695</v>
      </c>
      <c r="BM633" t="s">
        <v>12591</v>
      </c>
      <c r="BN633" t="s">
        <v>74</v>
      </c>
      <c r="BO633" t="s">
        <v>3338</v>
      </c>
      <c r="BP633" t="s">
        <v>74</v>
      </c>
      <c r="BQ633" t="s">
        <v>74</v>
      </c>
      <c r="BR633" t="s">
        <v>106</v>
      </c>
      <c r="BS633" t="s">
        <v>12592</v>
      </c>
      <c r="BT633" t="str">
        <f>HYPERLINK("https%3A%2F%2Fwww.webofscience.com%2Fwos%2Fwoscc%2Ffull-record%2FWOS:000531869100002","View Full Record in Web of Science")</f>
        <v>View Full Record in Web of Science</v>
      </c>
    </row>
    <row r="634" spans="1:72" x14ac:dyDescent="0.15">
      <c r="A634" t="s">
        <v>72</v>
      </c>
      <c r="B634" t="s">
        <v>12593</v>
      </c>
      <c r="C634" t="s">
        <v>74</v>
      </c>
      <c r="D634" t="s">
        <v>74</v>
      </c>
      <c r="E634" t="s">
        <v>74</v>
      </c>
      <c r="F634" t="s">
        <v>12594</v>
      </c>
      <c r="G634" t="s">
        <v>74</v>
      </c>
      <c r="H634" t="s">
        <v>74</v>
      </c>
      <c r="I634" t="s">
        <v>12595</v>
      </c>
      <c r="J634" t="s">
        <v>12596</v>
      </c>
      <c r="K634" t="s">
        <v>74</v>
      </c>
      <c r="L634" t="s">
        <v>74</v>
      </c>
      <c r="M634" t="s">
        <v>78</v>
      </c>
      <c r="N634" t="s">
        <v>79</v>
      </c>
      <c r="O634" t="s">
        <v>74</v>
      </c>
      <c r="P634" t="s">
        <v>74</v>
      </c>
      <c r="Q634" t="s">
        <v>74</v>
      </c>
      <c r="R634" t="s">
        <v>74</v>
      </c>
      <c r="S634" t="s">
        <v>74</v>
      </c>
      <c r="T634" t="s">
        <v>74</v>
      </c>
      <c r="U634" t="s">
        <v>12597</v>
      </c>
      <c r="V634" t="s">
        <v>12598</v>
      </c>
      <c r="W634" t="s">
        <v>12599</v>
      </c>
      <c r="X634" t="s">
        <v>12600</v>
      </c>
      <c r="Y634" t="s">
        <v>12601</v>
      </c>
      <c r="Z634" t="s">
        <v>12602</v>
      </c>
      <c r="AA634" t="s">
        <v>12603</v>
      </c>
      <c r="AB634" t="s">
        <v>12604</v>
      </c>
      <c r="AC634" t="s">
        <v>12605</v>
      </c>
      <c r="AD634" t="s">
        <v>12606</v>
      </c>
      <c r="AE634" t="s">
        <v>12607</v>
      </c>
      <c r="AF634" t="s">
        <v>74</v>
      </c>
      <c r="AG634">
        <v>52</v>
      </c>
      <c r="AH634">
        <v>82</v>
      </c>
      <c r="AI634">
        <v>87</v>
      </c>
      <c r="AJ634">
        <v>1</v>
      </c>
      <c r="AK634">
        <v>18</v>
      </c>
      <c r="AL634" t="s">
        <v>1118</v>
      </c>
      <c r="AM634" t="s">
        <v>1119</v>
      </c>
      <c r="AN634" t="s">
        <v>1120</v>
      </c>
      <c r="AO634" t="s">
        <v>12608</v>
      </c>
      <c r="AP634" t="s">
        <v>74</v>
      </c>
      <c r="AQ634" t="s">
        <v>74</v>
      </c>
      <c r="AR634" t="s">
        <v>12609</v>
      </c>
      <c r="AS634" t="s">
        <v>12610</v>
      </c>
      <c r="AT634" t="s">
        <v>12567</v>
      </c>
      <c r="AU634">
        <v>2020</v>
      </c>
      <c r="AV634">
        <v>3</v>
      </c>
      <c r="AW634">
        <v>1</v>
      </c>
      <c r="AX634" t="s">
        <v>74</v>
      </c>
      <c r="AY634" t="s">
        <v>74</v>
      </c>
      <c r="AZ634" t="s">
        <v>74</v>
      </c>
      <c r="BA634" t="s">
        <v>74</v>
      </c>
      <c r="BB634" t="s">
        <v>74</v>
      </c>
      <c r="BC634" t="s">
        <v>74</v>
      </c>
      <c r="BD634">
        <v>18</v>
      </c>
      <c r="BE634" t="s">
        <v>12611</v>
      </c>
      <c r="BF634" t="str">
        <f>HYPERLINK("http://dx.doi.org/10.1038/s41612-020-0121-5","http://dx.doi.org/10.1038/s41612-020-0121-5")</f>
        <v>http://dx.doi.org/10.1038/s41612-020-0121-5</v>
      </c>
      <c r="BG634" t="s">
        <v>74</v>
      </c>
      <c r="BH634" t="s">
        <v>74</v>
      </c>
      <c r="BI634">
        <v>8</v>
      </c>
      <c r="BJ634" t="s">
        <v>159</v>
      </c>
      <c r="BK634" t="s">
        <v>102</v>
      </c>
      <c r="BL634" t="s">
        <v>159</v>
      </c>
      <c r="BM634" t="s">
        <v>12612</v>
      </c>
      <c r="BN634" t="s">
        <v>74</v>
      </c>
      <c r="BO634" t="s">
        <v>2956</v>
      </c>
      <c r="BP634" t="s">
        <v>74</v>
      </c>
      <c r="BQ634" t="s">
        <v>74</v>
      </c>
      <c r="BR634" t="s">
        <v>106</v>
      </c>
      <c r="BS634" t="s">
        <v>12613</v>
      </c>
      <c r="BT634" t="str">
        <f>HYPERLINK("https%3A%2F%2Fwww.webofscience.com%2Fwos%2Fwoscc%2Ffull-record%2FWOS:000531147200001","View Full Record in Web of Science")</f>
        <v>View Full Record in Web of Science</v>
      </c>
    </row>
    <row r="635" spans="1:72" x14ac:dyDescent="0.15">
      <c r="A635" t="s">
        <v>72</v>
      </c>
      <c r="B635" t="s">
        <v>12614</v>
      </c>
      <c r="C635" t="s">
        <v>74</v>
      </c>
      <c r="D635" t="s">
        <v>74</v>
      </c>
      <c r="E635" t="s">
        <v>74</v>
      </c>
      <c r="F635" t="s">
        <v>12615</v>
      </c>
      <c r="G635" t="s">
        <v>74</v>
      </c>
      <c r="H635" t="s">
        <v>74</v>
      </c>
      <c r="I635" t="s">
        <v>12616</v>
      </c>
      <c r="J635" t="s">
        <v>5978</v>
      </c>
      <c r="K635" t="s">
        <v>74</v>
      </c>
      <c r="L635" t="s">
        <v>74</v>
      </c>
      <c r="M635" t="s">
        <v>78</v>
      </c>
      <c r="N635" t="s">
        <v>79</v>
      </c>
      <c r="O635" t="s">
        <v>74</v>
      </c>
      <c r="P635" t="s">
        <v>74</v>
      </c>
      <c r="Q635" t="s">
        <v>74</v>
      </c>
      <c r="R635" t="s">
        <v>74</v>
      </c>
      <c r="S635" t="s">
        <v>74</v>
      </c>
      <c r="T635" t="s">
        <v>12617</v>
      </c>
      <c r="U635" t="s">
        <v>12618</v>
      </c>
      <c r="V635" t="s">
        <v>12619</v>
      </c>
      <c r="W635" t="s">
        <v>12620</v>
      </c>
      <c r="X635" t="s">
        <v>3051</v>
      </c>
      <c r="Y635" t="s">
        <v>12621</v>
      </c>
      <c r="Z635" t="s">
        <v>12622</v>
      </c>
      <c r="AA635" t="s">
        <v>12623</v>
      </c>
      <c r="AB635" t="s">
        <v>12624</v>
      </c>
      <c r="AC635" t="s">
        <v>74</v>
      </c>
      <c r="AD635" t="s">
        <v>74</v>
      </c>
      <c r="AE635" t="s">
        <v>74</v>
      </c>
      <c r="AF635" t="s">
        <v>74</v>
      </c>
      <c r="AG635">
        <v>43</v>
      </c>
      <c r="AH635">
        <v>6</v>
      </c>
      <c r="AI635">
        <v>6</v>
      </c>
      <c r="AJ635">
        <v>3</v>
      </c>
      <c r="AK635">
        <v>17</v>
      </c>
      <c r="AL635" t="s">
        <v>994</v>
      </c>
      <c r="AM635" t="s">
        <v>995</v>
      </c>
      <c r="AN635" t="s">
        <v>996</v>
      </c>
      <c r="AO635" t="s">
        <v>5989</v>
      </c>
      <c r="AP635" t="s">
        <v>5990</v>
      </c>
      <c r="AQ635" t="s">
        <v>74</v>
      </c>
      <c r="AR635" t="s">
        <v>5991</v>
      </c>
      <c r="AS635" t="s">
        <v>5992</v>
      </c>
      <c r="AT635" t="s">
        <v>7663</v>
      </c>
      <c r="AU635">
        <v>2020</v>
      </c>
      <c r="AV635">
        <v>51</v>
      </c>
      <c r="AW635">
        <v>3</v>
      </c>
      <c r="AX635" t="s">
        <v>74</v>
      </c>
      <c r="AY635" t="s">
        <v>74</v>
      </c>
      <c r="AZ635" t="s">
        <v>74</v>
      </c>
      <c r="BA635" t="s">
        <v>74</v>
      </c>
      <c r="BB635">
        <v>634</v>
      </c>
      <c r="BC635">
        <v>648</v>
      </c>
      <c r="BD635" t="s">
        <v>74</v>
      </c>
      <c r="BE635" t="s">
        <v>12625</v>
      </c>
      <c r="BF635" t="str">
        <f>HYPERLINK("http://dx.doi.org/10.1111/jwas.12692","http://dx.doi.org/10.1111/jwas.12692")</f>
        <v>http://dx.doi.org/10.1111/jwas.12692</v>
      </c>
      <c r="BG635" t="s">
        <v>74</v>
      </c>
      <c r="BH635" t="s">
        <v>10854</v>
      </c>
      <c r="BI635">
        <v>15</v>
      </c>
      <c r="BJ635" t="s">
        <v>4943</v>
      </c>
      <c r="BK635" t="s">
        <v>102</v>
      </c>
      <c r="BL635" t="s">
        <v>4943</v>
      </c>
      <c r="BM635" t="s">
        <v>12626</v>
      </c>
      <c r="BN635" t="s">
        <v>74</v>
      </c>
      <c r="BO635" t="s">
        <v>74</v>
      </c>
      <c r="BP635" t="s">
        <v>74</v>
      </c>
      <c r="BQ635" t="s">
        <v>74</v>
      </c>
      <c r="BR635" t="s">
        <v>106</v>
      </c>
      <c r="BS635" t="s">
        <v>12627</v>
      </c>
      <c r="BT635" t="str">
        <f>HYPERLINK("https%3A%2F%2Fwww.webofscience.com%2Fwos%2Fwoscc%2Ffull-record%2FWOS:000531399000001","View Full Record in Web of Science")</f>
        <v>View Full Record in Web of Science</v>
      </c>
    </row>
    <row r="636" spans="1:72" x14ac:dyDescent="0.15">
      <c r="A636" t="s">
        <v>72</v>
      </c>
      <c r="B636" t="s">
        <v>12628</v>
      </c>
      <c r="C636" t="s">
        <v>74</v>
      </c>
      <c r="D636" t="s">
        <v>74</v>
      </c>
      <c r="E636" t="s">
        <v>74</v>
      </c>
      <c r="F636" t="s">
        <v>12629</v>
      </c>
      <c r="G636" t="s">
        <v>74</v>
      </c>
      <c r="H636" t="s">
        <v>74</v>
      </c>
      <c r="I636" t="s">
        <v>12630</v>
      </c>
      <c r="J636" t="s">
        <v>12631</v>
      </c>
      <c r="K636" t="s">
        <v>74</v>
      </c>
      <c r="L636" t="s">
        <v>74</v>
      </c>
      <c r="M636" t="s">
        <v>78</v>
      </c>
      <c r="N636" t="s">
        <v>79</v>
      </c>
      <c r="O636" t="s">
        <v>74</v>
      </c>
      <c r="P636" t="s">
        <v>74</v>
      </c>
      <c r="Q636" t="s">
        <v>74</v>
      </c>
      <c r="R636" t="s">
        <v>74</v>
      </c>
      <c r="S636" t="s">
        <v>74</v>
      </c>
      <c r="T636" t="s">
        <v>74</v>
      </c>
      <c r="U636" t="s">
        <v>12632</v>
      </c>
      <c r="V636" t="s">
        <v>12633</v>
      </c>
      <c r="W636" t="s">
        <v>12634</v>
      </c>
      <c r="X636" t="s">
        <v>12635</v>
      </c>
      <c r="Y636" t="s">
        <v>12636</v>
      </c>
      <c r="Z636" t="s">
        <v>12637</v>
      </c>
      <c r="AA636" t="s">
        <v>12638</v>
      </c>
      <c r="AB636" t="s">
        <v>12639</v>
      </c>
      <c r="AC636" t="s">
        <v>12640</v>
      </c>
      <c r="AD636" t="s">
        <v>12641</v>
      </c>
      <c r="AE636" t="s">
        <v>12642</v>
      </c>
      <c r="AF636" t="s">
        <v>74</v>
      </c>
      <c r="AG636">
        <v>59</v>
      </c>
      <c r="AH636">
        <v>9</v>
      </c>
      <c r="AI636">
        <v>12</v>
      </c>
      <c r="AJ636">
        <v>2</v>
      </c>
      <c r="AK636">
        <v>19</v>
      </c>
      <c r="AL636" t="s">
        <v>124</v>
      </c>
      <c r="AM636" t="s">
        <v>93</v>
      </c>
      <c r="AN636" t="s">
        <v>125</v>
      </c>
      <c r="AO636" t="s">
        <v>12643</v>
      </c>
      <c r="AP636" t="s">
        <v>12644</v>
      </c>
      <c r="AQ636" t="s">
        <v>74</v>
      </c>
      <c r="AR636" t="s">
        <v>12645</v>
      </c>
      <c r="AS636" t="s">
        <v>12646</v>
      </c>
      <c r="AT636" t="s">
        <v>12647</v>
      </c>
      <c r="AU636">
        <v>2020</v>
      </c>
      <c r="AV636">
        <v>48</v>
      </c>
      <c r="AW636">
        <v>8</v>
      </c>
      <c r="AX636" t="s">
        <v>74</v>
      </c>
      <c r="AY636" t="s">
        <v>74</v>
      </c>
      <c r="AZ636" t="s">
        <v>74</v>
      </c>
      <c r="BA636" t="s">
        <v>74</v>
      </c>
      <c r="BB636" t="s">
        <v>74</v>
      </c>
      <c r="BC636" t="s">
        <v>74</v>
      </c>
      <c r="BD636" t="s">
        <v>12648</v>
      </c>
      <c r="BE636" t="s">
        <v>12649</v>
      </c>
      <c r="BF636" t="str">
        <f>HYPERLINK("http://dx.doi.org/10.1093/nar/gkaa131","http://dx.doi.org/10.1093/nar/gkaa131")</f>
        <v>http://dx.doi.org/10.1093/nar/gkaa131</v>
      </c>
      <c r="BG636" t="s">
        <v>74</v>
      </c>
      <c r="BH636" t="s">
        <v>74</v>
      </c>
      <c r="BI636">
        <v>9</v>
      </c>
      <c r="BJ636" t="s">
        <v>7422</v>
      </c>
      <c r="BK636" t="s">
        <v>102</v>
      </c>
      <c r="BL636" t="s">
        <v>7422</v>
      </c>
      <c r="BM636" t="s">
        <v>12650</v>
      </c>
      <c r="BN636">
        <v>32095820</v>
      </c>
      <c r="BO636" t="s">
        <v>1778</v>
      </c>
      <c r="BP636" t="s">
        <v>74</v>
      </c>
      <c r="BQ636" t="s">
        <v>74</v>
      </c>
      <c r="BR636" t="s">
        <v>106</v>
      </c>
      <c r="BS636" t="s">
        <v>12651</v>
      </c>
      <c r="BT636" t="str">
        <f>HYPERLINK("https%3A%2F%2Fwww.webofscience.com%2Fwos%2Fwoscc%2Ffull-record%2FWOS:000569096800006","View Full Record in Web of Science")</f>
        <v>View Full Record in Web of Science</v>
      </c>
    </row>
    <row r="637" spans="1:72" x14ac:dyDescent="0.15">
      <c r="A637" t="s">
        <v>72</v>
      </c>
      <c r="B637" t="s">
        <v>12652</v>
      </c>
      <c r="C637" t="s">
        <v>74</v>
      </c>
      <c r="D637" t="s">
        <v>74</v>
      </c>
      <c r="E637" t="s">
        <v>74</v>
      </c>
      <c r="F637" t="s">
        <v>12653</v>
      </c>
      <c r="G637" t="s">
        <v>74</v>
      </c>
      <c r="H637" t="s">
        <v>74</v>
      </c>
      <c r="I637" t="s">
        <v>12654</v>
      </c>
      <c r="J637" t="s">
        <v>2111</v>
      </c>
      <c r="K637" t="s">
        <v>74</v>
      </c>
      <c r="L637" t="s">
        <v>74</v>
      </c>
      <c r="M637" t="s">
        <v>78</v>
      </c>
      <c r="N637" t="s">
        <v>79</v>
      </c>
      <c r="O637" t="s">
        <v>74</v>
      </c>
      <c r="P637" t="s">
        <v>74</v>
      </c>
      <c r="Q637" t="s">
        <v>74</v>
      </c>
      <c r="R637" t="s">
        <v>74</v>
      </c>
      <c r="S637" t="s">
        <v>74</v>
      </c>
      <c r="T637" t="s">
        <v>74</v>
      </c>
      <c r="U637" t="s">
        <v>12655</v>
      </c>
      <c r="V637" t="s">
        <v>12656</v>
      </c>
      <c r="W637" t="s">
        <v>12657</v>
      </c>
      <c r="X637" t="s">
        <v>12658</v>
      </c>
      <c r="Y637" t="s">
        <v>12659</v>
      </c>
      <c r="Z637" t="s">
        <v>12660</v>
      </c>
      <c r="AA637" t="s">
        <v>12661</v>
      </c>
      <c r="AB637" t="s">
        <v>12662</v>
      </c>
      <c r="AC637" t="s">
        <v>12663</v>
      </c>
      <c r="AD637" t="s">
        <v>12664</v>
      </c>
      <c r="AE637" t="s">
        <v>12665</v>
      </c>
      <c r="AF637" t="s">
        <v>74</v>
      </c>
      <c r="AG637">
        <v>75</v>
      </c>
      <c r="AH637">
        <v>13</v>
      </c>
      <c r="AI637">
        <v>14</v>
      </c>
      <c r="AJ637">
        <v>1</v>
      </c>
      <c r="AK637">
        <v>9</v>
      </c>
      <c r="AL637" t="s">
        <v>2121</v>
      </c>
      <c r="AM637" t="s">
        <v>2122</v>
      </c>
      <c r="AN637" t="s">
        <v>2123</v>
      </c>
      <c r="AO637" t="s">
        <v>2124</v>
      </c>
      <c r="AP637" t="s">
        <v>74</v>
      </c>
      <c r="AQ637" t="s">
        <v>74</v>
      </c>
      <c r="AR637" t="s">
        <v>2111</v>
      </c>
      <c r="AS637" t="s">
        <v>2125</v>
      </c>
      <c r="AT637" t="s">
        <v>12647</v>
      </c>
      <c r="AU637">
        <v>2020</v>
      </c>
      <c r="AV637">
        <v>15</v>
      </c>
      <c r="AW637">
        <v>5</v>
      </c>
      <c r="AX637" t="s">
        <v>74</v>
      </c>
      <c r="AY637" t="s">
        <v>74</v>
      </c>
      <c r="AZ637" t="s">
        <v>74</v>
      </c>
      <c r="BA637" t="s">
        <v>74</v>
      </c>
      <c r="BB637" t="s">
        <v>74</v>
      </c>
      <c r="BC637" t="s">
        <v>74</v>
      </c>
      <c r="BD637" t="s">
        <v>12666</v>
      </c>
      <c r="BE637" t="s">
        <v>12667</v>
      </c>
      <c r="BF637" t="str">
        <f>HYPERLINK("http://dx.doi.org/10.1371/journal.pone.0231577","http://dx.doi.org/10.1371/journal.pone.0231577")</f>
        <v>http://dx.doi.org/10.1371/journal.pone.0231577</v>
      </c>
      <c r="BG637" t="s">
        <v>74</v>
      </c>
      <c r="BH637" t="s">
        <v>74</v>
      </c>
      <c r="BI637">
        <v>20</v>
      </c>
      <c r="BJ637" t="s">
        <v>1125</v>
      </c>
      <c r="BK637" t="s">
        <v>102</v>
      </c>
      <c r="BL637" t="s">
        <v>1126</v>
      </c>
      <c r="BM637" t="s">
        <v>12668</v>
      </c>
      <c r="BN637">
        <v>32380516</v>
      </c>
      <c r="BO637" t="s">
        <v>1778</v>
      </c>
      <c r="BP637" t="s">
        <v>74</v>
      </c>
      <c r="BQ637" t="s">
        <v>74</v>
      </c>
      <c r="BR637" t="s">
        <v>106</v>
      </c>
      <c r="BS637" t="s">
        <v>12669</v>
      </c>
      <c r="BT637" t="str">
        <f>HYPERLINK("https%3A%2F%2Fwww.webofscience.com%2Fwos%2Fwoscc%2Ffull-record%2FWOS:000537285700013","View Full Record in Web of Science")</f>
        <v>View Full Record in Web of Science</v>
      </c>
    </row>
    <row r="638" spans="1:72" x14ac:dyDescent="0.15">
      <c r="A638" t="s">
        <v>72</v>
      </c>
      <c r="B638" t="s">
        <v>3487</v>
      </c>
      <c r="C638" t="s">
        <v>74</v>
      </c>
      <c r="D638" t="s">
        <v>74</v>
      </c>
      <c r="E638" t="s">
        <v>74</v>
      </c>
      <c r="F638" t="s">
        <v>3488</v>
      </c>
      <c r="G638" t="s">
        <v>74</v>
      </c>
      <c r="H638" t="s">
        <v>74</v>
      </c>
      <c r="I638" t="s">
        <v>12670</v>
      </c>
      <c r="J638" t="s">
        <v>3490</v>
      </c>
      <c r="K638" t="s">
        <v>74</v>
      </c>
      <c r="L638" t="s">
        <v>74</v>
      </c>
      <c r="M638" t="s">
        <v>78</v>
      </c>
      <c r="N638" t="s">
        <v>79</v>
      </c>
      <c r="O638" t="s">
        <v>74</v>
      </c>
      <c r="P638" t="s">
        <v>74</v>
      </c>
      <c r="Q638" t="s">
        <v>74</v>
      </c>
      <c r="R638" t="s">
        <v>74</v>
      </c>
      <c r="S638" t="s">
        <v>74</v>
      </c>
      <c r="T638" t="s">
        <v>74</v>
      </c>
      <c r="U638" t="s">
        <v>12671</v>
      </c>
      <c r="V638" t="s">
        <v>12672</v>
      </c>
      <c r="W638" t="s">
        <v>12673</v>
      </c>
      <c r="X638" t="s">
        <v>5895</v>
      </c>
      <c r="Y638" t="s">
        <v>12674</v>
      </c>
      <c r="Z638" t="s">
        <v>12675</v>
      </c>
      <c r="AA638" t="s">
        <v>12676</v>
      </c>
      <c r="AB638" t="s">
        <v>12677</v>
      </c>
      <c r="AC638" t="s">
        <v>12678</v>
      </c>
      <c r="AD638" t="s">
        <v>12679</v>
      </c>
      <c r="AE638" t="s">
        <v>12680</v>
      </c>
      <c r="AF638" t="s">
        <v>74</v>
      </c>
      <c r="AG638">
        <v>68</v>
      </c>
      <c r="AH638">
        <v>29</v>
      </c>
      <c r="AI638">
        <v>30</v>
      </c>
      <c r="AJ638">
        <v>4</v>
      </c>
      <c r="AK638">
        <v>32</v>
      </c>
      <c r="AL638" t="s">
        <v>1389</v>
      </c>
      <c r="AM638" t="s">
        <v>945</v>
      </c>
      <c r="AN638" t="s">
        <v>1390</v>
      </c>
      <c r="AO638" t="s">
        <v>3493</v>
      </c>
      <c r="AP638" t="s">
        <v>74</v>
      </c>
      <c r="AQ638" t="s">
        <v>74</v>
      </c>
      <c r="AR638" t="s">
        <v>3494</v>
      </c>
      <c r="AS638" t="s">
        <v>3495</v>
      </c>
      <c r="AT638" t="s">
        <v>12681</v>
      </c>
      <c r="AU638">
        <v>2020</v>
      </c>
      <c r="AV638">
        <v>11</v>
      </c>
      <c r="AW638">
        <v>1</v>
      </c>
      <c r="AX638" t="s">
        <v>74</v>
      </c>
      <c r="AY638" t="s">
        <v>74</v>
      </c>
      <c r="AZ638" t="s">
        <v>74</v>
      </c>
      <c r="BA638" t="s">
        <v>74</v>
      </c>
      <c r="BB638" t="s">
        <v>74</v>
      </c>
      <c r="BC638" t="s">
        <v>74</v>
      </c>
      <c r="BD638">
        <v>2226</v>
      </c>
      <c r="BE638" t="s">
        <v>12682</v>
      </c>
      <c r="BF638" t="str">
        <f>HYPERLINK("http://dx.doi.org/10.1038/s41467-020-16093-z","http://dx.doi.org/10.1038/s41467-020-16093-z")</f>
        <v>http://dx.doi.org/10.1038/s41467-020-16093-z</v>
      </c>
      <c r="BG638" t="s">
        <v>74</v>
      </c>
      <c r="BH638" t="s">
        <v>74</v>
      </c>
      <c r="BI638">
        <v>7</v>
      </c>
      <c r="BJ638" t="s">
        <v>1125</v>
      </c>
      <c r="BK638" t="s">
        <v>102</v>
      </c>
      <c r="BL638" t="s">
        <v>1126</v>
      </c>
      <c r="BM638" t="s">
        <v>12683</v>
      </c>
      <c r="BN638">
        <v>32376915</v>
      </c>
      <c r="BO638" t="s">
        <v>1778</v>
      </c>
      <c r="BP638" t="s">
        <v>74</v>
      </c>
      <c r="BQ638" t="s">
        <v>74</v>
      </c>
      <c r="BR638" t="s">
        <v>106</v>
      </c>
      <c r="BS638" t="s">
        <v>12684</v>
      </c>
      <c r="BT638" t="str">
        <f>HYPERLINK("https%3A%2F%2Fwww.webofscience.com%2Fwos%2Fwoscc%2Ffull-record%2FWOS:000558811400001","View Full Record in Web of Science")</f>
        <v>View Full Record in Web of Science</v>
      </c>
    </row>
    <row r="639" spans="1:72" x14ac:dyDescent="0.15">
      <c r="A639" t="s">
        <v>72</v>
      </c>
      <c r="B639" t="s">
        <v>12685</v>
      </c>
      <c r="C639" t="s">
        <v>74</v>
      </c>
      <c r="D639" t="s">
        <v>74</v>
      </c>
      <c r="E639" t="s">
        <v>74</v>
      </c>
      <c r="F639" t="s">
        <v>12686</v>
      </c>
      <c r="G639" t="s">
        <v>74</v>
      </c>
      <c r="H639" t="s">
        <v>74</v>
      </c>
      <c r="I639" t="s">
        <v>12687</v>
      </c>
      <c r="J639" t="s">
        <v>12688</v>
      </c>
      <c r="K639" t="s">
        <v>74</v>
      </c>
      <c r="L639" t="s">
        <v>74</v>
      </c>
      <c r="M639" t="s">
        <v>78</v>
      </c>
      <c r="N639" t="s">
        <v>79</v>
      </c>
      <c r="O639" t="s">
        <v>74</v>
      </c>
      <c r="P639" t="s">
        <v>74</v>
      </c>
      <c r="Q639" t="s">
        <v>74</v>
      </c>
      <c r="R639" t="s">
        <v>74</v>
      </c>
      <c r="S639" t="s">
        <v>74</v>
      </c>
      <c r="T639" t="s">
        <v>12689</v>
      </c>
      <c r="U639" t="s">
        <v>12690</v>
      </c>
      <c r="V639" t="s">
        <v>12691</v>
      </c>
      <c r="W639" t="s">
        <v>12692</v>
      </c>
      <c r="X639" t="s">
        <v>12693</v>
      </c>
      <c r="Y639" t="s">
        <v>12694</v>
      </c>
      <c r="Z639" t="s">
        <v>12695</v>
      </c>
      <c r="AA639" t="s">
        <v>74</v>
      </c>
      <c r="AB639" t="s">
        <v>9304</v>
      </c>
      <c r="AC639" t="s">
        <v>12696</v>
      </c>
      <c r="AD639" t="s">
        <v>12697</v>
      </c>
      <c r="AE639" t="s">
        <v>12698</v>
      </c>
      <c r="AF639" t="s">
        <v>74</v>
      </c>
      <c r="AG639">
        <v>40</v>
      </c>
      <c r="AH639">
        <v>10</v>
      </c>
      <c r="AI639">
        <v>10</v>
      </c>
      <c r="AJ639">
        <v>1</v>
      </c>
      <c r="AK639">
        <v>14</v>
      </c>
      <c r="AL639" t="s">
        <v>994</v>
      </c>
      <c r="AM639" t="s">
        <v>995</v>
      </c>
      <c r="AN639" t="s">
        <v>996</v>
      </c>
      <c r="AO639" t="s">
        <v>12699</v>
      </c>
      <c r="AP639" t="s">
        <v>12700</v>
      </c>
      <c r="AQ639" t="s">
        <v>74</v>
      </c>
      <c r="AR639" t="s">
        <v>12688</v>
      </c>
      <c r="AS639" t="s">
        <v>12701</v>
      </c>
      <c r="AT639" t="s">
        <v>1653</v>
      </c>
      <c r="AU639">
        <v>2021</v>
      </c>
      <c r="AV639">
        <v>163</v>
      </c>
      <c r="AW639">
        <v>1</v>
      </c>
      <c r="AX639" t="s">
        <v>74</v>
      </c>
      <c r="AY639" t="s">
        <v>74</v>
      </c>
      <c r="AZ639" t="s">
        <v>74</v>
      </c>
      <c r="BA639" t="s">
        <v>74</v>
      </c>
      <c r="BB639">
        <v>90</v>
      </c>
      <c r="BC639">
        <v>98</v>
      </c>
      <c r="BD639" t="s">
        <v>74</v>
      </c>
      <c r="BE639" t="s">
        <v>12702</v>
      </c>
      <c r="BF639" t="str">
        <f>HYPERLINK("http://dx.doi.org/10.1111/ibi.12837","http://dx.doi.org/10.1111/ibi.12837")</f>
        <v>http://dx.doi.org/10.1111/ibi.12837</v>
      </c>
      <c r="BG639" t="s">
        <v>74</v>
      </c>
      <c r="BH639" t="s">
        <v>10854</v>
      </c>
      <c r="BI639">
        <v>9</v>
      </c>
      <c r="BJ639" t="s">
        <v>11157</v>
      </c>
      <c r="BK639" t="s">
        <v>102</v>
      </c>
      <c r="BL639" t="s">
        <v>1499</v>
      </c>
      <c r="BM639" t="s">
        <v>12703</v>
      </c>
      <c r="BN639" t="s">
        <v>74</v>
      </c>
      <c r="BO639" t="s">
        <v>74</v>
      </c>
      <c r="BP639" t="s">
        <v>74</v>
      </c>
      <c r="BQ639" t="s">
        <v>74</v>
      </c>
      <c r="BR639" t="s">
        <v>106</v>
      </c>
      <c r="BS639" t="s">
        <v>12704</v>
      </c>
      <c r="BT639" t="str">
        <f>HYPERLINK("https%3A%2F%2Fwww.webofscience.com%2Fwos%2Fwoscc%2Ffull-record%2FWOS:000530401200001","View Full Record in Web of Science")</f>
        <v>View Full Record in Web of Science</v>
      </c>
    </row>
    <row r="640" spans="1:72" x14ac:dyDescent="0.15">
      <c r="A640" t="s">
        <v>72</v>
      </c>
      <c r="B640" t="s">
        <v>12705</v>
      </c>
      <c r="C640" t="s">
        <v>74</v>
      </c>
      <c r="D640" t="s">
        <v>74</v>
      </c>
      <c r="E640" t="s">
        <v>74</v>
      </c>
      <c r="F640" t="s">
        <v>12706</v>
      </c>
      <c r="G640" t="s">
        <v>74</v>
      </c>
      <c r="H640" t="s">
        <v>74</v>
      </c>
      <c r="I640" t="s">
        <v>12707</v>
      </c>
      <c r="J640" t="s">
        <v>12708</v>
      </c>
      <c r="K640" t="s">
        <v>74</v>
      </c>
      <c r="L640" t="s">
        <v>74</v>
      </c>
      <c r="M640" t="s">
        <v>78</v>
      </c>
      <c r="N640" t="s">
        <v>79</v>
      </c>
      <c r="O640" t="s">
        <v>74</v>
      </c>
      <c r="P640" t="s">
        <v>74</v>
      </c>
      <c r="Q640" t="s">
        <v>74</v>
      </c>
      <c r="R640" t="s">
        <v>74</v>
      </c>
      <c r="S640" t="s">
        <v>74</v>
      </c>
      <c r="T640" t="s">
        <v>12709</v>
      </c>
      <c r="U640" t="s">
        <v>12710</v>
      </c>
      <c r="V640" t="s">
        <v>12711</v>
      </c>
      <c r="W640" t="s">
        <v>12712</v>
      </c>
      <c r="X640" t="s">
        <v>12713</v>
      </c>
      <c r="Y640" t="s">
        <v>12714</v>
      </c>
      <c r="Z640" t="s">
        <v>12715</v>
      </c>
      <c r="AA640" t="s">
        <v>74</v>
      </c>
      <c r="AB640" t="s">
        <v>12716</v>
      </c>
      <c r="AC640" t="s">
        <v>12717</v>
      </c>
      <c r="AD640" t="s">
        <v>12718</v>
      </c>
      <c r="AE640" t="s">
        <v>12719</v>
      </c>
      <c r="AF640" t="s">
        <v>74</v>
      </c>
      <c r="AG640">
        <v>53</v>
      </c>
      <c r="AH640">
        <v>3</v>
      </c>
      <c r="AI640">
        <v>3</v>
      </c>
      <c r="AJ640">
        <v>5</v>
      </c>
      <c r="AK640">
        <v>28</v>
      </c>
      <c r="AL640" t="s">
        <v>994</v>
      </c>
      <c r="AM640" t="s">
        <v>995</v>
      </c>
      <c r="AN640" t="s">
        <v>996</v>
      </c>
      <c r="AO640" t="s">
        <v>12720</v>
      </c>
      <c r="AP640" t="s">
        <v>12721</v>
      </c>
      <c r="AQ640" t="s">
        <v>74</v>
      </c>
      <c r="AR640" t="s">
        <v>12722</v>
      </c>
      <c r="AS640" t="s">
        <v>12723</v>
      </c>
      <c r="AT640" t="s">
        <v>3950</v>
      </c>
      <c r="AU640">
        <v>2020</v>
      </c>
      <c r="AV640">
        <v>60</v>
      </c>
      <c r="AW640">
        <v>7</v>
      </c>
      <c r="AX640" t="s">
        <v>74</v>
      </c>
      <c r="AY640" t="s">
        <v>74</v>
      </c>
      <c r="AZ640" t="s">
        <v>2622</v>
      </c>
      <c r="BA640" t="s">
        <v>74</v>
      </c>
      <c r="BB640">
        <v>639</v>
      </c>
      <c r="BC640">
        <v>648</v>
      </c>
      <c r="BD640" t="s">
        <v>74</v>
      </c>
      <c r="BE640" t="s">
        <v>12724</v>
      </c>
      <c r="BF640" t="str">
        <f>HYPERLINK("http://dx.doi.org/10.1002/jobm.202000032","http://dx.doi.org/10.1002/jobm.202000032")</f>
        <v>http://dx.doi.org/10.1002/jobm.202000032</v>
      </c>
      <c r="BG640" t="s">
        <v>74</v>
      </c>
      <c r="BH640" t="s">
        <v>10854</v>
      </c>
      <c r="BI640">
        <v>10</v>
      </c>
      <c r="BJ640" t="s">
        <v>2045</v>
      </c>
      <c r="BK640" t="s">
        <v>102</v>
      </c>
      <c r="BL640" t="s">
        <v>2045</v>
      </c>
      <c r="BM640" t="s">
        <v>12725</v>
      </c>
      <c r="BN640">
        <v>32378236</v>
      </c>
      <c r="BO640" t="s">
        <v>74</v>
      </c>
      <c r="BP640" t="s">
        <v>74</v>
      </c>
      <c r="BQ640" t="s">
        <v>74</v>
      </c>
      <c r="BR640" t="s">
        <v>106</v>
      </c>
      <c r="BS640" t="s">
        <v>12726</v>
      </c>
      <c r="BT640" t="str">
        <f>HYPERLINK("https%3A%2F%2Fwww.webofscience.com%2Fwos%2Fwoscc%2Ffull-record%2FWOS:000530622000001","View Full Record in Web of Science")</f>
        <v>View Full Record in Web of Science</v>
      </c>
    </row>
    <row r="641" spans="1:72" x14ac:dyDescent="0.15">
      <c r="A641" t="s">
        <v>72</v>
      </c>
      <c r="B641" t="s">
        <v>12727</v>
      </c>
      <c r="C641" t="s">
        <v>74</v>
      </c>
      <c r="D641" t="s">
        <v>74</v>
      </c>
      <c r="E641" t="s">
        <v>74</v>
      </c>
      <c r="F641" t="s">
        <v>12728</v>
      </c>
      <c r="G641" t="s">
        <v>74</v>
      </c>
      <c r="H641" t="s">
        <v>74</v>
      </c>
      <c r="I641" t="s">
        <v>12729</v>
      </c>
      <c r="J641" t="s">
        <v>7835</v>
      </c>
      <c r="K641" t="s">
        <v>74</v>
      </c>
      <c r="L641" t="s">
        <v>74</v>
      </c>
      <c r="M641" t="s">
        <v>78</v>
      </c>
      <c r="N641" t="s">
        <v>79</v>
      </c>
      <c r="O641" t="s">
        <v>74</v>
      </c>
      <c r="P641" t="s">
        <v>74</v>
      </c>
      <c r="Q641" t="s">
        <v>74</v>
      </c>
      <c r="R641" t="s">
        <v>74</v>
      </c>
      <c r="S641" t="s">
        <v>74</v>
      </c>
      <c r="T641" t="s">
        <v>12730</v>
      </c>
      <c r="U641" t="s">
        <v>12731</v>
      </c>
      <c r="V641" t="s">
        <v>12732</v>
      </c>
      <c r="W641" t="s">
        <v>12733</v>
      </c>
      <c r="X641" t="s">
        <v>12734</v>
      </c>
      <c r="Y641" t="s">
        <v>12735</v>
      </c>
      <c r="Z641" t="s">
        <v>12736</v>
      </c>
      <c r="AA641" t="s">
        <v>12737</v>
      </c>
      <c r="AB641" t="s">
        <v>12738</v>
      </c>
      <c r="AC641" t="s">
        <v>12739</v>
      </c>
      <c r="AD641" t="s">
        <v>12740</v>
      </c>
      <c r="AE641" t="s">
        <v>12741</v>
      </c>
      <c r="AF641" t="s">
        <v>74</v>
      </c>
      <c r="AG641">
        <v>66</v>
      </c>
      <c r="AH641">
        <v>19</v>
      </c>
      <c r="AI641">
        <v>22</v>
      </c>
      <c r="AJ641">
        <v>2</v>
      </c>
      <c r="AK641">
        <v>17</v>
      </c>
      <c r="AL641" t="s">
        <v>1024</v>
      </c>
      <c r="AM641" t="s">
        <v>1025</v>
      </c>
      <c r="AN641" t="s">
        <v>1026</v>
      </c>
      <c r="AO641" t="s">
        <v>7846</v>
      </c>
      <c r="AP641" t="s">
        <v>74</v>
      </c>
      <c r="AQ641" t="s">
        <v>74</v>
      </c>
      <c r="AR641" t="s">
        <v>7847</v>
      </c>
      <c r="AS641" t="s">
        <v>7848</v>
      </c>
      <c r="AT641" t="s">
        <v>12681</v>
      </c>
      <c r="AU641">
        <v>2020</v>
      </c>
      <c r="AV641">
        <v>8</v>
      </c>
      <c r="AW641" t="s">
        <v>74</v>
      </c>
      <c r="AX641" t="s">
        <v>74</v>
      </c>
      <c r="AY641" t="s">
        <v>74</v>
      </c>
      <c r="AZ641" t="s">
        <v>74</v>
      </c>
      <c r="BA641" t="s">
        <v>74</v>
      </c>
      <c r="BB641" t="s">
        <v>74</v>
      </c>
      <c r="BC641" t="s">
        <v>74</v>
      </c>
      <c r="BD641">
        <v>122</v>
      </c>
      <c r="BE641" t="s">
        <v>12742</v>
      </c>
      <c r="BF641" t="str">
        <f>HYPERLINK("http://dx.doi.org/10.3389/fevo.2020.00122","http://dx.doi.org/10.3389/fevo.2020.00122")</f>
        <v>http://dx.doi.org/10.3389/fevo.2020.00122</v>
      </c>
      <c r="BG641" t="s">
        <v>74</v>
      </c>
      <c r="BH641" t="s">
        <v>74</v>
      </c>
      <c r="BI641">
        <v>13</v>
      </c>
      <c r="BJ641" t="s">
        <v>1446</v>
      </c>
      <c r="BK641" t="s">
        <v>102</v>
      </c>
      <c r="BL641" t="s">
        <v>103</v>
      </c>
      <c r="BM641" t="s">
        <v>12743</v>
      </c>
      <c r="BN641" t="s">
        <v>74</v>
      </c>
      <c r="BO641" t="s">
        <v>1778</v>
      </c>
      <c r="BP641" t="s">
        <v>74</v>
      </c>
      <c r="BQ641" t="s">
        <v>74</v>
      </c>
      <c r="BR641" t="s">
        <v>106</v>
      </c>
      <c r="BS641" t="s">
        <v>12744</v>
      </c>
      <c r="BT641" t="str">
        <f>HYPERLINK("https%3A%2F%2Fwww.webofscience.com%2Fwos%2Fwoscc%2Ffull-record%2FWOS:000536648600001","View Full Record in Web of Science")</f>
        <v>View Full Record in Web of Science</v>
      </c>
    </row>
    <row r="642" spans="1:72" x14ac:dyDescent="0.15">
      <c r="A642" t="s">
        <v>72</v>
      </c>
      <c r="B642" t="s">
        <v>12745</v>
      </c>
      <c r="C642" t="s">
        <v>74</v>
      </c>
      <c r="D642" t="s">
        <v>74</v>
      </c>
      <c r="E642" t="s">
        <v>74</v>
      </c>
      <c r="F642" t="s">
        <v>12746</v>
      </c>
      <c r="G642" t="s">
        <v>74</v>
      </c>
      <c r="H642" t="s">
        <v>74</v>
      </c>
      <c r="I642" t="s">
        <v>12747</v>
      </c>
      <c r="J642" t="s">
        <v>1662</v>
      </c>
      <c r="K642" t="s">
        <v>74</v>
      </c>
      <c r="L642" t="s">
        <v>74</v>
      </c>
      <c r="M642" t="s">
        <v>78</v>
      </c>
      <c r="N642" t="s">
        <v>79</v>
      </c>
      <c r="O642" t="s">
        <v>74</v>
      </c>
      <c r="P642" t="s">
        <v>74</v>
      </c>
      <c r="Q642" t="s">
        <v>74</v>
      </c>
      <c r="R642" t="s">
        <v>74</v>
      </c>
      <c r="S642" t="s">
        <v>74</v>
      </c>
      <c r="T642" t="s">
        <v>74</v>
      </c>
      <c r="U642" t="s">
        <v>12748</v>
      </c>
      <c r="V642" t="s">
        <v>12749</v>
      </c>
      <c r="W642" t="s">
        <v>12750</v>
      </c>
      <c r="X642" t="s">
        <v>12751</v>
      </c>
      <c r="Y642" t="s">
        <v>12752</v>
      </c>
      <c r="Z642" t="s">
        <v>12753</v>
      </c>
      <c r="AA642" t="s">
        <v>12754</v>
      </c>
      <c r="AB642" t="s">
        <v>12755</v>
      </c>
      <c r="AC642" t="s">
        <v>12756</v>
      </c>
      <c r="AD642" t="s">
        <v>12756</v>
      </c>
      <c r="AE642" t="s">
        <v>12757</v>
      </c>
      <c r="AF642" t="s">
        <v>74</v>
      </c>
      <c r="AG642">
        <v>73</v>
      </c>
      <c r="AH642">
        <v>4</v>
      </c>
      <c r="AI642">
        <v>5</v>
      </c>
      <c r="AJ642">
        <v>0</v>
      </c>
      <c r="AK642">
        <v>9</v>
      </c>
      <c r="AL642" t="s">
        <v>1321</v>
      </c>
      <c r="AM642" t="s">
        <v>1322</v>
      </c>
      <c r="AN642" t="s">
        <v>1323</v>
      </c>
      <c r="AO642" t="s">
        <v>1674</v>
      </c>
      <c r="AP642" t="s">
        <v>1675</v>
      </c>
      <c r="AQ642" t="s">
        <v>74</v>
      </c>
      <c r="AR642" t="s">
        <v>1676</v>
      </c>
      <c r="AS642" t="s">
        <v>1677</v>
      </c>
      <c r="AT642" t="s">
        <v>12758</v>
      </c>
      <c r="AU642">
        <v>2020</v>
      </c>
      <c r="AV642">
        <v>167</v>
      </c>
      <c r="AW642">
        <v>6</v>
      </c>
      <c r="AX642" t="s">
        <v>74</v>
      </c>
      <c r="AY642" t="s">
        <v>74</v>
      </c>
      <c r="AZ642" t="s">
        <v>74</v>
      </c>
      <c r="BA642" t="s">
        <v>74</v>
      </c>
      <c r="BB642" t="s">
        <v>74</v>
      </c>
      <c r="BC642" t="s">
        <v>74</v>
      </c>
      <c r="BD642">
        <v>76</v>
      </c>
      <c r="BE642" t="s">
        <v>12759</v>
      </c>
      <c r="BF642" t="str">
        <f>HYPERLINK("http://dx.doi.org/10.1007/s00227-020-03685-y","http://dx.doi.org/10.1007/s00227-020-03685-y")</f>
        <v>http://dx.doi.org/10.1007/s00227-020-03685-y</v>
      </c>
      <c r="BG642" t="s">
        <v>74</v>
      </c>
      <c r="BH642" t="s">
        <v>74</v>
      </c>
      <c r="BI642">
        <v>13</v>
      </c>
      <c r="BJ642" t="s">
        <v>1680</v>
      </c>
      <c r="BK642" t="s">
        <v>102</v>
      </c>
      <c r="BL642" t="s">
        <v>1680</v>
      </c>
      <c r="BM642" t="s">
        <v>12760</v>
      </c>
      <c r="BN642" t="s">
        <v>74</v>
      </c>
      <c r="BO642" t="s">
        <v>74</v>
      </c>
      <c r="BP642" t="s">
        <v>74</v>
      </c>
      <c r="BQ642" t="s">
        <v>74</v>
      </c>
      <c r="BR642" t="s">
        <v>106</v>
      </c>
      <c r="BS642" t="s">
        <v>12761</v>
      </c>
      <c r="BT642" t="str">
        <f>HYPERLINK("https%3A%2F%2Fwww.webofscience.com%2Fwos%2Fwoscc%2Ffull-record%2FWOS:000532301800005","View Full Record in Web of Science")</f>
        <v>View Full Record in Web of Science</v>
      </c>
    </row>
    <row r="643" spans="1:72" x14ac:dyDescent="0.15">
      <c r="A643" t="s">
        <v>72</v>
      </c>
      <c r="B643" t="s">
        <v>12762</v>
      </c>
      <c r="C643" t="s">
        <v>74</v>
      </c>
      <c r="D643" t="s">
        <v>74</v>
      </c>
      <c r="E643" t="s">
        <v>74</v>
      </c>
      <c r="F643" t="s">
        <v>12763</v>
      </c>
      <c r="G643" t="s">
        <v>74</v>
      </c>
      <c r="H643" t="s">
        <v>74</v>
      </c>
      <c r="I643" t="s">
        <v>12764</v>
      </c>
      <c r="J643" t="s">
        <v>2007</v>
      </c>
      <c r="K643" t="s">
        <v>74</v>
      </c>
      <c r="L643" t="s">
        <v>74</v>
      </c>
      <c r="M643" t="s">
        <v>78</v>
      </c>
      <c r="N643" t="s">
        <v>79</v>
      </c>
      <c r="O643" t="s">
        <v>74</v>
      </c>
      <c r="P643" t="s">
        <v>74</v>
      </c>
      <c r="Q643" t="s">
        <v>74</v>
      </c>
      <c r="R643" t="s">
        <v>74</v>
      </c>
      <c r="S643" t="s">
        <v>74</v>
      </c>
      <c r="T643" t="s">
        <v>74</v>
      </c>
      <c r="U643" t="s">
        <v>12765</v>
      </c>
      <c r="V643" t="s">
        <v>12766</v>
      </c>
      <c r="W643" t="s">
        <v>12767</v>
      </c>
      <c r="X643" t="s">
        <v>12768</v>
      </c>
      <c r="Y643" t="s">
        <v>12769</v>
      </c>
      <c r="Z643" t="s">
        <v>12770</v>
      </c>
      <c r="AA643" t="s">
        <v>12771</v>
      </c>
      <c r="AB643" t="s">
        <v>12772</v>
      </c>
      <c r="AC643" t="s">
        <v>12773</v>
      </c>
      <c r="AD643" t="s">
        <v>12774</v>
      </c>
      <c r="AE643" t="s">
        <v>12775</v>
      </c>
      <c r="AF643" t="s">
        <v>74</v>
      </c>
      <c r="AG643">
        <v>62</v>
      </c>
      <c r="AH643">
        <v>7</v>
      </c>
      <c r="AI643">
        <v>8</v>
      </c>
      <c r="AJ643">
        <v>0</v>
      </c>
      <c r="AK643">
        <v>4</v>
      </c>
      <c r="AL643" t="s">
        <v>1049</v>
      </c>
      <c r="AM643" t="s">
        <v>1050</v>
      </c>
      <c r="AN643" t="s">
        <v>1051</v>
      </c>
      <c r="AO643" t="s">
        <v>2019</v>
      </c>
      <c r="AP643" t="s">
        <v>2020</v>
      </c>
      <c r="AQ643" t="s">
        <v>74</v>
      </c>
      <c r="AR643" t="s">
        <v>2007</v>
      </c>
      <c r="AS643" t="s">
        <v>2021</v>
      </c>
      <c r="AT643" t="s">
        <v>12758</v>
      </c>
      <c r="AU643">
        <v>2020</v>
      </c>
      <c r="AV643">
        <v>14</v>
      </c>
      <c r="AW643">
        <v>5</v>
      </c>
      <c r="AX643" t="s">
        <v>74</v>
      </c>
      <c r="AY643" t="s">
        <v>74</v>
      </c>
      <c r="AZ643" t="s">
        <v>74</v>
      </c>
      <c r="BA643" t="s">
        <v>74</v>
      </c>
      <c r="BB643">
        <v>1459</v>
      </c>
      <c r="BC643">
        <v>1474</v>
      </c>
      <c r="BD643" t="s">
        <v>74</v>
      </c>
      <c r="BE643" t="s">
        <v>12776</v>
      </c>
      <c r="BF643" t="str">
        <f>HYPERLINK("http://dx.doi.org/10.5194/tc-14-1459-2020","http://dx.doi.org/10.5194/tc-14-1459-2020")</f>
        <v>http://dx.doi.org/10.5194/tc-14-1459-2020</v>
      </c>
      <c r="BG643" t="s">
        <v>74</v>
      </c>
      <c r="BH643" t="s">
        <v>74</v>
      </c>
      <c r="BI643">
        <v>16</v>
      </c>
      <c r="BJ643" t="s">
        <v>694</v>
      </c>
      <c r="BK643" t="s">
        <v>102</v>
      </c>
      <c r="BL643" t="s">
        <v>695</v>
      </c>
      <c r="BM643" t="s">
        <v>12777</v>
      </c>
      <c r="BN643" t="s">
        <v>74</v>
      </c>
      <c r="BO643" t="s">
        <v>2071</v>
      </c>
      <c r="BP643" t="s">
        <v>74</v>
      </c>
      <c r="BQ643" t="s">
        <v>74</v>
      </c>
      <c r="BR643" t="s">
        <v>106</v>
      </c>
      <c r="BS643" t="s">
        <v>12778</v>
      </c>
      <c r="BT643" t="str">
        <f>HYPERLINK("https%3A%2F%2Fwww.webofscience.com%2Fwos%2Fwoscc%2Ffull-record%2FWOS:000531822500002","View Full Record in Web of Science")</f>
        <v>View Full Record in Web of Science</v>
      </c>
    </row>
    <row r="644" spans="1:72" x14ac:dyDescent="0.15">
      <c r="A644" t="s">
        <v>72</v>
      </c>
      <c r="B644" t="s">
        <v>12779</v>
      </c>
      <c r="C644" t="s">
        <v>74</v>
      </c>
      <c r="D644" t="s">
        <v>74</v>
      </c>
      <c r="E644" t="s">
        <v>74</v>
      </c>
      <c r="F644" t="s">
        <v>12780</v>
      </c>
      <c r="G644" t="s">
        <v>74</v>
      </c>
      <c r="H644" t="s">
        <v>74</v>
      </c>
      <c r="I644" t="s">
        <v>12781</v>
      </c>
      <c r="J644" t="s">
        <v>7988</v>
      </c>
      <c r="K644" t="s">
        <v>74</v>
      </c>
      <c r="L644" t="s">
        <v>74</v>
      </c>
      <c r="M644" t="s">
        <v>78</v>
      </c>
      <c r="N644" t="s">
        <v>79</v>
      </c>
      <c r="O644" t="s">
        <v>74</v>
      </c>
      <c r="P644" t="s">
        <v>74</v>
      </c>
      <c r="Q644" t="s">
        <v>74</v>
      </c>
      <c r="R644" t="s">
        <v>74</v>
      </c>
      <c r="S644" t="s">
        <v>74</v>
      </c>
      <c r="T644" t="s">
        <v>74</v>
      </c>
      <c r="U644" t="s">
        <v>12782</v>
      </c>
      <c r="V644" t="s">
        <v>12783</v>
      </c>
      <c r="W644" t="s">
        <v>12784</v>
      </c>
      <c r="X644" t="s">
        <v>74</v>
      </c>
      <c r="Y644" t="s">
        <v>12785</v>
      </c>
      <c r="Z644" t="s">
        <v>12786</v>
      </c>
      <c r="AA644" t="s">
        <v>12486</v>
      </c>
      <c r="AB644" t="s">
        <v>12487</v>
      </c>
      <c r="AC644" t="s">
        <v>12787</v>
      </c>
      <c r="AD644" t="s">
        <v>12788</v>
      </c>
      <c r="AE644" t="s">
        <v>12789</v>
      </c>
      <c r="AF644" t="s">
        <v>74</v>
      </c>
      <c r="AG644">
        <v>56</v>
      </c>
      <c r="AH644">
        <v>7</v>
      </c>
      <c r="AI644">
        <v>7</v>
      </c>
      <c r="AJ644">
        <v>1</v>
      </c>
      <c r="AK644">
        <v>6</v>
      </c>
      <c r="AL644" t="s">
        <v>5953</v>
      </c>
      <c r="AM644" t="s">
        <v>5954</v>
      </c>
      <c r="AN644" t="s">
        <v>5955</v>
      </c>
      <c r="AO644" t="s">
        <v>8000</v>
      </c>
      <c r="AP644" t="s">
        <v>8001</v>
      </c>
      <c r="AQ644" t="s">
        <v>74</v>
      </c>
      <c r="AR644" t="s">
        <v>8002</v>
      </c>
      <c r="AS644" t="s">
        <v>8003</v>
      </c>
      <c r="AT644" t="s">
        <v>3950</v>
      </c>
      <c r="AU644">
        <v>2020</v>
      </c>
      <c r="AV644">
        <v>141</v>
      </c>
      <c r="AW644" t="s">
        <v>12790</v>
      </c>
      <c r="AX644" t="s">
        <v>74</v>
      </c>
      <c r="AY644" t="s">
        <v>74</v>
      </c>
      <c r="AZ644" t="s">
        <v>74</v>
      </c>
      <c r="BA644" t="s">
        <v>74</v>
      </c>
      <c r="BB644">
        <v>537</v>
      </c>
      <c r="BC644">
        <v>549</v>
      </c>
      <c r="BD644" t="s">
        <v>74</v>
      </c>
      <c r="BE644" t="s">
        <v>12791</v>
      </c>
      <c r="BF644" t="str">
        <f>HYPERLINK("http://dx.doi.org/10.1007/s00704-020-03200-9","http://dx.doi.org/10.1007/s00704-020-03200-9")</f>
        <v>http://dx.doi.org/10.1007/s00704-020-03200-9</v>
      </c>
      <c r="BG644" t="s">
        <v>74</v>
      </c>
      <c r="BH644" t="s">
        <v>10854</v>
      </c>
      <c r="BI644">
        <v>13</v>
      </c>
      <c r="BJ644" t="s">
        <v>159</v>
      </c>
      <c r="BK644" t="s">
        <v>102</v>
      </c>
      <c r="BL644" t="s">
        <v>159</v>
      </c>
      <c r="BM644" t="s">
        <v>12792</v>
      </c>
      <c r="BN644" t="s">
        <v>74</v>
      </c>
      <c r="BO644" t="s">
        <v>74</v>
      </c>
      <c r="BP644" t="s">
        <v>74</v>
      </c>
      <c r="BQ644" t="s">
        <v>74</v>
      </c>
      <c r="BR644" t="s">
        <v>106</v>
      </c>
      <c r="BS644" t="s">
        <v>12793</v>
      </c>
      <c r="BT644" t="str">
        <f>HYPERLINK("https%3A%2F%2Fwww.webofscience.com%2Fwos%2Fwoscc%2Ffull-record%2FWOS:000531521900001","View Full Record in Web of Science")</f>
        <v>View Full Record in Web of Science</v>
      </c>
    </row>
    <row r="645" spans="1:72" x14ac:dyDescent="0.15">
      <c r="A645" t="s">
        <v>72</v>
      </c>
      <c r="B645" t="s">
        <v>12794</v>
      </c>
      <c r="C645" t="s">
        <v>74</v>
      </c>
      <c r="D645" t="s">
        <v>74</v>
      </c>
      <c r="E645" t="s">
        <v>74</v>
      </c>
      <c r="F645" t="s">
        <v>12795</v>
      </c>
      <c r="G645" t="s">
        <v>74</v>
      </c>
      <c r="H645" t="s">
        <v>74</v>
      </c>
      <c r="I645" t="s">
        <v>12796</v>
      </c>
      <c r="J645" t="s">
        <v>1065</v>
      </c>
      <c r="K645" t="s">
        <v>74</v>
      </c>
      <c r="L645" t="s">
        <v>74</v>
      </c>
      <c r="M645" t="s">
        <v>78</v>
      </c>
      <c r="N645" t="s">
        <v>79</v>
      </c>
      <c r="O645" t="s">
        <v>74</v>
      </c>
      <c r="P645" t="s">
        <v>74</v>
      </c>
      <c r="Q645" t="s">
        <v>74</v>
      </c>
      <c r="R645" t="s">
        <v>74</v>
      </c>
      <c r="S645" t="s">
        <v>74</v>
      </c>
      <c r="T645" t="s">
        <v>12797</v>
      </c>
      <c r="U645" t="s">
        <v>12798</v>
      </c>
      <c r="V645" t="s">
        <v>12799</v>
      </c>
      <c r="W645" t="s">
        <v>12800</v>
      </c>
      <c r="X645" t="s">
        <v>12801</v>
      </c>
      <c r="Y645" t="s">
        <v>12802</v>
      </c>
      <c r="Z645" t="s">
        <v>12803</v>
      </c>
      <c r="AA645" t="s">
        <v>12804</v>
      </c>
      <c r="AB645" t="s">
        <v>12805</v>
      </c>
      <c r="AC645" t="s">
        <v>12806</v>
      </c>
      <c r="AD645" t="s">
        <v>12807</v>
      </c>
      <c r="AE645" t="s">
        <v>12808</v>
      </c>
      <c r="AF645" t="s">
        <v>74</v>
      </c>
      <c r="AG645">
        <v>80</v>
      </c>
      <c r="AH645">
        <v>13</v>
      </c>
      <c r="AI645">
        <v>14</v>
      </c>
      <c r="AJ645">
        <v>2</v>
      </c>
      <c r="AK645">
        <v>19</v>
      </c>
      <c r="AL645" t="s">
        <v>1024</v>
      </c>
      <c r="AM645" t="s">
        <v>1025</v>
      </c>
      <c r="AN645" t="s">
        <v>1026</v>
      </c>
      <c r="AO645" t="s">
        <v>74</v>
      </c>
      <c r="AP645" t="s">
        <v>1078</v>
      </c>
      <c r="AQ645" t="s">
        <v>74</v>
      </c>
      <c r="AR645" t="s">
        <v>1079</v>
      </c>
      <c r="AS645" t="s">
        <v>1080</v>
      </c>
      <c r="AT645" t="s">
        <v>12758</v>
      </c>
      <c r="AU645">
        <v>2020</v>
      </c>
      <c r="AV645">
        <v>7</v>
      </c>
      <c r="AW645" t="s">
        <v>74</v>
      </c>
      <c r="AX645" t="s">
        <v>74</v>
      </c>
      <c r="AY645" t="s">
        <v>74</v>
      </c>
      <c r="AZ645" t="s">
        <v>74</v>
      </c>
      <c r="BA645" t="s">
        <v>74</v>
      </c>
      <c r="BB645" t="s">
        <v>74</v>
      </c>
      <c r="BC645" t="s">
        <v>74</v>
      </c>
      <c r="BD645">
        <v>275</v>
      </c>
      <c r="BE645" t="s">
        <v>12809</v>
      </c>
      <c r="BF645" t="str">
        <f>HYPERLINK("http://dx.doi.org/10.3389/fmars.2020.00275","http://dx.doi.org/10.3389/fmars.2020.00275")</f>
        <v>http://dx.doi.org/10.3389/fmars.2020.00275</v>
      </c>
      <c r="BG645" t="s">
        <v>74</v>
      </c>
      <c r="BH645" t="s">
        <v>74</v>
      </c>
      <c r="BI645">
        <v>13</v>
      </c>
      <c r="BJ645" t="s">
        <v>237</v>
      </c>
      <c r="BK645" t="s">
        <v>102</v>
      </c>
      <c r="BL645" t="s">
        <v>238</v>
      </c>
      <c r="BM645" t="s">
        <v>12810</v>
      </c>
      <c r="BN645" t="s">
        <v>74</v>
      </c>
      <c r="BO645" t="s">
        <v>105</v>
      </c>
      <c r="BP645" t="s">
        <v>74</v>
      </c>
      <c r="BQ645" t="s">
        <v>74</v>
      </c>
      <c r="BR645" t="s">
        <v>106</v>
      </c>
      <c r="BS645" t="s">
        <v>12811</v>
      </c>
      <c r="BT645" t="str">
        <f>HYPERLINK("https%3A%2F%2Fwww.webofscience.com%2Fwos%2Fwoscc%2Ffull-record%2FWOS:000530292200001","View Full Record in Web of Science")</f>
        <v>View Full Record in Web of Science</v>
      </c>
    </row>
    <row r="646" spans="1:72" x14ac:dyDescent="0.15">
      <c r="A646" t="s">
        <v>72</v>
      </c>
      <c r="B646" t="s">
        <v>12812</v>
      </c>
      <c r="C646" t="s">
        <v>74</v>
      </c>
      <c r="D646" t="s">
        <v>74</v>
      </c>
      <c r="E646" t="s">
        <v>74</v>
      </c>
      <c r="F646" t="s">
        <v>12813</v>
      </c>
      <c r="G646" t="s">
        <v>74</v>
      </c>
      <c r="H646" t="s">
        <v>74</v>
      </c>
      <c r="I646" t="s">
        <v>12814</v>
      </c>
      <c r="J646" t="s">
        <v>6000</v>
      </c>
      <c r="K646" t="s">
        <v>74</v>
      </c>
      <c r="L646" t="s">
        <v>74</v>
      </c>
      <c r="M646" t="s">
        <v>78</v>
      </c>
      <c r="N646" t="s">
        <v>79</v>
      </c>
      <c r="O646" t="s">
        <v>74</v>
      </c>
      <c r="P646" t="s">
        <v>74</v>
      </c>
      <c r="Q646" t="s">
        <v>74</v>
      </c>
      <c r="R646" t="s">
        <v>74</v>
      </c>
      <c r="S646" t="s">
        <v>74</v>
      </c>
      <c r="T646" t="s">
        <v>74</v>
      </c>
      <c r="U646" t="s">
        <v>12815</v>
      </c>
      <c r="V646" t="s">
        <v>12816</v>
      </c>
      <c r="W646" t="s">
        <v>12817</v>
      </c>
      <c r="X646" t="s">
        <v>12818</v>
      </c>
      <c r="Y646" t="s">
        <v>12819</v>
      </c>
      <c r="Z646" t="s">
        <v>12820</v>
      </c>
      <c r="AA646" t="s">
        <v>12821</v>
      </c>
      <c r="AB646" t="s">
        <v>12822</v>
      </c>
      <c r="AC646" t="s">
        <v>12823</v>
      </c>
      <c r="AD646" t="s">
        <v>12824</v>
      </c>
      <c r="AE646" t="s">
        <v>12825</v>
      </c>
      <c r="AF646" t="s">
        <v>74</v>
      </c>
      <c r="AG646">
        <v>110</v>
      </c>
      <c r="AH646">
        <v>5</v>
      </c>
      <c r="AI646">
        <v>6</v>
      </c>
      <c r="AJ646">
        <v>0</v>
      </c>
      <c r="AK646">
        <v>18</v>
      </c>
      <c r="AL646" t="s">
        <v>994</v>
      </c>
      <c r="AM646" t="s">
        <v>995</v>
      </c>
      <c r="AN646" t="s">
        <v>996</v>
      </c>
      <c r="AO646" t="s">
        <v>6012</v>
      </c>
      <c r="AP646" t="s">
        <v>6013</v>
      </c>
      <c r="AQ646" t="s">
        <v>74</v>
      </c>
      <c r="AR646" t="s">
        <v>6014</v>
      </c>
      <c r="AS646" t="s">
        <v>6015</v>
      </c>
      <c r="AT646" t="s">
        <v>5993</v>
      </c>
      <c r="AU646">
        <v>2020</v>
      </c>
      <c r="AV646">
        <v>55</v>
      </c>
      <c r="AW646">
        <v>4</v>
      </c>
      <c r="AX646" t="s">
        <v>74</v>
      </c>
      <c r="AY646" t="s">
        <v>74</v>
      </c>
      <c r="AZ646" t="s">
        <v>74</v>
      </c>
      <c r="BA646" t="s">
        <v>74</v>
      </c>
      <c r="BB646">
        <v>911</v>
      </c>
      <c r="BC646">
        <v>935</v>
      </c>
      <c r="BD646" t="s">
        <v>74</v>
      </c>
      <c r="BE646" t="s">
        <v>12826</v>
      </c>
      <c r="BF646" t="str">
        <f>HYPERLINK("http://dx.doi.org/10.1111/maps.13473","http://dx.doi.org/10.1111/maps.13473")</f>
        <v>http://dx.doi.org/10.1111/maps.13473</v>
      </c>
      <c r="BG646" t="s">
        <v>74</v>
      </c>
      <c r="BH646" t="s">
        <v>10854</v>
      </c>
      <c r="BI646">
        <v>25</v>
      </c>
      <c r="BJ646" t="s">
        <v>131</v>
      </c>
      <c r="BK646" t="s">
        <v>102</v>
      </c>
      <c r="BL646" t="s">
        <v>131</v>
      </c>
      <c r="BM646" t="s">
        <v>12827</v>
      </c>
      <c r="BN646" t="s">
        <v>74</v>
      </c>
      <c r="BO646" t="s">
        <v>74</v>
      </c>
      <c r="BP646" t="s">
        <v>74</v>
      </c>
      <c r="BQ646" t="s">
        <v>74</v>
      </c>
      <c r="BR646" t="s">
        <v>106</v>
      </c>
      <c r="BS646" t="s">
        <v>12828</v>
      </c>
      <c r="BT646" t="str">
        <f>HYPERLINK("https%3A%2F%2Fwww.webofscience.com%2Fwos%2Fwoscc%2Ffull-record%2FWOS:000530157700001","View Full Record in Web of Science")</f>
        <v>View Full Record in Web of Science</v>
      </c>
    </row>
    <row r="647" spans="1:72" x14ac:dyDescent="0.15">
      <c r="A647" t="s">
        <v>72</v>
      </c>
      <c r="B647" t="s">
        <v>12829</v>
      </c>
      <c r="C647" t="s">
        <v>74</v>
      </c>
      <c r="D647" t="s">
        <v>74</v>
      </c>
      <c r="E647" t="s">
        <v>74</v>
      </c>
      <c r="F647" t="s">
        <v>12830</v>
      </c>
      <c r="G647" t="s">
        <v>74</v>
      </c>
      <c r="H647" t="s">
        <v>74</v>
      </c>
      <c r="I647" t="s">
        <v>12831</v>
      </c>
      <c r="J647" t="s">
        <v>2133</v>
      </c>
      <c r="K647" t="s">
        <v>74</v>
      </c>
      <c r="L647" t="s">
        <v>74</v>
      </c>
      <c r="M647" t="s">
        <v>78</v>
      </c>
      <c r="N647" t="s">
        <v>79</v>
      </c>
      <c r="O647" t="s">
        <v>74</v>
      </c>
      <c r="P647" t="s">
        <v>74</v>
      </c>
      <c r="Q647" t="s">
        <v>74</v>
      </c>
      <c r="R647" t="s">
        <v>74</v>
      </c>
      <c r="S647" t="s">
        <v>74</v>
      </c>
      <c r="T647" t="s">
        <v>12832</v>
      </c>
      <c r="U647" t="s">
        <v>12833</v>
      </c>
      <c r="V647" t="s">
        <v>12834</v>
      </c>
      <c r="W647" t="s">
        <v>12835</v>
      </c>
      <c r="X647" t="s">
        <v>12836</v>
      </c>
      <c r="Y647" t="s">
        <v>12837</v>
      </c>
      <c r="Z647" t="s">
        <v>12838</v>
      </c>
      <c r="AA647" t="s">
        <v>12839</v>
      </c>
      <c r="AB647" t="s">
        <v>12840</v>
      </c>
      <c r="AC647" t="s">
        <v>12841</v>
      </c>
      <c r="AD647" t="s">
        <v>12842</v>
      </c>
      <c r="AE647" t="s">
        <v>12843</v>
      </c>
      <c r="AF647" t="s">
        <v>74</v>
      </c>
      <c r="AG647">
        <v>62</v>
      </c>
      <c r="AH647">
        <v>125</v>
      </c>
      <c r="AI647">
        <v>138</v>
      </c>
      <c r="AJ647">
        <v>20</v>
      </c>
      <c r="AK647">
        <v>134</v>
      </c>
      <c r="AL647" t="s">
        <v>2145</v>
      </c>
      <c r="AM647" t="s">
        <v>152</v>
      </c>
      <c r="AN647" t="s">
        <v>2146</v>
      </c>
      <c r="AO647" t="s">
        <v>2147</v>
      </c>
      <c r="AP647" t="s">
        <v>74</v>
      </c>
      <c r="AQ647" t="s">
        <v>74</v>
      </c>
      <c r="AR647" t="s">
        <v>2148</v>
      </c>
      <c r="AS647" t="s">
        <v>2149</v>
      </c>
      <c r="AT647" t="s">
        <v>12758</v>
      </c>
      <c r="AU647">
        <v>2020</v>
      </c>
      <c r="AV647">
        <v>117</v>
      </c>
      <c r="AW647">
        <v>18</v>
      </c>
      <c r="AX647" t="s">
        <v>74</v>
      </c>
      <c r="AY647" t="s">
        <v>74</v>
      </c>
      <c r="AZ647" t="s">
        <v>74</v>
      </c>
      <c r="BA647" t="s">
        <v>74</v>
      </c>
      <c r="BB647">
        <v>9679</v>
      </c>
      <c r="BC647">
        <v>9687</v>
      </c>
      <c r="BD647" t="s">
        <v>74</v>
      </c>
      <c r="BE647" t="s">
        <v>12844</v>
      </c>
      <c r="BF647" t="str">
        <f>HYPERLINK("http://dx.doi.org/10.1073/pnas.1918114117","http://dx.doi.org/10.1073/pnas.1918114117")</f>
        <v>http://dx.doi.org/10.1073/pnas.1918114117</v>
      </c>
      <c r="BG647" t="s">
        <v>74</v>
      </c>
      <c r="BH647" t="s">
        <v>74</v>
      </c>
      <c r="BI647">
        <v>9</v>
      </c>
      <c r="BJ647" t="s">
        <v>1125</v>
      </c>
      <c r="BK647" t="s">
        <v>102</v>
      </c>
      <c r="BL647" t="s">
        <v>1126</v>
      </c>
      <c r="BM647" t="s">
        <v>12845</v>
      </c>
      <c r="BN647">
        <v>32253312</v>
      </c>
      <c r="BO647" t="s">
        <v>343</v>
      </c>
      <c r="BP647" t="s">
        <v>162</v>
      </c>
      <c r="BQ647" t="s">
        <v>163</v>
      </c>
      <c r="BR647" t="s">
        <v>106</v>
      </c>
      <c r="BS647" t="s">
        <v>12846</v>
      </c>
      <c r="BT647" t="str">
        <f>HYPERLINK("https%3A%2F%2Fwww.webofscience.com%2Fwos%2Fwoscc%2Ffull-record%2FWOS:000531067600010","View Full Record in Web of Science")</f>
        <v>View Full Record in Web of Science</v>
      </c>
    </row>
    <row r="648" spans="1:72" x14ac:dyDescent="0.15">
      <c r="A648" t="s">
        <v>72</v>
      </c>
      <c r="B648" t="s">
        <v>12847</v>
      </c>
      <c r="C648" t="s">
        <v>74</v>
      </c>
      <c r="D648" t="s">
        <v>74</v>
      </c>
      <c r="E648" t="s">
        <v>74</v>
      </c>
      <c r="F648" t="s">
        <v>12848</v>
      </c>
      <c r="G648" t="s">
        <v>74</v>
      </c>
      <c r="H648" t="s">
        <v>74</v>
      </c>
      <c r="I648" t="s">
        <v>12849</v>
      </c>
      <c r="J648" t="s">
        <v>1039</v>
      </c>
      <c r="K648" t="s">
        <v>74</v>
      </c>
      <c r="L648" t="s">
        <v>74</v>
      </c>
      <c r="M648" t="s">
        <v>78</v>
      </c>
      <c r="N648" t="s">
        <v>1040</v>
      </c>
      <c r="O648" t="s">
        <v>74</v>
      </c>
      <c r="P648" t="s">
        <v>74</v>
      </c>
      <c r="Q648" t="s">
        <v>74</v>
      </c>
      <c r="R648" t="s">
        <v>74</v>
      </c>
      <c r="S648" t="s">
        <v>74</v>
      </c>
      <c r="T648" t="s">
        <v>74</v>
      </c>
      <c r="U648" t="s">
        <v>12850</v>
      </c>
      <c r="V648" t="s">
        <v>12851</v>
      </c>
      <c r="W648" t="s">
        <v>12852</v>
      </c>
      <c r="X648" t="s">
        <v>12853</v>
      </c>
      <c r="Y648" t="s">
        <v>12854</v>
      </c>
      <c r="Z648" t="s">
        <v>12855</v>
      </c>
      <c r="AA648" t="s">
        <v>74</v>
      </c>
      <c r="AB648" t="s">
        <v>12856</v>
      </c>
      <c r="AC648" t="s">
        <v>12857</v>
      </c>
      <c r="AD648" t="s">
        <v>12858</v>
      </c>
      <c r="AE648" t="s">
        <v>12859</v>
      </c>
      <c r="AF648" t="s">
        <v>74</v>
      </c>
      <c r="AG648">
        <v>111</v>
      </c>
      <c r="AH648">
        <v>16</v>
      </c>
      <c r="AI648">
        <v>18</v>
      </c>
      <c r="AJ648">
        <v>0</v>
      </c>
      <c r="AK648">
        <v>16</v>
      </c>
      <c r="AL648" t="s">
        <v>1049</v>
      </c>
      <c r="AM648" t="s">
        <v>1050</v>
      </c>
      <c r="AN648" t="s">
        <v>1051</v>
      </c>
      <c r="AO648" t="s">
        <v>1052</v>
      </c>
      <c r="AP648" t="s">
        <v>1053</v>
      </c>
      <c r="AQ648" t="s">
        <v>74</v>
      </c>
      <c r="AR648" t="s">
        <v>1054</v>
      </c>
      <c r="AS648" t="s">
        <v>1055</v>
      </c>
      <c r="AT648" t="s">
        <v>12860</v>
      </c>
      <c r="AU648">
        <v>2020</v>
      </c>
      <c r="AV648">
        <v>12</v>
      </c>
      <c r="AW648">
        <v>2</v>
      </c>
      <c r="AX648" t="s">
        <v>74</v>
      </c>
      <c r="AY648" t="s">
        <v>74</v>
      </c>
      <c r="AZ648" t="s">
        <v>74</v>
      </c>
      <c r="BA648" t="s">
        <v>74</v>
      </c>
      <c r="BB648">
        <v>1003</v>
      </c>
      <c r="BC648">
        <v>1023</v>
      </c>
      <c r="BD648" t="s">
        <v>74</v>
      </c>
      <c r="BE648" t="s">
        <v>12861</v>
      </c>
      <c r="BF648" t="str">
        <f>HYPERLINK("http://dx.doi.org/10.5194/essd-12-1003-2020","http://dx.doi.org/10.5194/essd-12-1003-2020")</f>
        <v>http://dx.doi.org/10.5194/essd-12-1003-2020</v>
      </c>
      <c r="BG648" t="s">
        <v>74</v>
      </c>
      <c r="BH648" t="s">
        <v>74</v>
      </c>
      <c r="BI648">
        <v>21</v>
      </c>
      <c r="BJ648" t="s">
        <v>1057</v>
      </c>
      <c r="BK648" t="s">
        <v>102</v>
      </c>
      <c r="BL648" t="s">
        <v>1058</v>
      </c>
      <c r="BM648" t="s">
        <v>12862</v>
      </c>
      <c r="BN648" t="s">
        <v>74</v>
      </c>
      <c r="BO648" t="s">
        <v>1060</v>
      </c>
      <c r="BP648" t="s">
        <v>74</v>
      </c>
      <c r="BQ648" t="s">
        <v>74</v>
      </c>
      <c r="BR648" t="s">
        <v>106</v>
      </c>
      <c r="BS648" t="s">
        <v>12863</v>
      </c>
      <c r="BT648" t="str">
        <f>HYPERLINK("https%3A%2F%2Fwww.webofscience.com%2Fwos%2Fwoscc%2Ffull-record%2FWOS:000531787700001","View Full Record in Web of Science")</f>
        <v>View Full Record in Web of Science</v>
      </c>
    </row>
    <row r="649" spans="1:72" x14ac:dyDescent="0.15">
      <c r="A649" t="s">
        <v>72</v>
      </c>
      <c r="B649" t="s">
        <v>12864</v>
      </c>
      <c r="C649" t="s">
        <v>74</v>
      </c>
      <c r="D649" t="s">
        <v>74</v>
      </c>
      <c r="E649" t="s">
        <v>74</v>
      </c>
      <c r="F649" t="s">
        <v>12865</v>
      </c>
      <c r="G649" t="s">
        <v>74</v>
      </c>
      <c r="H649" t="s">
        <v>74</v>
      </c>
      <c r="I649" t="s">
        <v>12866</v>
      </c>
      <c r="J649" t="s">
        <v>3502</v>
      </c>
      <c r="K649" t="s">
        <v>74</v>
      </c>
      <c r="L649" t="s">
        <v>74</v>
      </c>
      <c r="M649" t="s">
        <v>78</v>
      </c>
      <c r="N649" t="s">
        <v>79</v>
      </c>
      <c r="O649" t="s">
        <v>74</v>
      </c>
      <c r="P649" t="s">
        <v>74</v>
      </c>
      <c r="Q649" t="s">
        <v>74</v>
      </c>
      <c r="R649" t="s">
        <v>74</v>
      </c>
      <c r="S649" t="s">
        <v>74</v>
      </c>
      <c r="T649" t="s">
        <v>12867</v>
      </c>
      <c r="U649" t="s">
        <v>12868</v>
      </c>
      <c r="V649" t="s">
        <v>12869</v>
      </c>
      <c r="W649" t="s">
        <v>12870</v>
      </c>
      <c r="X649" t="s">
        <v>12871</v>
      </c>
      <c r="Y649" t="s">
        <v>12872</v>
      </c>
      <c r="Z649" t="s">
        <v>12873</v>
      </c>
      <c r="AA649" t="s">
        <v>74</v>
      </c>
      <c r="AB649" t="s">
        <v>74</v>
      </c>
      <c r="AC649" t="s">
        <v>12874</v>
      </c>
      <c r="AD649" t="s">
        <v>12875</v>
      </c>
      <c r="AE649" t="s">
        <v>12876</v>
      </c>
      <c r="AF649" t="s">
        <v>74</v>
      </c>
      <c r="AG649">
        <v>73</v>
      </c>
      <c r="AH649">
        <v>10</v>
      </c>
      <c r="AI649">
        <v>11</v>
      </c>
      <c r="AJ649">
        <v>1</v>
      </c>
      <c r="AK649">
        <v>18</v>
      </c>
      <c r="AL649" t="s">
        <v>994</v>
      </c>
      <c r="AM649" t="s">
        <v>995</v>
      </c>
      <c r="AN649" t="s">
        <v>996</v>
      </c>
      <c r="AO649" t="s">
        <v>3515</v>
      </c>
      <c r="AP649" t="s">
        <v>3516</v>
      </c>
      <c r="AQ649" t="s">
        <v>74</v>
      </c>
      <c r="AR649" t="s">
        <v>3517</v>
      </c>
      <c r="AS649" t="s">
        <v>3518</v>
      </c>
      <c r="AT649" t="s">
        <v>99</v>
      </c>
      <c r="AU649">
        <v>2020</v>
      </c>
      <c r="AV649">
        <v>56</v>
      </c>
      <c r="AW649">
        <v>4</v>
      </c>
      <c r="AX649" t="s">
        <v>74</v>
      </c>
      <c r="AY649" t="s">
        <v>74</v>
      </c>
      <c r="AZ649" t="s">
        <v>74</v>
      </c>
      <c r="BA649" t="s">
        <v>74</v>
      </c>
      <c r="BB649">
        <v>1028</v>
      </c>
      <c r="BC649">
        <v>1038</v>
      </c>
      <c r="BD649" t="s">
        <v>74</v>
      </c>
      <c r="BE649" t="s">
        <v>12877</v>
      </c>
      <c r="BF649" t="str">
        <f>HYPERLINK("http://dx.doi.org/10.1111/jpy.13004","http://dx.doi.org/10.1111/jpy.13004")</f>
        <v>http://dx.doi.org/10.1111/jpy.13004</v>
      </c>
      <c r="BG649" t="s">
        <v>74</v>
      </c>
      <c r="BH649" t="s">
        <v>10854</v>
      </c>
      <c r="BI649">
        <v>11</v>
      </c>
      <c r="BJ649" t="s">
        <v>3520</v>
      </c>
      <c r="BK649" t="s">
        <v>102</v>
      </c>
      <c r="BL649" t="s">
        <v>3520</v>
      </c>
      <c r="BM649" t="s">
        <v>12878</v>
      </c>
      <c r="BN649">
        <v>32289881</v>
      </c>
      <c r="BO649" t="s">
        <v>74</v>
      </c>
      <c r="BP649" t="s">
        <v>74</v>
      </c>
      <c r="BQ649" t="s">
        <v>74</v>
      </c>
      <c r="BR649" t="s">
        <v>106</v>
      </c>
      <c r="BS649" t="s">
        <v>12879</v>
      </c>
      <c r="BT649" t="str">
        <f>HYPERLINK("https%3A%2F%2Fwww.webofscience.com%2Fwos%2Fwoscc%2Ffull-record%2FWOS:000530452400001","View Full Record in Web of Science")</f>
        <v>View Full Record in Web of Science</v>
      </c>
    </row>
    <row r="650" spans="1:72" x14ac:dyDescent="0.15">
      <c r="A650" t="s">
        <v>72</v>
      </c>
      <c r="B650" t="s">
        <v>12880</v>
      </c>
      <c r="C650" t="s">
        <v>74</v>
      </c>
      <c r="D650" t="s">
        <v>74</v>
      </c>
      <c r="E650" t="s">
        <v>74</v>
      </c>
      <c r="F650" t="s">
        <v>12881</v>
      </c>
      <c r="G650" t="s">
        <v>74</v>
      </c>
      <c r="H650" t="s">
        <v>74</v>
      </c>
      <c r="I650" t="s">
        <v>12882</v>
      </c>
      <c r="J650" t="s">
        <v>12883</v>
      </c>
      <c r="K650" t="s">
        <v>74</v>
      </c>
      <c r="L650" t="s">
        <v>74</v>
      </c>
      <c r="M650" t="s">
        <v>78</v>
      </c>
      <c r="N650" t="s">
        <v>1850</v>
      </c>
      <c r="O650" t="s">
        <v>74</v>
      </c>
      <c r="P650" t="s">
        <v>74</v>
      </c>
      <c r="Q650" t="s">
        <v>74</v>
      </c>
      <c r="R650" t="s">
        <v>74</v>
      </c>
      <c r="S650" t="s">
        <v>74</v>
      </c>
      <c r="T650" t="s">
        <v>12884</v>
      </c>
      <c r="U650" t="s">
        <v>74</v>
      </c>
      <c r="V650" t="s">
        <v>74</v>
      </c>
      <c r="W650" t="s">
        <v>74</v>
      </c>
      <c r="X650" t="s">
        <v>74</v>
      </c>
      <c r="Y650" t="s">
        <v>74</v>
      </c>
      <c r="Z650" t="s">
        <v>12885</v>
      </c>
      <c r="AA650" t="s">
        <v>74</v>
      </c>
      <c r="AB650" t="s">
        <v>74</v>
      </c>
      <c r="AC650" t="s">
        <v>74</v>
      </c>
      <c r="AD650" t="s">
        <v>74</v>
      </c>
      <c r="AE650" t="s">
        <v>74</v>
      </c>
      <c r="AF650" t="s">
        <v>74</v>
      </c>
      <c r="AG650">
        <v>0</v>
      </c>
      <c r="AH650">
        <v>0</v>
      </c>
      <c r="AI650">
        <v>0</v>
      </c>
      <c r="AJ650">
        <v>0</v>
      </c>
      <c r="AK650">
        <v>3</v>
      </c>
      <c r="AL650" t="s">
        <v>2615</v>
      </c>
      <c r="AM650" t="s">
        <v>1412</v>
      </c>
      <c r="AN650" t="s">
        <v>2616</v>
      </c>
      <c r="AO650" t="s">
        <v>12886</v>
      </c>
      <c r="AP650" t="s">
        <v>12887</v>
      </c>
      <c r="AQ650" t="s">
        <v>74</v>
      </c>
      <c r="AR650" t="s">
        <v>12888</v>
      </c>
      <c r="AS650" t="s">
        <v>12889</v>
      </c>
      <c r="AT650" t="s">
        <v>12890</v>
      </c>
      <c r="AU650">
        <v>2020</v>
      </c>
      <c r="AV650">
        <v>76</v>
      </c>
      <c r="AW650">
        <v>3</v>
      </c>
      <c r="AX650" t="s">
        <v>74</v>
      </c>
      <c r="AY650" t="s">
        <v>74</v>
      </c>
      <c r="AZ650" t="s">
        <v>2622</v>
      </c>
      <c r="BA650" t="s">
        <v>74</v>
      </c>
      <c r="BB650">
        <v>121</v>
      </c>
      <c r="BC650">
        <v>128</v>
      </c>
      <c r="BD650" t="s">
        <v>74</v>
      </c>
      <c r="BE650" t="s">
        <v>12891</v>
      </c>
      <c r="BF650" t="str">
        <f>HYPERLINK("http://dx.doi.org/10.1080/00963402.2020.1751951","http://dx.doi.org/10.1080/00963402.2020.1751951")</f>
        <v>http://dx.doi.org/10.1080/00963402.2020.1751951</v>
      </c>
      <c r="BG650" t="s">
        <v>74</v>
      </c>
      <c r="BH650" t="s">
        <v>74</v>
      </c>
      <c r="BI650">
        <v>8</v>
      </c>
      <c r="BJ650" t="s">
        <v>12892</v>
      </c>
      <c r="BK650" t="s">
        <v>607</v>
      </c>
      <c r="BL650" t="s">
        <v>12892</v>
      </c>
      <c r="BM650" t="s">
        <v>12893</v>
      </c>
      <c r="BN650" t="s">
        <v>74</v>
      </c>
      <c r="BO650" t="s">
        <v>74</v>
      </c>
      <c r="BP650" t="s">
        <v>74</v>
      </c>
      <c r="BQ650" t="s">
        <v>74</v>
      </c>
      <c r="BR650" t="s">
        <v>106</v>
      </c>
      <c r="BS650" t="s">
        <v>12894</v>
      </c>
      <c r="BT650" t="str">
        <f>HYPERLINK("https%3A%2F%2Fwww.webofscience.com%2Fwos%2Fwoscc%2Ffull-record%2FWOS:000531027900002","View Full Record in Web of Science")</f>
        <v>View Full Record in Web of Science</v>
      </c>
    </row>
    <row r="651" spans="1:72" x14ac:dyDescent="0.15">
      <c r="A651" t="s">
        <v>72</v>
      </c>
      <c r="B651" t="s">
        <v>12895</v>
      </c>
      <c r="C651" t="s">
        <v>74</v>
      </c>
      <c r="D651" t="s">
        <v>74</v>
      </c>
      <c r="E651" t="s">
        <v>74</v>
      </c>
      <c r="F651" t="s">
        <v>12896</v>
      </c>
      <c r="G651" t="s">
        <v>74</v>
      </c>
      <c r="H651" t="s">
        <v>74</v>
      </c>
      <c r="I651" t="s">
        <v>12897</v>
      </c>
      <c r="J651" t="s">
        <v>6000</v>
      </c>
      <c r="K651" t="s">
        <v>74</v>
      </c>
      <c r="L651" t="s">
        <v>74</v>
      </c>
      <c r="M651" t="s">
        <v>78</v>
      </c>
      <c r="N651" t="s">
        <v>79</v>
      </c>
      <c r="O651" t="s">
        <v>74</v>
      </c>
      <c r="P651" t="s">
        <v>74</v>
      </c>
      <c r="Q651" t="s">
        <v>74</v>
      </c>
      <c r="R651" t="s">
        <v>74</v>
      </c>
      <c r="S651" t="s">
        <v>74</v>
      </c>
      <c r="T651" t="s">
        <v>74</v>
      </c>
      <c r="U651" t="s">
        <v>12898</v>
      </c>
      <c r="V651" t="s">
        <v>12899</v>
      </c>
      <c r="W651" t="s">
        <v>12900</v>
      </c>
      <c r="X651" t="s">
        <v>12901</v>
      </c>
      <c r="Y651" t="s">
        <v>12902</v>
      </c>
      <c r="Z651" t="s">
        <v>12903</v>
      </c>
      <c r="AA651" t="s">
        <v>74</v>
      </c>
      <c r="AB651" t="s">
        <v>12904</v>
      </c>
      <c r="AC651" t="s">
        <v>12905</v>
      </c>
      <c r="AD651" t="s">
        <v>12906</v>
      </c>
      <c r="AE651" t="s">
        <v>12907</v>
      </c>
      <c r="AF651" t="s">
        <v>74</v>
      </c>
      <c r="AG651">
        <v>127</v>
      </c>
      <c r="AH651">
        <v>9</v>
      </c>
      <c r="AI651">
        <v>10</v>
      </c>
      <c r="AJ651">
        <v>0</v>
      </c>
      <c r="AK651">
        <v>3</v>
      </c>
      <c r="AL651" t="s">
        <v>994</v>
      </c>
      <c r="AM651" t="s">
        <v>995</v>
      </c>
      <c r="AN651" t="s">
        <v>996</v>
      </c>
      <c r="AO651" t="s">
        <v>6012</v>
      </c>
      <c r="AP651" t="s">
        <v>6013</v>
      </c>
      <c r="AQ651" t="s">
        <v>74</v>
      </c>
      <c r="AR651" t="s">
        <v>6014</v>
      </c>
      <c r="AS651" t="s">
        <v>6015</v>
      </c>
      <c r="AT651" t="s">
        <v>7663</v>
      </c>
      <c r="AU651">
        <v>2020</v>
      </c>
      <c r="AV651">
        <v>55</v>
      </c>
      <c r="AW651">
        <v>6</v>
      </c>
      <c r="AX651" t="s">
        <v>74</v>
      </c>
      <c r="AY651" t="s">
        <v>74</v>
      </c>
      <c r="AZ651" t="s">
        <v>74</v>
      </c>
      <c r="BA651" t="s">
        <v>74</v>
      </c>
      <c r="BB651">
        <v>1228</v>
      </c>
      <c r="BC651">
        <v>1256</v>
      </c>
      <c r="BD651" t="s">
        <v>74</v>
      </c>
      <c r="BE651" t="s">
        <v>12908</v>
      </c>
      <c r="BF651" t="str">
        <f>HYPERLINK("http://dx.doi.org/10.1111/maps.13477","http://dx.doi.org/10.1111/maps.13477")</f>
        <v>http://dx.doi.org/10.1111/maps.13477</v>
      </c>
      <c r="BG651" t="s">
        <v>74</v>
      </c>
      <c r="BH651" t="s">
        <v>10854</v>
      </c>
      <c r="BI651">
        <v>29</v>
      </c>
      <c r="BJ651" t="s">
        <v>131</v>
      </c>
      <c r="BK651" t="s">
        <v>102</v>
      </c>
      <c r="BL651" t="s">
        <v>131</v>
      </c>
      <c r="BM651" t="s">
        <v>12909</v>
      </c>
      <c r="BN651" t="s">
        <v>74</v>
      </c>
      <c r="BO651" t="s">
        <v>74</v>
      </c>
      <c r="BP651" t="s">
        <v>74</v>
      </c>
      <c r="BQ651" t="s">
        <v>74</v>
      </c>
      <c r="BR651" t="s">
        <v>106</v>
      </c>
      <c r="BS651" t="s">
        <v>12910</v>
      </c>
      <c r="BT651" t="str">
        <f>HYPERLINK("https%3A%2F%2Fwww.webofscience.com%2Fwos%2Fwoscc%2Ffull-record%2FWOS:000529846100001","View Full Record in Web of Science")</f>
        <v>View Full Record in Web of Science</v>
      </c>
    </row>
    <row r="652" spans="1:72" x14ac:dyDescent="0.15">
      <c r="A652" t="s">
        <v>72</v>
      </c>
      <c r="B652" t="s">
        <v>12911</v>
      </c>
      <c r="C652" t="s">
        <v>74</v>
      </c>
      <c r="D652" t="s">
        <v>74</v>
      </c>
      <c r="E652" t="s">
        <v>74</v>
      </c>
      <c r="F652" t="s">
        <v>12912</v>
      </c>
      <c r="G652" t="s">
        <v>74</v>
      </c>
      <c r="H652" t="s">
        <v>74</v>
      </c>
      <c r="I652" t="s">
        <v>12913</v>
      </c>
      <c r="J652" t="s">
        <v>12914</v>
      </c>
      <c r="K652" t="s">
        <v>74</v>
      </c>
      <c r="L652" t="s">
        <v>74</v>
      </c>
      <c r="M652" t="s">
        <v>78</v>
      </c>
      <c r="N652" t="s">
        <v>79</v>
      </c>
      <c r="O652" t="s">
        <v>74</v>
      </c>
      <c r="P652" t="s">
        <v>74</v>
      </c>
      <c r="Q652" t="s">
        <v>74</v>
      </c>
      <c r="R652" t="s">
        <v>74</v>
      </c>
      <c r="S652" t="s">
        <v>74</v>
      </c>
      <c r="T652" t="s">
        <v>12915</v>
      </c>
      <c r="U652" t="s">
        <v>12916</v>
      </c>
      <c r="V652" t="s">
        <v>12917</v>
      </c>
      <c r="W652" t="s">
        <v>12918</v>
      </c>
      <c r="X652" t="s">
        <v>12919</v>
      </c>
      <c r="Y652" t="s">
        <v>12920</v>
      </c>
      <c r="Z652" t="s">
        <v>12921</v>
      </c>
      <c r="AA652" t="s">
        <v>74</v>
      </c>
      <c r="AB652" t="s">
        <v>74</v>
      </c>
      <c r="AC652" t="s">
        <v>12922</v>
      </c>
      <c r="AD652" t="s">
        <v>12923</v>
      </c>
      <c r="AE652" t="s">
        <v>12924</v>
      </c>
      <c r="AF652" t="s">
        <v>74</v>
      </c>
      <c r="AG652">
        <v>28</v>
      </c>
      <c r="AH652">
        <v>1</v>
      </c>
      <c r="AI652">
        <v>1</v>
      </c>
      <c r="AJ652">
        <v>2</v>
      </c>
      <c r="AK652">
        <v>4</v>
      </c>
      <c r="AL652" t="s">
        <v>1411</v>
      </c>
      <c r="AM652" t="s">
        <v>1412</v>
      </c>
      <c r="AN652" t="s">
        <v>1413</v>
      </c>
      <c r="AO652" t="s">
        <v>12925</v>
      </c>
      <c r="AP652" t="s">
        <v>12926</v>
      </c>
      <c r="AQ652" t="s">
        <v>74</v>
      </c>
      <c r="AR652" t="s">
        <v>12927</v>
      </c>
      <c r="AS652" t="s">
        <v>12928</v>
      </c>
      <c r="AT652" t="s">
        <v>12929</v>
      </c>
      <c r="AU652">
        <v>2021</v>
      </c>
      <c r="AV652">
        <v>33</v>
      </c>
      <c r="AW652">
        <v>4</v>
      </c>
      <c r="AX652" t="s">
        <v>74</v>
      </c>
      <c r="AY652" t="s">
        <v>74</v>
      </c>
      <c r="AZ652" t="s">
        <v>74</v>
      </c>
      <c r="BA652" t="s">
        <v>74</v>
      </c>
      <c r="BB652">
        <v>344</v>
      </c>
      <c r="BC652">
        <v>359</v>
      </c>
      <c r="BD652" t="s">
        <v>74</v>
      </c>
      <c r="BE652" t="s">
        <v>12930</v>
      </c>
      <c r="BF652" t="str">
        <f>HYPERLINK("http://dx.doi.org/10.1080/10454438.2020.1760165","http://dx.doi.org/10.1080/10454438.2020.1760165")</f>
        <v>http://dx.doi.org/10.1080/10454438.2020.1760165</v>
      </c>
      <c r="BG652" t="s">
        <v>74</v>
      </c>
      <c r="BH652" t="s">
        <v>10854</v>
      </c>
      <c r="BI652">
        <v>16</v>
      </c>
      <c r="BJ652" t="s">
        <v>4943</v>
      </c>
      <c r="BK652" t="s">
        <v>3838</v>
      </c>
      <c r="BL652" t="s">
        <v>4943</v>
      </c>
      <c r="BM652" t="s">
        <v>12931</v>
      </c>
      <c r="BN652" t="s">
        <v>74</v>
      </c>
      <c r="BO652" t="s">
        <v>74</v>
      </c>
      <c r="BP652" t="s">
        <v>74</v>
      </c>
      <c r="BQ652" t="s">
        <v>74</v>
      </c>
      <c r="BR652" t="s">
        <v>106</v>
      </c>
      <c r="BS652" t="s">
        <v>12932</v>
      </c>
      <c r="BT652" t="str">
        <f>HYPERLINK("https%3A%2F%2Fwww.webofscience.com%2Fwos%2Fwoscc%2Ffull-record%2FWOS:000532202000001","View Full Record in Web of Science")</f>
        <v>View Full Record in Web of Science</v>
      </c>
    </row>
    <row r="653" spans="1:72" x14ac:dyDescent="0.15">
      <c r="A653" t="s">
        <v>72</v>
      </c>
      <c r="B653" t="s">
        <v>12933</v>
      </c>
      <c r="C653" t="s">
        <v>74</v>
      </c>
      <c r="D653" t="s">
        <v>74</v>
      </c>
      <c r="E653" t="s">
        <v>74</v>
      </c>
      <c r="F653" t="s">
        <v>12934</v>
      </c>
      <c r="G653" t="s">
        <v>74</v>
      </c>
      <c r="H653" t="s">
        <v>74</v>
      </c>
      <c r="I653" t="s">
        <v>12935</v>
      </c>
      <c r="J653" t="s">
        <v>12936</v>
      </c>
      <c r="K653" t="s">
        <v>74</v>
      </c>
      <c r="L653" t="s">
        <v>74</v>
      </c>
      <c r="M653" t="s">
        <v>78</v>
      </c>
      <c r="N653" t="s">
        <v>1850</v>
      </c>
      <c r="O653" t="s">
        <v>74</v>
      </c>
      <c r="P653" t="s">
        <v>74</v>
      </c>
      <c r="Q653" t="s">
        <v>74</v>
      </c>
      <c r="R653" t="s">
        <v>74</v>
      </c>
      <c r="S653" t="s">
        <v>74</v>
      </c>
      <c r="T653" t="s">
        <v>74</v>
      </c>
      <c r="U653" t="s">
        <v>74</v>
      </c>
      <c r="V653" t="s">
        <v>74</v>
      </c>
      <c r="W653" t="s">
        <v>12937</v>
      </c>
      <c r="X653" t="s">
        <v>12938</v>
      </c>
      <c r="Y653" t="s">
        <v>12939</v>
      </c>
      <c r="Z653" t="s">
        <v>74</v>
      </c>
      <c r="AA653" t="s">
        <v>12940</v>
      </c>
      <c r="AB653" t="s">
        <v>12941</v>
      </c>
      <c r="AC653" t="s">
        <v>12942</v>
      </c>
      <c r="AD653" t="s">
        <v>12943</v>
      </c>
      <c r="AE653" t="s">
        <v>12944</v>
      </c>
      <c r="AF653" t="s">
        <v>74</v>
      </c>
      <c r="AG653">
        <v>6</v>
      </c>
      <c r="AH653">
        <v>1</v>
      </c>
      <c r="AI653">
        <v>1</v>
      </c>
      <c r="AJ653">
        <v>4</v>
      </c>
      <c r="AK653">
        <v>12</v>
      </c>
      <c r="AL653" t="s">
        <v>11741</v>
      </c>
      <c r="AM653" t="s">
        <v>11742</v>
      </c>
      <c r="AN653" t="s">
        <v>12945</v>
      </c>
      <c r="AO653" t="s">
        <v>12946</v>
      </c>
      <c r="AP653" t="s">
        <v>12947</v>
      </c>
      <c r="AQ653" t="s">
        <v>74</v>
      </c>
      <c r="AR653" t="s">
        <v>12948</v>
      </c>
      <c r="AS653" t="s">
        <v>12949</v>
      </c>
      <c r="AT653" t="s">
        <v>11250</v>
      </c>
      <c r="AU653">
        <v>2020</v>
      </c>
      <c r="AV653">
        <v>37</v>
      </c>
      <c r="AW653">
        <v>5</v>
      </c>
      <c r="AX653" t="s">
        <v>74</v>
      </c>
      <c r="AY653" t="s">
        <v>74</v>
      </c>
      <c r="AZ653" t="s">
        <v>2622</v>
      </c>
      <c r="BA653" t="s">
        <v>74</v>
      </c>
      <c r="BB653">
        <v>421</v>
      </c>
      <c r="BC653">
        <v>422</v>
      </c>
      <c r="BD653" t="s">
        <v>74</v>
      </c>
      <c r="BE653" t="s">
        <v>12950</v>
      </c>
      <c r="BF653" t="str">
        <f>HYPERLINK("http://dx.doi.org/10.1007/s00376-020-2001-7","http://dx.doi.org/10.1007/s00376-020-2001-7")</f>
        <v>http://dx.doi.org/10.1007/s00376-020-2001-7</v>
      </c>
      <c r="BG653" t="s">
        <v>74</v>
      </c>
      <c r="BH653" t="s">
        <v>74</v>
      </c>
      <c r="BI653">
        <v>2</v>
      </c>
      <c r="BJ653" t="s">
        <v>159</v>
      </c>
      <c r="BK653" t="s">
        <v>102</v>
      </c>
      <c r="BL653" t="s">
        <v>159</v>
      </c>
      <c r="BM653" t="s">
        <v>12951</v>
      </c>
      <c r="BN653" t="s">
        <v>74</v>
      </c>
      <c r="BO653" t="s">
        <v>1657</v>
      </c>
      <c r="BP653" t="s">
        <v>74</v>
      </c>
      <c r="BQ653" t="s">
        <v>74</v>
      </c>
      <c r="BR653" t="s">
        <v>106</v>
      </c>
      <c r="BS653" t="s">
        <v>12952</v>
      </c>
      <c r="BT653" t="str">
        <f>HYPERLINK("https%3A%2F%2Fwww.webofscience.com%2Fwos%2Fwoscc%2Ffull-record%2FWOS:000526544900001","View Full Record in Web of Science")</f>
        <v>View Full Record in Web of Science</v>
      </c>
    </row>
    <row r="654" spans="1:72" x14ac:dyDescent="0.15">
      <c r="A654" t="s">
        <v>72</v>
      </c>
      <c r="B654" t="s">
        <v>12953</v>
      </c>
      <c r="C654" t="s">
        <v>74</v>
      </c>
      <c r="D654" t="s">
        <v>74</v>
      </c>
      <c r="E654" t="s">
        <v>74</v>
      </c>
      <c r="F654" t="s">
        <v>12954</v>
      </c>
      <c r="G654" t="s">
        <v>74</v>
      </c>
      <c r="H654" t="s">
        <v>74</v>
      </c>
      <c r="I654" t="s">
        <v>12955</v>
      </c>
      <c r="J654" t="s">
        <v>8699</v>
      </c>
      <c r="K654" t="s">
        <v>74</v>
      </c>
      <c r="L654" t="s">
        <v>74</v>
      </c>
      <c r="M654" t="s">
        <v>78</v>
      </c>
      <c r="N654" t="s">
        <v>1850</v>
      </c>
      <c r="O654" t="s">
        <v>74</v>
      </c>
      <c r="P654" t="s">
        <v>74</v>
      </c>
      <c r="Q654" t="s">
        <v>74</v>
      </c>
      <c r="R654" t="s">
        <v>74</v>
      </c>
      <c r="S654" t="s">
        <v>74</v>
      </c>
      <c r="T654" t="s">
        <v>12956</v>
      </c>
      <c r="U654" t="s">
        <v>12957</v>
      </c>
      <c r="V654" t="s">
        <v>12958</v>
      </c>
      <c r="W654" t="s">
        <v>12959</v>
      </c>
      <c r="X654" t="s">
        <v>12960</v>
      </c>
      <c r="Y654" t="s">
        <v>12961</v>
      </c>
      <c r="Z654" t="s">
        <v>12962</v>
      </c>
      <c r="AA654" t="s">
        <v>12963</v>
      </c>
      <c r="AB654" t="s">
        <v>12964</v>
      </c>
      <c r="AC654" t="s">
        <v>74</v>
      </c>
      <c r="AD654" t="s">
        <v>74</v>
      </c>
      <c r="AE654" t="s">
        <v>74</v>
      </c>
      <c r="AF654" t="s">
        <v>74</v>
      </c>
      <c r="AG654">
        <v>23</v>
      </c>
      <c r="AH654">
        <v>0</v>
      </c>
      <c r="AI654">
        <v>0</v>
      </c>
      <c r="AJ654">
        <v>2</v>
      </c>
      <c r="AK654">
        <v>16</v>
      </c>
      <c r="AL654" t="s">
        <v>4283</v>
      </c>
      <c r="AM654" t="s">
        <v>4284</v>
      </c>
      <c r="AN654" t="s">
        <v>4285</v>
      </c>
      <c r="AO654" t="s">
        <v>74</v>
      </c>
      <c r="AP654" t="s">
        <v>8710</v>
      </c>
      <c r="AQ654" t="s">
        <v>74</v>
      </c>
      <c r="AR654" t="s">
        <v>8699</v>
      </c>
      <c r="AS654" t="s">
        <v>8711</v>
      </c>
      <c r="AT654" t="s">
        <v>11250</v>
      </c>
      <c r="AU654">
        <v>2020</v>
      </c>
      <c r="AV654">
        <v>12</v>
      </c>
      <c r="AW654">
        <v>5</v>
      </c>
      <c r="AX654" t="s">
        <v>74</v>
      </c>
      <c r="AY654" t="s">
        <v>74</v>
      </c>
      <c r="AZ654" t="s">
        <v>74</v>
      </c>
      <c r="BA654" t="s">
        <v>74</v>
      </c>
      <c r="BB654" t="s">
        <v>74</v>
      </c>
      <c r="BC654" t="s">
        <v>74</v>
      </c>
      <c r="BD654">
        <v>169</v>
      </c>
      <c r="BE654" t="s">
        <v>12965</v>
      </c>
      <c r="BF654" t="str">
        <f>HYPERLINK("http://dx.doi.org/10.3390/d12050169","http://dx.doi.org/10.3390/d12050169")</f>
        <v>http://dx.doi.org/10.3390/d12050169</v>
      </c>
      <c r="BG654" t="s">
        <v>74</v>
      </c>
      <c r="BH654" t="s">
        <v>74</v>
      </c>
      <c r="BI654">
        <v>3</v>
      </c>
      <c r="BJ654" t="s">
        <v>1004</v>
      </c>
      <c r="BK654" t="s">
        <v>102</v>
      </c>
      <c r="BL654" t="s">
        <v>1005</v>
      </c>
      <c r="BM654" t="s">
        <v>12966</v>
      </c>
      <c r="BN654" t="s">
        <v>74</v>
      </c>
      <c r="BO654" t="s">
        <v>1778</v>
      </c>
      <c r="BP654" t="s">
        <v>74</v>
      </c>
      <c r="BQ654" t="s">
        <v>74</v>
      </c>
      <c r="BR654" t="s">
        <v>106</v>
      </c>
      <c r="BS654" t="s">
        <v>12967</v>
      </c>
      <c r="BT654" t="str">
        <f>HYPERLINK("https%3A%2F%2Fwww.webofscience.com%2Fwos%2Fwoscc%2Ffull-record%2FWOS:000541083200008","View Full Record in Web of Science")</f>
        <v>View Full Record in Web of Science</v>
      </c>
    </row>
    <row r="655" spans="1:72" x14ac:dyDescent="0.15">
      <c r="A655" t="s">
        <v>72</v>
      </c>
      <c r="B655" t="s">
        <v>12968</v>
      </c>
      <c r="C655" t="s">
        <v>74</v>
      </c>
      <c r="D655" t="s">
        <v>74</v>
      </c>
      <c r="E655" t="s">
        <v>74</v>
      </c>
      <c r="F655" t="s">
        <v>12969</v>
      </c>
      <c r="G655" t="s">
        <v>74</v>
      </c>
      <c r="H655" t="s">
        <v>74</v>
      </c>
      <c r="I655" t="s">
        <v>12970</v>
      </c>
      <c r="J655" t="s">
        <v>12971</v>
      </c>
      <c r="K655" t="s">
        <v>74</v>
      </c>
      <c r="L655" t="s">
        <v>74</v>
      </c>
      <c r="M655" t="s">
        <v>78</v>
      </c>
      <c r="N655" t="s">
        <v>79</v>
      </c>
      <c r="O655" t="s">
        <v>74</v>
      </c>
      <c r="P655" t="s">
        <v>74</v>
      </c>
      <c r="Q655" t="s">
        <v>74</v>
      </c>
      <c r="R655" t="s">
        <v>74</v>
      </c>
      <c r="S655" t="s">
        <v>74</v>
      </c>
      <c r="T655" t="s">
        <v>74</v>
      </c>
      <c r="U655" t="s">
        <v>12972</v>
      </c>
      <c r="V655" t="s">
        <v>12973</v>
      </c>
      <c r="W655" t="s">
        <v>12974</v>
      </c>
      <c r="X655" t="s">
        <v>12975</v>
      </c>
      <c r="Y655" t="s">
        <v>12976</v>
      </c>
      <c r="Z655" t="s">
        <v>12977</v>
      </c>
      <c r="AA655" t="s">
        <v>12978</v>
      </c>
      <c r="AB655" t="s">
        <v>12979</v>
      </c>
      <c r="AC655" t="s">
        <v>12980</v>
      </c>
      <c r="AD655" t="s">
        <v>12981</v>
      </c>
      <c r="AE655" t="s">
        <v>12982</v>
      </c>
      <c r="AF655" t="s">
        <v>74</v>
      </c>
      <c r="AG655">
        <v>56</v>
      </c>
      <c r="AH655">
        <v>145</v>
      </c>
      <c r="AI655">
        <v>154</v>
      </c>
      <c r="AJ655">
        <v>24</v>
      </c>
      <c r="AK655">
        <v>129</v>
      </c>
      <c r="AL655" t="s">
        <v>1118</v>
      </c>
      <c r="AM655" t="s">
        <v>1119</v>
      </c>
      <c r="AN655" t="s">
        <v>1120</v>
      </c>
      <c r="AO655" t="s">
        <v>74</v>
      </c>
      <c r="AP655" t="s">
        <v>12983</v>
      </c>
      <c r="AQ655" t="s">
        <v>74</v>
      </c>
      <c r="AR655" t="s">
        <v>12984</v>
      </c>
      <c r="AS655" t="s">
        <v>12985</v>
      </c>
      <c r="AT655" t="s">
        <v>11250</v>
      </c>
      <c r="AU655">
        <v>2020</v>
      </c>
      <c r="AV655">
        <v>1</v>
      </c>
      <c r="AW655">
        <v>5</v>
      </c>
      <c r="AX655" t="s">
        <v>74</v>
      </c>
      <c r="AY655" t="s">
        <v>74</v>
      </c>
      <c r="AZ655" t="s">
        <v>74</v>
      </c>
      <c r="BA655" t="s">
        <v>74</v>
      </c>
      <c r="BB655" t="s">
        <v>74</v>
      </c>
      <c r="BC655" t="s">
        <v>74</v>
      </c>
      <c r="BD655" t="s">
        <v>74</v>
      </c>
      <c r="BE655" t="s">
        <v>12986</v>
      </c>
      <c r="BF655" t="str">
        <f>HYPERLINK("http://dx.doi.org/10.1038/s43016-020-0078-x","http://dx.doi.org/10.1038/s43016-020-0078-x")</f>
        <v>http://dx.doi.org/10.1038/s43016-020-0078-x</v>
      </c>
      <c r="BG655" t="s">
        <v>74</v>
      </c>
      <c r="BH655" t="s">
        <v>74</v>
      </c>
      <c r="BI655">
        <v>10</v>
      </c>
      <c r="BJ655" t="s">
        <v>365</v>
      </c>
      <c r="BK655" t="s">
        <v>102</v>
      </c>
      <c r="BL655" t="s">
        <v>365</v>
      </c>
      <c r="BM655" t="s">
        <v>12987</v>
      </c>
      <c r="BN655" t="s">
        <v>74</v>
      </c>
      <c r="BO655" t="s">
        <v>74</v>
      </c>
      <c r="BP655" t="s">
        <v>162</v>
      </c>
      <c r="BQ655" t="s">
        <v>163</v>
      </c>
      <c r="BR655" t="s">
        <v>106</v>
      </c>
      <c r="BS655" t="s">
        <v>12988</v>
      </c>
      <c r="BT655" t="str">
        <f>HYPERLINK("https%3A%2F%2Fwww.webofscience.com%2Fwos%2Fwoscc%2Ffull-record%2FWOS:000598877400018","View Full Record in Web of Science")</f>
        <v>View Full Record in Web of Science</v>
      </c>
    </row>
    <row r="656" spans="1:72" x14ac:dyDescent="0.15">
      <c r="A656" t="s">
        <v>72</v>
      </c>
      <c r="B656" t="s">
        <v>12989</v>
      </c>
      <c r="C656" t="s">
        <v>74</v>
      </c>
      <c r="D656" t="s">
        <v>74</v>
      </c>
      <c r="E656" t="s">
        <v>74</v>
      </c>
      <c r="F656" t="s">
        <v>12990</v>
      </c>
      <c r="G656" t="s">
        <v>74</v>
      </c>
      <c r="H656" t="s">
        <v>74</v>
      </c>
      <c r="I656" t="s">
        <v>12991</v>
      </c>
      <c r="J656" t="s">
        <v>12992</v>
      </c>
      <c r="K656" t="s">
        <v>74</v>
      </c>
      <c r="L656" t="s">
        <v>74</v>
      </c>
      <c r="M656" t="s">
        <v>78</v>
      </c>
      <c r="N656" t="s">
        <v>79</v>
      </c>
      <c r="O656" t="s">
        <v>74</v>
      </c>
      <c r="P656" t="s">
        <v>74</v>
      </c>
      <c r="Q656" t="s">
        <v>74</v>
      </c>
      <c r="R656" t="s">
        <v>74</v>
      </c>
      <c r="S656" t="s">
        <v>74</v>
      </c>
      <c r="T656" t="s">
        <v>12993</v>
      </c>
      <c r="U656" t="s">
        <v>12994</v>
      </c>
      <c r="V656" t="s">
        <v>12995</v>
      </c>
      <c r="W656" t="s">
        <v>12996</v>
      </c>
      <c r="X656" t="s">
        <v>12997</v>
      </c>
      <c r="Y656" t="s">
        <v>12998</v>
      </c>
      <c r="Z656" t="s">
        <v>12999</v>
      </c>
      <c r="AA656" t="s">
        <v>74</v>
      </c>
      <c r="AB656" t="s">
        <v>74</v>
      </c>
      <c r="AC656" t="s">
        <v>74</v>
      </c>
      <c r="AD656" t="s">
        <v>74</v>
      </c>
      <c r="AE656" t="s">
        <v>74</v>
      </c>
      <c r="AF656" t="s">
        <v>74</v>
      </c>
      <c r="AG656">
        <v>16</v>
      </c>
      <c r="AH656">
        <v>1</v>
      </c>
      <c r="AI656">
        <v>1</v>
      </c>
      <c r="AJ656">
        <v>0</v>
      </c>
      <c r="AK656">
        <v>0</v>
      </c>
      <c r="AL656" t="s">
        <v>4124</v>
      </c>
      <c r="AM656" t="s">
        <v>399</v>
      </c>
      <c r="AN656" t="s">
        <v>4125</v>
      </c>
      <c r="AO656" t="s">
        <v>13000</v>
      </c>
      <c r="AP656" t="s">
        <v>13001</v>
      </c>
      <c r="AQ656" t="s">
        <v>74</v>
      </c>
      <c r="AR656" t="s">
        <v>13002</v>
      </c>
      <c r="AS656" t="s">
        <v>13003</v>
      </c>
      <c r="AT656" t="s">
        <v>11250</v>
      </c>
      <c r="AU656">
        <v>2020</v>
      </c>
      <c r="AV656">
        <v>62</v>
      </c>
      <c r="AW656">
        <v>5</v>
      </c>
      <c r="AX656" t="s">
        <v>74</v>
      </c>
      <c r="AY656" t="s">
        <v>74</v>
      </c>
      <c r="AZ656" t="s">
        <v>74</v>
      </c>
      <c r="BA656" t="s">
        <v>74</v>
      </c>
      <c r="BB656">
        <v>667</v>
      </c>
      <c r="BC656">
        <v>672</v>
      </c>
      <c r="BD656" t="s">
        <v>74</v>
      </c>
      <c r="BE656" t="s">
        <v>13004</v>
      </c>
      <c r="BF656" t="str">
        <f>HYPERLINK("http://dx.doi.org/10.1134/S1066362220050148","http://dx.doi.org/10.1134/S1066362220050148")</f>
        <v>http://dx.doi.org/10.1134/S1066362220050148</v>
      </c>
      <c r="BG656" t="s">
        <v>74</v>
      </c>
      <c r="BH656" t="s">
        <v>74</v>
      </c>
      <c r="BI656">
        <v>6</v>
      </c>
      <c r="BJ656" t="s">
        <v>13005</v>
      </c>
      <c r="BK656" t="s">
        <v>3838</v>
      </c>
      <c r="BL656" t="s">
        <v>3680</v>
      </c>
      <c r="BM656" t="s">
        <v>13006</v>
      </c>
      <c r="BN656" t="s">
        <v>74</v>
      </c>
      <c r="BO656" t="s">
        <v>74</v>
      </c>
      <c r="BP656" t="s">
        <v>74</v>
      </c>
      <c r="BQ656" t="s">
        <v>74</v>
      </c>
      <c r="BR656" t="s">
        <v>106</v>
      </c>
      <c r="BS656" t="s">
        <v>13007</v>
      </c>
      <c r="BT656" t="str">
        <f>HYPERLINK("https%3A%2F%2Fwww.webofscience.com%2Fwos%2Fwoscc%2Ffull-record%2FWOS:000584396200014","View Full Record in Web of Science")</f>
        <v>View Full Record in Web of Science</v>
      </c>
    </row>
    <row r="657" spans="1:72" x14ac:dyDescent="0.15">
      <c r="A657" t="s">
        <v>72</v>
      </c>
      <c r="B657" t="s">
        <v>13008</v>
      </c>
      <c r="C657" t="s">
        <v>74</v>
      </c>
      <c r="D657" t="s">
        <v>74</v>
      </c>
      <c r="E657" t="s">
        <v>74</v>
      </c>
      <c r="F657" t="s">
        <v>13009</v>
      </c>
      <c r="G657" t="s">
        <v>74</v>
      </c>
      <c r="H657" t="s">
        <v>74</v>
      </c>
      <c r="I657" t="s">
        <v>13010</v>
      </c>
      <c r="J657" t="s">
        <v>5023</v>
      </c>
      <c r="K657" t="s">
        <v>74</v>
      </c>
      <c r="L657" t="s">
        <v>74</v>
      </c>
      <c r="M657" t="s">
        <v>78</v>
      </c>
      <c r="N657" t="s">
        <v>79</v>
      </c>
      <c r="O657" t="s">
        <v>74</v>
      </c>
      <c r="P657" t="s">
        <v>74</v>
      </c>
      <c r="Q657" t="s">
        <v>74</v>
      </c>
      <c r="R657" t="s">
        <v>74</v>
      </c>
      <c r="S657" t="s">
        <v>74</v>
      </c>
      <c r="T657" t="s">
        <v>74</v>
      </c>
      <c r="U657" t="s">
        <v>13011</v>
      </c>
      <c r="V657" t="s">
        <v>13012</v>
      </c>
      <c r="W657" t="s">
        <v>13013</v>
      </c>
      <c r="X657" t="s">
        <v>13014</v>
      </c>
      <c r="Y657" t="s">
        <v>13015</v>
      </c>
      <c r="Z657" t="s">
        <v>13016</v>
      </c>
      <c r="AA657" t="s">
        <v>13017</v>
      </c>
      <c r="AB657" t="s">
        <v>13018</v>
      </c>
      <c r="AC657" t="s">
        <v>13019</v>
      </c>
      <c r="AD657" t="s">
        <v>13020</v>
      </c>
      <c r="AE657" t="s">
        <v>13021</v>
      </c>
      <c r="AF657" t="s">
        <v>74</v>
      </c>
      <c r="AG657">
        <v>62</v>
      </c>
      <c r="AH657">
        <v>24</v>
      </c>
      <c r="AI657">
        <v>26</v>
      </c>
      <c r="AJ657">
        <v>0</v>
      </c>
      <c r="AK657">
        <v>14</v>
      </c>
      <c r="AL657" t="s">
        <v>178</v>
      </c>
      <c r="AM657" t="s">
        <v>179</v>
      </c>
      <c r="AN657" t="s">
        <v>180</v>
      </c>
      <c r="AO657" t="s">
        <v>5035</v>
      </c>
      <c r="AP657" t="s">
        <v>5036</v>
      </c>
      <c r="AQ657" t="s">
        <v>74</v>
      </c>
      <c r="AR657" t="s">
        <v>5037</v>
      </c>
      <c r="AS657" t="s">
        <v>5038</v>
      </c>
      <c r="AT657" t="s">
        <v>11250</v>
      </c>
      <c r="AU657">
        <v>2020</v>
      </c>
      <c r="AV657">
        <v>33</v>
      </c>
      <c r="AW657">
        <v>9</v>
      </c>
      <c r="AX657" t="s">
        <v>74</v>
      </c>
      <c r="AY657" t="s">
        <v>74</v>
      </c>
      <c r="AZ657" t="s">
        <v>74</v>
      </c>
      <c r="BA657" t="s">
        <v>74</v>
      </c>
      <c r="BB657">
        <v>3787</v>
      </c>
      <c r="BC657">
        <v>3807</v>
      </c>
      <c r="BD657" t="s">
        <v>74</v>
      </c>
      <c r="BE657" t="s">
        <v>13022</v>
      </c>
      <c r="BF657" t="str">
        <f>HYPERLINK("http://dx.doi.org/10.1175/JCLI-D-19-0478.1","http://dx.doi.org/10.1175/JCLI-D-19-0478.1")</f>
        <v>http://dx.doi.org/10.1175/JCLI-D-19-0478.1</v>
      </c>
      <c r="BG657" t="s">
        <v>74</v>
      </c>
      <c r="BH657" t="s">
        <v>74</v>
      </c>
      <c r="BI657">
        <v>21</v>
      </c>
      <c r="BJ657" t="s">
        <v>159</v>
      </c>
      <c r="BK657" t="s">
        <v>102</v>
      </c>
      <c r="BL657" t="s">
        <v>159</v>
      </c>
      <c r="BM657" t="s">
        <v>13023</v>
      </c>
      <c r="BN657" t="s">
        <v>74</v>
      </c>
      <c r="BO657" t="s">
        <v>1657</v>
      </c>
      <c r="BP657" t="s">
        <v>74</v>
      </c>
      <c r="BQ657" t="s">
        <v>74</v>
      </c>
      <c r="BR657" t="s">
        <v>106</v>
      </c>
      <c r="BS657" t="s">
        <v>13024</v>
      </c>
      <c r="BT657" t="str">
        <f>HYPERLINK("https%3A%2F%2Fwww.webofscience.com%2Fwos%2Fwoscc%2Ffull-record%2FWOS:000568259800020","View Full Record in Web of Science")</f>
        <v>View Full Record in Web of Science</v>
      </c>
    </row>
    <row r="658" spans="1:72" x14ac:dyDescent="0.15">
      <c r="A658" t="s">
        <v>72</v>
      </c>
      <c r="B658" t="s">
        <v>13025</v>
      </c>
      <c r="C658" t="s">
        <v>74</v>
      </c>
      <c r="D658" t="s">
        <v>74</v>
      </c>
      <c r="E658" t="s">
        <v>74</v>
      </c>
      <c r="F658" t="s">
        <v>13026</v>
      </c>
      <c r="G658" t="s">
        <v>74</v>
      </c>
      <c r="H658" t="s">
        <v>74</v>
      </c>
      <c r="I658" t="s">
        <v>13027</v>
      </c>
      <c r="J658" t="s">
        <v>13028</v>
      </c>
      <c r="K658" t="s">
        <v>74</v>
      </c>
      <c r="L658" t="s">
        <v>74</v>
      </c>
      <c r="M658" t="s">
        <v>78</v>
      </c>
      <c r="N658" t="s">
        <v>79</v>
      </c>
      <c r="O658" t="s">
        <v>74</v>
      </c>
      <c r="P658" t="s">
        <v>74</v>
      </c>
      <c r="Q658" t="s">
        <v>74</v>
      </c>
      <c r="R658" t="s">
        <v>74</v>
      </c>
      <c r="S658" t="s">
        <v>74</v>
      </c>
      <c r="T658" t="s">
        <v>13029</v>
      </c>
      <c r="U658" t="s">
        <v>13030</v>
      </c>
      <c r="V658" t="s">
        <v>13031</v>
      </c>
      <c r="W658" t="s">
        <v>13032</v>
      </c>
      <c r="X658" t="s">
        <v>13033</v>
      </c>
      <c r="Y658" t="s">
        <v>13034</v>
      </c>
      <c r="Z658" t="s">
        <v>13035</v>
      </c>
      <c r="AA658" t="s">
        <v>74</v>
      </c>
      <c r="AB658" t="s">
        <v>74</v>
      </c>
      <c r="AC658" t="s">
        <v>13036</v>
      </c>
      <c r="AD658" t="s">
        <v>13037</v>
      </c>
      <c r="AE658" t="s">
        <v>13038</v>
      </c>
      <c r="AF658" t="s">
        <v>74</v>
      </c>
      <c r="AG658">
        <v>36</v>
      </c>
      <c r="AH658">
        <v>2</v>
      </c>
      <c r="AI658">
        <v>2</v>
      </c>
      <c r="AJ658">
        <v>0</v>
      </c>
      <c r="AK658">
        <v>6</v>
      </c>
      <c r="AL658" t="s">
        <v>13039</v>
      </c>
      <c r="AM658" t="s">
        <v>13040</v>
      </c>
      <c r="AN658" t="s">
        <v>13041</v>
      </c>
      <c r="AO658" t="s">
        <v>13042</v>
      </c>
      <c r="AP658" t="s">
        <v>74</v>
      </c>
      <c r="AQ658" t="s">
        <v>74</v>
      </c>
      <c r="AR658" t="s">
        <v>13043</v>
      </c>
      <c r="AS658" t="s">
        <v>13044</v>
      </c>
      <c r="AT658" t="s">
        <v>11250</v>
      </c>
      <c r="AU658">
        <v>2020</v>
      </c>
      <c r="AV658">
        <v>286</v>
      </c>
      <c r="AW658" t="s">
        <v>74</v>
      </c>
      <c r="AX658" t="s">
        <v>74</v>
      </c>
      <c r="AY658" t="s">
        <v>74</v>
      </c>
      <c r="AZ658" t="s">
        <v>74</v>
      </c>
      <c r="BA658" t="s">
        <v>74</v>
      </c>
      <c r="BB658">
        <v>135</v>
      </c>
      <c r="BC658">
        <v>145</v>
      </c>
      <c r="BD658" t="s">
        <v>74</v>
      </c>
      <c r="BE658" t="s">
        <v>13045</v>
      </c>
      <c r="BF658" t="str">
        <f>HYPERLINK("http://dx.doi.org/10.1016/j.jcz.2020.03.009","http://dx.doi.org/10.1016/j.jcz.2020.03.009")</f>
        <v>http://dx.doi.org/10.1016/j.jcz.2020.03.009</v>
      </c>
      <c r="BG658" t="s">
        <v>74</v>
      </c>
      <c r="BH658" t="s">
        <v>74</v>
      </c>
      <c r="BI658">
        <v>11</v>
      </c>
      <c r="BJ658" t="s">
        <v>1499</v>
      </c>
      <c r="BK658" t="s">
        <v>102</v>
      </c>
      <c r="BL658" t="s">
        <v>1499</v>
      </c>
      <c r="BM658" t="s">
        <v>13046</v>
      </c>
      <c r="BN658" t="s">
        <v>74</v>
      </c>
      <c r="BO658" t="s">
        <v>74</v>
      </c>
      <c r="BP658" t="s">
        <v>74</v>
      </c>
      <c r="BQ658" t="s">
        <v>74</v>
      </c>
      <c r="BR658" t="s">
        <v>106</v>
      </c>
      <c r="BS658" t="s">
        <v>13047</v>
      </c>
      <c r="BT658" t="str">
        <f>HYPERLINK("https%3A%2F%2Fwww.webofscience.com%2Fwos%2Fwoscc%2Ffull-record%2FWOS:000568211900015","View Full Record in Web of Science")</f>
        <v>View Full Record in Web of Science</v>
      </c>
    </row>
    <row r="659" spans="1:72" x14ac:dyDescent="0.15">
      <c r="A659" t="s">
        <v>72</v>
      </c>
      <c r="B659" t="s">
        <v>13048</v>
      </c>
      <c r="C659" t="s">
        <v>74</v>
      </c>
      <c r="D659" t="s">
        <v>74</v>
      </c>
      <c r="E659" t="s">
        <v>74</v>
      </c>
      <c r="F659" t="s">
        <v>13049</v>
      </c>
      <c r="G659" t="s">
        <v>74</v>
      </c>
      <c r="H659" t="s">
        <v>74</v>
      </c>
      <c r="I659" t="s">
        <v>13050</v>
      </c>
      <c r="J659" t="s">
        <v>5023</v>
      </c>
      <c r="K659" t="s">
        <v>74</v>
      </c>
      <c r="L659" t="s">
        <v>74</v>
      </c>
      <c r="M659" t="s">
        <v>78</v>
      </c>
      <c r="N659" t="s">
        <v>79</v>
      </c>
      <c r="O659" t="s">
        <v>74</v>
      </c>
      <c r="P659" t="s">
        <v>74</v>
      </c>
      <c r="Q659" t="s">
        <v>74</v>
      </c>
      <c r="R659" t="s">
        <v>74</v>
      </c>
      <c r="S659" t="s">
        <v>74</v>
      </c>
      <c r="T659" t="s">
        <v>13051</v>
      </c>
      <c r="U659" t="s">
        <v>13052</v>
      </c>
      <c r="V659" t="s">
        <v>13053</v>
      </c>
      <c r="W659" t="s">
        <v>13054</v>
      </c>
      <c r="X659" t="s">
        <v>13055</v>
      </c>
      <c r="Y659" t="s">
        <v>13056</v>
      </c>
      <c r="Z659" t="s">
        <v>5051</v>
      </c>
      <c r="AA659" t="s">
        <v>13057</v>
      </c>
      <c r="AB659" t="s">
        <v>13058</v>
      </c>
      <c r="AC659" t="s">
        <v>13059</v>
      </c>
      <c r="AD659" t="s">
        <v>13060</v>
      </c>
      <c r="AE659" t="s">
        <v>13061</v>
      </c>
      <c r="AF659" t="s">
        <v>74</v>
      </c>
      <c r="AG659">
        <v>78</v>
      </c>
      <c r="AH659">
        <v>32</v>
      </c>
      <c r="AI659">
        <v>36</v>
      </c>
      <c r="AJ659">
        <v>2</v>
      </c>
      <c r="AK659">
        <v>9</v>
      </c>
      <c r="AL659" t="s">
        <v>178</v>
      </c>
      <c r="AM659" t="s">
        <v>179</v>
      </c>
      <c r="AN659" t="s">
        <v>5057</v>
      </c>
      <c r="AO659" t="s">
        <v>5035</v>
      </c>
      <c r="AP659" t="s">
        <v>5036</v>
      </c>
      <c r="AQ659" t="s">
        <v>74</v>
      </c>
      <c r="AR659" t="s">
        <v>5037</v>
      </c>
      <c r="AS659" t="s">
        <v>5038</v>
      </c>
      <c r="AT659" t="s">
        <v>11250</v>
      </c>
      <c r="AU659">
        <v>2020</v>
      </c>
      <c r="AV659">
        <v>33</v>
      </c>
      <c r="AW659">
        <v>10</v>
      </c>
      <c r="AX659" t="s">
        <v>74</v>
      </c>
      <c r="AY659" t="s">
        <v>74</v>
      </c>
      <c r="AZ659" t="s">
        <v>74</v>
      </c>
      <c r="BA659" t="s">
        <v>74</v>
      </c>
      <c r="BB659">
        <v>4141</v>
      </c>
      <c r="BC659">
        <v>4165</v>
      </c>
      <c r="BD659" t="s">
        <v>74</v>
      </c>
      <c r="BE659" t="s">
        <v>13062</v>
      </c>
      <c r="BF659" t="str">
        <f>HYPERLINK("http://dx.doi.org/10.1175/JCLI-D-19-0797.1","http://dx.doi.org/10.1175/JCLI-D-19-0797.1")</f>
        <v>http://dx.doi.org/10.1175/JCLI-D-19-0797.1</v>
      </c>
      <c r="BG659" t="s">
        <v>74</v>
      </c>
      <c r="BH659" t="s">
        <v>74</v>
      </c>
      <c r="BI659">
        <v>25</v>
      </c>
      <c r="BJ659" t="s">
        <v>159</v>
      </c>
      <c r="BK659" t="s">
        <v>102</v>
      </c>
      <c r="BL659" t="s">
        <v>159</v>
      </c>
      <c r="BM659" t="s">
        <v>13063</v>
      </c>
      <c r="BN659" t="s">
        <v>74</v>
      </c>
      <c r="BO659" t="s">
        <v>1657</v>
      </c>
      <c r="BP659" t="s">
        <v>74</v>
      </c>
      <c r="BQ659" t="s">
        <v>74</v>
      </c>
      <c r="BR659" t="s">
        <v>106</v>
      </c>
      <c r="BS659" t="s">
        <v>13064</v>
      </c>
      <c r="BT659" t="str">
        <f>HYPERLINK("https%3A%2F%2Fwww.webofscience.com%2Fwos%2Fwoscc%2Ffull-record%2FWOS:000565177600001","View Full Record in Web of Science")</f>
        <v>View Full Record in Web of Science</v>
      </c>
    </row>
    <row r="660" spans="1:72" x14ac:dyDescent="0.15">
      <c r="A660" t="s">
        <v>72</v>
      </c>
      <c r="B660" t="s">
        <v>13065</v>
      </c>
      <c r="C660" t="s">
        <v>74</v>
      </c>
      <c r="D660" t="s">
        <v>74</v>
      </c>
      <c r="E660" t="s">
        <v>74</v>
      </c>
      <c r="F660" t="s">
        <v>13066</v>
      </c>
      <c r="G660" t="s">
        <v>74</v>
      </c>
      <c r="H660" t="s">
        <v>74</v>
      </c>
      <c r="I660" t="s">
        <v>13067</v>
      </c>
      <c r="J660" t="s">
        <v>2744</v>
      </c>
      <c r="K660" t="s">
        <v>74</v>
      </c>
      <c r="L660" t="s">
        <v>74</v>
      </c>
      <c r="M660" t="s">
        <v>78</v>
      </c>
      <c r="N660" t="s">
        <v>245</v>
      </c>
      <c r="O660" t="s">
        <v>74</v>
      </c>
      <c r="P660" t="s">
        <v>74</v>
      </c>
      <c r="Q660" t="s">
        <v>74</v>
      </c>
      <c r="R660" t="s">
        <v>74</v>
      </c>
      <c r="S660" t="s">
        <v>74</v>
      </c>
      <c r="T660" t="s">
        <v>13068</v>
      </c>
      <c r="U660" t="s">
        <v>13069</v>
      </c>
      <c r="V660" t="s">
        <v>13070</v>
      </c>
      <c r="W660" t="s">
        <v>13071</v>
      </c>
      <c r="X660" t="s">
        <v>13072</v>
      </c>
      <c r="Y660" t="s">
        <v>13073</v>
      </c>
      <c r="Z660" t="s">
        <v>13074</v>
      </c>
      <c r="AA660" t="s">
        <v>13075</v>
      </c>
      <c r="AB660" t="s">
        <v>13076</v>
      </c>
      <c r="AC660" t="s">
        <v>74</v>
      </c>
      <c r="AD660" t="s">
        <v>74</v>
      </c>
      <c r="AE660" t="s">
        <v>74</v>
      </c>
      <c r="AF660" t="s">
        <v>74</v>
      </c>
      <c r="AG660">
        <v>149</v>
      </c>
      <c r="AH660">
        <v>31</v>
      </c>
      <c r="AI660">
        <v>32</v>
      </c>
      <c r="AJ660">
        <v>8</v>
      </c>
      <c r="AK660">
        <v>80</v>
      </c>
      <c r="AL660" t="s">
        <v>994</v>
      </c>
      <c r="AM660" t="s">
        <v>995</v>
      </c>
      <c r="AN660" t="s">
        <v>996</v>
      </c>
      <c r="AO660" t="s">
        <v>2756</v>
      </c>
      <c r="AP660" t="s">
        <v>74</v>
      </c>
      <c r="AQ660" t="s">
        <v>74</v>
      </c>
      <c r="AR660" t="s">
        <v>2757</v>
      </c>
      <c r="AS660" t="s">
        <v>2758</v>
      </c>
      <c r="AT660" t="s">
        <v>11250</v>
      </c>
      <c r="AU660">
        <v>2020</v>
      </c>
      <c r="AV660">
        <v>10</v>
      </c>
      <c r="AW660">
        <v>10</v>
      </c>
      <c r="AX660" t="s">
        <v>74</v>
      </c>
      <c r="AY660" t="s">
        <v>74</v>
      </c>
      <c r="AZ660" t="s">
        <v>74</v>
      </c>
      <c r="BA660" t="s">
        <v>74</v>
      </c>
      <c r="BB660">
        <v>4495</v>
      </c>
      <c r="BC660">
        <v>4514</v>
      </c>
      <c r="BD660" t="s">
        <v>74</v>
      </c>
      <c r="BE660" t="s">
        <v>13077</v>
      </c>
      <c r="BF660" t="str">
        <f>HYPERLINK("http://dx.doi.org/10.1002/ece3.6205","http://dx.doi.org/10.1002/ece3.6205")</f>
        <v>http://dx.doi.org/10.1002/ece3.6205</v>
      </c>
      <c r="BG660" t="s">
        <v>74</v>
      </c>
      <c r="BH660" t="s">
        <v>74</v>
      </c>
      <c r="BI660">
        <v>20</v>
      </c>
      <c r="BJ660" t="s">
        <v>2760</v>
      </c>
      <c r="BK660" t="s">
        <v>102</v>
      </c>
      <c r="BL660" t="s">
        <v>2761</v>
      </c>
      <c r="BM660" t="s">
        <v>13078</v>
      </c>
      <c r="BN660">
        <v>32489613</v>
      </c>
      <c r="BO660" t="s">
        <v>1778</v>
      </c>
      <c r="BP660" t="s">
        <v>74</v>
      </c>
      <c r="BQ660" t="s">
        <v>74</v>
      </c>
      <c r="BR660" t="s">
        <v>106</v>
      </c>
      <c r="BS660" t="s">
        <v>13079</v>
      </c>
      <c r="BT660" t="str">
        <f>HYPERLINK("https%3A%2F%2Fwww.webofscience.com%2Fwos%2Fwoscc%2Ffull-record%2FWOS:000562403100025","View Full Record in Web of Science")</f>
        <v>View Full Record in Web of Science</v>
      </c>
    </row>
    <row r="661" spans="1:72" x14ac:dyDescent="0.15">
      <c r="A661" t="s">
        <v>72</v>
      </c>
      <c r="B661" t="s">
        <v>13080</v>
      </c>
      <c r="C661" t="s">
        <v>74</v>
      </c>
      <c r="D661" t="s">
        <v>74</v>
      </c>
      <c r="E661" t="s">
        <v>74</v>
      </c>
      <c r="F661" t="s">
        <v>13081</v>
      </c>
      <c r="G661" t="s">
        <v>74</v>
      </c>
      <c r="H661" t="s">
        <v>74</v>
      </c>
      <c r="I661" t="s">
        <v>13082</v>
      </c>
      <c r="J661" t="s">
        <v>4111</v>
      </c>
      <c r="K661" t="s">
        <v>74</v>
      </c>
      <c r="L661" t="s">
        <v>74</v>
      </c>
      <c r="M661" t="s">
        <v>78</v>
      </c>
      <c r="N661" t="s">
        <v>4112</v>
      </c>
      <c r="O661" t="s">
        <v>74</v>
      </c>
      <c r="P661" t="s">
        <v>74</v>
      </c>
      <c r="Q661" t="s">
        <v>74</v>
      </c>
      <c r="R661" t="s">
        <v>74</v>
      </c>
      <c r="S661" t="s">
        <v>74</v>
      </c>
      <c r="T661" t="s">
        <v>13083</v>
      </c>
      <c r="U661" t="s">
        <v>74</v>
      </c>
      <c r="V661" t="s">
        <v>13084</v>
      </c>
      <c r="W661" t="s">
        <v>13085</v>
      </c>
      <c r="X661" t="s">
        <v>13086</v>
      </c>
      <c r="Y661" t="s">
        <v>13087</v>
      </c>
      <c r="Z661" t="s">
        <v>13088</v>
      </c>
      <c r="AA661" t="s">
        <v>13089</v>
      </c>
      <c r="AB661" t="s">
        <v>13090</v>
      </c>
      <c r="AC661" t="s">
        <v>13091</v>
      </c>
      <c r="AD661" t="s">
        <v>13092</v>
      </c>
      <c r="AE661" t="s">
        <v>13093</v>
      </c>
      <c r="AF661" t="s">
        <v>74</v>
      </c>
      <c r="AG661">
        <v>0</v>
      </c>
      <c r="AH661">
        <v>2</v>
      </c>
      <c r="AI661">
        <v>2</v>
      </c>
      <c r="AJ661">
        <v>0</v>
      </c>
      <c r="AK661">
        <v>2</v>
      </c>
      <c r="AL661" t="s">
        <v>13094</v>
      </c>
      <c r="AM661" t="s">
        <v>399</v>
      </c>
      <c r="AN661" t="s">
        <v>13095</v>
      </c>
      <c r="AO661" t="s">
        <v>4126</v>
      </c>
      <c r="AP661" t="s">
        <v>4127</v>
      </c>
      <c r="AQ661" t="s">
        <v>74</v>
      </c>
      <c r="AR661" t="s">
        <v>4128</v>
      </c>
      <c r="AS661" t="s">
        <v>4129</v>
      </c>
      <c r="AT661" t="s">
        <v>11250</v>
      </c>
      <c r="AU661">
        <v>2020</v>
      </c>
      <c r="AV661">
        <v>60</v>
      </c>
      <c r="AW661">
        <v>3</v>
      </c>
      <c r="AX661" t="s">
        <v>74</v>
      </c>
      <c r="AY661" t="s">
        <v>74</v>
      </c>
      <c r="AZ661" t="s">
        <v>74</v>
      </c>
      <c r="BA661" t="s">
        <v>74</v>
      </c>
      <c r="BB661">
        <v>424</v>
      </c>
      <c r="BC661">
        <v>426</v>
      </c>
      <c r="BD661" t="s">
        <v>74</v>
      </c>
      <c r="BE661" t="s">
        <v>13096</v>
      </c>
      <c r="BF661" t="str">
        <f>HYPERLINK("http://dx.doi.org/10.1134/S0001437020030029","http://dx.doi.org/10.1134/S0001437020030029")</f>
        <v>http://dx.doi.org/10.1134/S0001437020030029</v>
      </c>
      <c r="BG661" t="s">
        <v>74</v>
      </c>
      <c r="BH661" t="s">
        <v>74</v>
      </c>
      <c r="BI661">
        <v>3</v>
      </c>
      <c r="BJ661" t="s">
        <v>213</v>
      </c>
      <c r="BK661" t="s">
        <v>102</v>
      </c>
      <c r="BL661" t="s">
        <v>213</v>
      </c>
      <c r="BM661" t="s">
        <v>13097</v>
      </c>
      <c r="BN661" t="s">
        <v>74</v>
      </c>
      <c r="BO661" t="s">
        <v>74</v>
      </c>
      <c r="BP661" t="s">
        <v>74</v>
      </c>
      <c r="BQ661" t="s">
        <v>74</v>
      </c>
      <c r="BR661" t="s">
        <v>106</v>
      </c>
      <c r="BS661" t="s">
        <v>13098</v>
      </c>
      <c r="BT661" t="str">
        <f>HYPERLINK("https%3A%2F%2Fwww.webofscience.com%2Fwos%2Fwoscc%2Ffull-record%2FWOS:000556214900014","View Full Record in Web of Science")</f>
        <v>View Full Record in Web of Science</v>
      </c>
    </row>
    <row r="662" spans="1:72" x14ac:dyDescent="0.15">
      <c r="A662" t="s">
        <v>72</v>
      </c>
      <c r="B662" t="s">
        <v>13099</v>
      </c>
      <c r="C662" t="s">
        <v>74</v>
      </c>
      <c r="D662" t="s">
        <v>74</v>
      </c>
      <c r="E662" t="s">
        <v>74</v>
      </c>
      <c r="F662" t="s">
        <v>13100</v>
      </c>
      <c r="G662" t="s">
        <v>74</v>
      </c>
      <c r="H662" t="s">
        <v>74</v>
      </c>
      <c r="I662" t="s">
        <v>13101</v>
      </c>
      <c r="J662" t="s">
        <v>13102</v>
      </c>
      <c r="K662" t="s">
        <v>74</v>
      </c>
      <c r="L662" t="s">
        <v>74</v>
      </c>
      <c r="M662" t="s">
        <v>78</v>
      </c>
      <c r="N662" t="s">
        <v>79</v>
      </c>
      <c r="O662" t="s">
        <v>74</v>
      </c>
      <c r="P662" t="s">
        <v>74</v>
      </c>
      <c r="Q662" t="s">
        <v>74</v>
      </c>
      <c r="R662" t="s">
        <v>74</v>
      </c>
      <c r="S662" t="s">
        <v>74</v>
      </c>
      <c r="T662" t="s">
        <v>13103</v>
      </c>
      <c r="U662" t="s">
        <v>13104</v>
      </c>
      <c r="V662" t="s">
        <v>13105</v>
      </c>
      <c r="W662" t="s">
        <v>13106</v>
      </c>
      <c r="X662" t="s">
        <v>13107</v>
      </c>
      <c r="Y662" t="s">
        <v>13108</v>
      </c>
      <c r="Z662" t="s">
        <v>13109</v>
      </c>
      <c r="AA662" t="s">
        <v>13110</v>
      </c>
      <c r="AB662" t="s">
        <v>13111</v>
      </c>
      <c r="AC662" t="s">
        <v>13112</v>
      </c>
      <c r="AD662" t="s">
        <v>13113</v>
      </c>
      <c r="AE662" t="s">
        <v>13114</v>
      </c>
      <c r="AF662" t="s">
        <v>74</v>
      </c>
      <c r="AG662">
        <v>85</v>
      </c>
      <c r="AH662">
        <v>5</v>
      </c>
      <c r="AI662">
        <v>5</v>
      </c>
      <c r="AJ662">
        <v>2</v>
      </c>
      <c r="AK662">
        <v>26</v>
      </c>
      <c r="AL662" t="s">
        <v>92</v>
      </c>
      <c r="AM662" t="s">
        <v>93</v>
      </c>
      <c r="AN662" t="s">
        <v>94</v>
      </c>
      <c r="AO662" t="s">
        <v>13115</v>
      </c>
      <c r="AP662" t="s">
        <v>13116</v>
      </c>
      <c r="AQ662" t="s">
        <v>74</v>
      </c>
      <c r="AR662" t="s">
        <v>13117</v>
      </c>
      <c r="AS662" t="s">
        <v>13118</v>
      </c>
      <c r="AT662" t="s">
        <v>11250</v>
      </c>
      <c r="AU662">
        <v>2020</v>
      </c>
      <c r="AV662">
        <v>175</v>
      </c>
      <c r="AW662" t="s">
        <v>74</v>
      </c>
      <c r="AX662" t="s">
        <v>74</v>
      </c>
      <c r="AY662" t="s">
        <v>74</v>
      </c>
      <c r="AZ662" t="s">
        <v>74</v>
      </c>
      <c r="BA662" t="s">
        <v>74</v>
      </c>
      <c r="BB662" t="s">
        <v>74</v>
      </c>
      <c r="BC662" t="s">
        <v>74</v>
      </c>
      <c r="BD662">
        <v>104634</v>
      </c>
      <c r="BE662" t="s">
        <v>13119</v>
      </c>
      <c r="BF662" t="str">
        <f>HYPERLINK("http://dx.doi.org/10.1016/j.dsr2.2019.104634","http://dx.doi.org/10.1016/j.dsr2.2019.104634")</f>
        <v>http://dx.doi.org/10.1016/j.dsr2.2019.104634</v>
      </c>
      <c r="BG662" t="s">
        <v>74</v>
      </c>
      <c r="BH662" t="s">
        <v>74</v>
      </c>
      <c r="BI662">
        <v>11</v>
      </c>
      <c r="BJ662" t="s">
        <v>213</v>
      </c>
      <c r="BK662" t="s">
        <v>102</v>
      </c>
      <c r="BL662" t="s">
        <v>213</v>
      </c>
      <c r="BM662" t="s">
        <v>13120</v>
      </c>
      <c r="BN662" t="s">
        <v>74</v>
      </c>
      <c r="BO662" t="s">
        <v>74</v>
      </c>
      <c r="BP662" t="s">
        <v>74</v>
      </c>
      <c r="BQ662" t="s">
        <v>74</v>
      </c>
      <c r="BR662" t="s">
        <v>106</v>
      </c>
      <c r="BS662" t="s">
        <v>13121</v>
      </c>
      <c r="BT662" t="str">
        <f>HYPERLINK("https%3A%2F%2Fwww.webofscience.com%2Fwos%2Fwoscc%2Ffull-record%2FWOS:000554017400001","View Full Record in Web of Science")</f>
        <v>View Full Record in Web of Science</v>
      </c>
    </row>
    <row r="663" spans="1:72" x14ac:dyDescent="0.15">
      <c r="A663" t="s">
        <v>72</v>
      </c>
      <c r="B663" t="s">
        <v>13122</v>
      </c>
      <c r="C663" t="s">
        <v>74</v>
      </c>
      <c r="D663" t="s">
        <v>74</v>
      </c>
      <c r="E663" t="s">
        <v>74</v>
      </c>
      <c r="F663" t="s">
        <v>13123</v>
      </c>
      <c r="G663" t="s">
        <v>74</v>
      </c>
      <c r="H663" t="s">
        <v>74</v>
      </c>
      <c r="I663" t="s">
        <v>13124</v>
      </c>
      <c r="J663" t="s">
        <v>13125</v>
      </c>
      <c r="K663" t="s">
        <v>74</v>
      </c>
      <c r="L663" t="s">
        <v>74</v>
      </c>
      <c r="M663" t="s">
        <v>78</v>
      </c>
      <c r="N663" t="s">
        <v>79</v>
      </c>
      <c r="O663" t="s">
        <v>74</v>
      </c>
      <c r="P663" t="s">
        <v>74</v>
      </c>
      <c r="Q663" t="s">
        <v>74</v>
      </c>
      <c r="R663" t="s">
        <v>74</v>
      </c>
      <c r="S663" t="s">
        <v>74</v>
      </c>
      <c r="T663" t="s">
        <v>13126</v>
      </c>
      <c r="U663" t="s">
        <v>13127</v>
      </c>
      <c r="V663" t="s">
        <v>13128</v>
      </c>
      <c r="W663" t="s">
        <v>13129</v>
      </c>
      <c r="X663" t="s">
        <v>13130</v>
      </c>
      <c r="Y663" t="s">
        <v>13131</v>
      </c>
      <c r="Z663" t="s">
        <v>13132</v>
      </c>
      <c r="AA663" t="s">
        <v>13133</v>
      </c>
      <c r="AB663" t="s">
        <v>13134</v>
      </c>
      <c r="AC663" t="s">
        <v>13135</v>
      </c>
      <c r="AD663" t="s">
        <v>13136</v>
      </c>
      <c r="AE663" t="s">
        <v>13137</v>
      </c>
      <c r="AF663" t="s">
        <v>74</v>
      </c>
      <c r="AG663">
        <v>69</v>
      </c>
      <c r="AH663">
        <v>0</v>
      </c>
      <c r="AI663">
        <v>1</v>
      </c>
      <c r="AJ663">
        <v>0</v>
      </c>
      <c r="AK663">
        <v>4</v>
      </c>
      <c r="AL663" t="s">
        <v>4124</v>
      </c>
      <c r="AM663" t="s">
        <v>8458</v>
      </c>
      <c r="AN663" t="s">
        <v>13138</v>
      </c>
      <c r="AO663" t="s">
        <v>13139</v>
      </c>
      <c r="AP663" t="s">
        <v>13140</v>
      </c>
      <c r="AQ663" t="s">
        <v>74</v>
      </c>
      <c r="AR663" t="s">
        <v>13141</v>
      </c>
      <c r="AS663" t="s">
        <v>13142</v>
      </c>
      <c r="AT663" t="s">
        <v>11250</v>
      </c>
      <c r="AU663">
        <v>2020</v>
      </c>
      <c r="AV663">
        <v>54</v>
      </c>
      <c r="AW663">
        <v>3</v>
      </c>
      <c r="AX663" t="s">
        <v>74</v>
      </c>
      <c r="AY663" t="s">
        <v>74</v>
      </c>
      <c r="AZ663" t="s">
        <v>74</v>
      </c>
      <c r="BA663" t="s">
        <v>74</v>
      </c>
      <c r="BB663">
        <v>285</v>
      </c>
      <c r="BC663">
        <v>307</v>
      </c>
      <c r="BD663" t="s">
        <v>74</v>
      </c>
      <c r="BE663" t="s">
        <v>13143</v>
      </c>
      <c r="BF663" t="str">
        <f>HYPERLINK("http://dx.doi.org/10.1134/S0016852120030073","http://dx.doi.org/10.1134/S0016852120030073")</f>
        <v>http://dx.doi.org/10.1134/S0016852120030073</v>
      </c>
      <c r="BG663" t="s">
        <v>74</v>
      </c>
      <c r="BH663" t="s">
        <v>74</v>
      </c>
      <c r="BI663">
        <v>23</v>
      </c>
      <c r="BJ663" t="s">
        <v>131</v>
      </c>
      <c r="BK663" t="s">
        <v>102</v>
      </c>
      <c r="BL663" t="s">
        <v>131</v>
      </c>
      <c r="BM663" t="s">
        <v>13144</v>
      </c>
      <c r="BN663" t="s">
        <v>74</v>
      </c>
      <c r="BO663" t="s">
        <v>74</v>
      </c>
      <c r="BP663" t="s">
        <v>74</v>
      </c>
      <c r="BQ663" t="s">
        <v>74</v>
      </c>
      <c r="BR663" t="s">
        <v>106</v>
      </c>
      <c r="BS663" t="s">
        <v>13145</v>
      </c>
      <c r="BT663" t="str">
        <f>HYPERLINK("https%3A%2F%2Fwww.webofscience.com%2Fwos%2Fwoscc%2Ffull-record%2FWOS:000550261200001","View Full Record in Web of Science")</f>
        <v>View Full Record in Web of Science</v>
      </c>
    </row>
    <row r="664" spans="1:72" x14ac:dyDescent="0.15">
      <c r="A664" t="s">
        <v>72</v>
      </c>
      <c r="B664" t="s">
        <v>13146</v>
      </c>
      <c r="C664" t="s">
        <v>74</v>
      </c>
      <c r="D664" t="s">
        <v>74</v>
      </c>
      <c r="E664" t="s">
        <v>74</v>
      </c>
      <c r="F664" t="s">
        <v>13147</v>
      </c>
      <c r="G664" t="s">
        <v>74</v>
      </c>
      <c r="H664" t="s">
        <v>74</v>
      </c>
      <c r="I664" t="s">
        <v>13148</v>
      </c>
      <c r="J664" t="s">
        <v>194</v>
      </c>
      <c r="K664" t="s">
        <v>74</v>
      </c>
      <c r="L664" t="s">
        <v>74</v>
      </c>
      <c r="M664" t="s">
        <v>78</v>
      </c>
      <c r="N664" t="s">
        <v>79</v>
      </c>
      <c r="O664" t="s">
        <v>74</v>
      </c>
      <c r="P664" t="s">
        <v>74</v>
      </c>
      <c r="Q664" t="s">
        <v>74</v>
      </c>
      <c r="R664" t="s">
        <v>74</v>
      </c>
      <c r="S664" t="s">
        <v>74</v>
      </c>
      <c r="T664" t="s">
        <v>74</v>
      </c>
      <c r="U664" t="s">
        <v>13149</v>
      </c>
      <c r="V664" t="s">
        <v>13150</v>
      </c>
      <c r="W664" t="s">
        <v>13151</v>
      </c>
      <c r="X664" t="s">
        <v>13152</v>
      </c>
      <c r="Y664" t="s">
        <v>13153</v>
      </c>
      <c r="Z664" t="s">
        <v>13154</v>
      </c>
      <c r="AA664" t="s">
        <v>13155</v>
      </c>
      <c r="AB664" t="s">
        <v>13156</v>
      </c>
      <c r="AC664" t="s">
        <v>13157</v>
      </c>
      <c r="AD664" t="s">
        <v>1860</v>
      </c>
      <c r="AE664" t="s">
        <v>13158</v>
      </c>
      <c r="AF664" t="s">
        <v>74</v>
      </c>
      <c r="AG664">
        <v>138</v>
      </c>
      <c r="AH664">
        <v>30</v>
      </c>
      <c r="AI664">
        <v>31</v>
      </c>
      <c r="AJ664">
        <v>3</v>
      </c>
      <c r="AK664">
        <v>29</v>
      </c>
      <c r="AL664" t="s">
        <v>151</v>
      </c>
      <c r="AM664" t="s">
        <v>152</v>
      </c>
      <c r="AN664" t="s">
        <v>153</v>
      </c>
      <c r="AO664" t="s">
        <v>207</v>
      </c>
      <c r="AP664" t="s">
        <v>208</v>
      </c>
      <c r="AQ664" t="s">
        <v>74</v>
      </c>
      <c r="AR664" t="s">
        <v>209</v>
      </c>
      <c r="AS664" t="s">
        <v>210</v>
      </c>
      <c r="AT664" t="s">
        <v>11250</v>
      </c>
      <c r="AU664">
        <v>2020</v>
      </c>
      <c r="AV664">
        <v>125</v>
      </c>
      <c r="AW664">
        <v>5</v>
      </c>
      <c r="AX664" t="s">
        <v>74</v>
      </c>
      <c r="AY664" t="s">
        <v>74</v>
      </c>
      <c r="AZ664" t="s">
        <v>74</v>
      </c>
      <c r="BA664" t="s">
        <v>74</v>
      </c>
      <c r="BB664" t="s">
        <v>74</v>
      </c>
      <c r="BC664" t="s">
        <v>74</v>
      </c>
      <c r="BD664" t="s">
        <v>74</v>
      </c>
      <c r="BE664" t="s">
        <v>13159</v>
      </c>
      <c r="BF664" t="str">
        <f>HYPERLINK("http://dx.doi.org/10.1029/2019JC015736","http://dx.doi.org/10.1029/2019JC015736")</f>
        <v>http://dx.doi.org/10.1029/2019JC015736</v>
      </c>
      <c r="BG664" t="s">
        <v>74</v>
      </c>
      <c r="BH664" t="s">
        <v>74</v>
      </c>
      <c r="BI664">
        <v>19</v>
      </c>
      <c r="BJ664" t="s">
        <v>213</v>
      </c>
      <c r="BK664" t="s">
        <v>102</v>
      </c>
      <c r="BL664" t="s">
        <v>213</v>
      </c>
      <c r="BM664" t="s">
        <v>13160</v>
      </c>
      <c r="BN664" t="s">
        <v>74</v>
      </c>
      <c r="BO664" t="s">
        <v>294</v>
      </c>
      <c r="BP664" t="s">
        <v>74</v>
      </c>
      <c r="BQ664" t="s">
        <v>74</v>
      </c>
      <c r="BR664" t="s">
        <v>106</v>
      </c>
      <c r="BS664" t="s">
        <v>13161</v>
      </c>
      <c r="BT664" t="str">
        <f>HYPERLINK("https%3A%2F%2Fwww.webofscience.com%2Fwos%2Fwoscc%2Ffull-record%2FWOS:000548601000034","View Full Record in Web of Science")</f>
        <v>View Full Record in Web of Science</v>
      </c>
    </row>
    <row r="665" spans="1:72" x14ac:dyDescent="0.15">
      <c r="A665" t="s">
        <v>72</v>
      </c>
      <c r="B665" t="s">
        <v>13162</v>
      </c>
      <c r="C665" t="s">
        <v>74</v>
      </c>
      <c r="D665" t="s">
        <v>74</v>
      </c>
      <c r="E665" t="s">
        <v>74</v>
      </c>
      <c r="F665" t="s">
        <v>13163</v>
      </c>
      <c r="G665" t="s">
        <v>74</v>
      </c>
      <c r="H665" t="s">
        <v>74</v>
      </c>
      <c r="I665" t="s">
        <v>13164</v>
      </c>
      <c r="J665" t="s">
        <v>194</v>
      </c>
      <c r="K665" t="s">
        <v>74</v>
      </c>
      <c r="L665" t="s">
        <v>74</v>
      </c>
      <c r="M665" t="s">
        <v>78</v>
      </c>
      <c r="N665" t="s">
        <v>79</v>
      </c>
      <c r="O665" t="s">
        <v>74</v>
      </c>
      <c r="P665" t="s">
        <v>74</v>
      </c>
      <c r="Q665" t="s">
        <v>74</v>
      </c>
      <c r="R665" t="s">
        <v>74</v>
      </c>
      <c r="S665" t="s">
        <v>74</v>
      </c>
      <c r="T665" t="s">
        <v>74</v>
      </c>
      <c r="U665" t="s">
        <v>13165</v>
      </c>
      <c r="V665" t="s">
        <v>13166</v>
      </c>
      <c r="W665" t="s">
        <v>13167</v>
      </c>
      <c r="X665" t="s">
        <v>13168</v>
      </c>
      <c r="Y665" t="s">
        <v>13169</v>
      </c>
      <c r="Z665" t="s">
        <v>13170</v>
      </c>
      <c r="AA665" t="s">
        <v>74</v>
      </c>
      <c r="AB665" t="s">
        <v>74</v>
      </c>
      <c r="AC665" t="s">
        <v>13171</v>
      </c>
      <c r="AD665" t="s">
        <v>2701</v>
      </c>
      <c r="AE665" t="s">
        <v>13172</v>
      </c>
      <c r="AF665" t="s">
        <v>74</v>
      </c>
      <c r="AG665">
        <v>64</v>
      </c>
      <c r="AH665">
        <v>4</v>
      </c>
      <c r="AI665">
        <v>4</v>
      </c>
      <c r="AJ665">
        <v>0</v>
      </c>
      <c r="AK665">
        <v>8</v>
      </c>
      <c r="AL665" t="s">
        <v>151</v>
      </c>
      <c r="AM665" t="s">
        <v>152</v>
      </c>
      <c r="AN665" t="s">
        <v>153</v>
      </c>
      <c r="AO665" t="s">
        <v>207</v>
      </c>
      <c r="AP665" t="s">
        <v>208</v>
      </c>
      <c r="AQ665" t="s">
        <v>74</v>
      </c>
      <c r="AR665" t="s">
        <v>209</v>
      </c>
      <c r="AS665" t="s">
        <v>210</v>
      </c>
      <c r="AT665" t="s">
        <v>11250</v>
      </c>
      <c r="AU665">
        <v>2020</v>
      </c>
      <c r="AV665">
        <v>125</v>
      </c>
      <c r="AW665">
        <v>5</v>
      </c>
      <c r="AX665" t="s">
        <v>74</v>
      </c>
      <c r="AY665" t="s">
        <v>74</v>
      </c>
      <c r="AZ665" t="s">
        <v>74</v>
      </c>
      <c r="BA665" t="s">
        <v>74</v>
      </c>
      <c r="BB665" t="s">
        <v>74</v>
      </c>
      <c r="BC665" t="s">
        <v>74</v>
      </c>
      <c r="BD665" t="s">
        <v>74</v>
      </c>
      <c r="BE665" t="s">
        <v>13173</v>
      </c>
      <c r="BF665" t="str">
        <f>HYPERLINK("http://dx.doi.org/10.1029/2019JC015771","http://dx.doi.org/10.1029/2019JC015771")</f>
        <v>http://dx.doi.org/10.1029/2019JC015771</v>
      </c>
      <c r="BG665" t="s">
        <v>74</v>
      </c>
      <c r="BH665" t="s">
        <v>74</v>
      </c>
      <c r="BI665">
        <v>21</v>
      </c>
      <c r="BJ665" t="s">
        <v>213</v>
      </c>
      <c r="BK665" t="s">
        <v>102</v>
      </c>
      <c r="BL665" t="s">
        <v>213</v>
      </c>
      <c r="BM665" t="s">
        <v>13160</v>
      </c>
      <c r="BN665" t="s">
        <v>74</v>
      </c>
      <c r="BO665" t="s">
        <v>74</v>
      </c>
      <c r="BP665" t="s">
        <v>74</v>
      </c>
      <c r="BQ665" t="s">
        <v>74</v>
      </c>
      <c r="BR665" t="s">
        <v>106</v>
      </c>
      <c r="BS665" t="s">
        <v>13174</v>
      </c>
      <c r="BT665" t="str">
        <f>HYPERLINK("https%3A%2F%2Fwww.webofscience.com%2Fwos%2Fwoscc%2Ffull-record%2FWOS:000548601000006","View Full Record in Web of Science")</f>
        <v>View Full Record in Web of Science</v>
      </c>
    </row>
    <row r="666" spans="1:72" x14ac:dyDescent="0.15">
      <c r="A666" t="s">
        <v>72</v>
      </c>
      <c r="B666" t="s">
        <v>13162</v>
      </c>
      <c r="C666" t="s">
        <v>74</v>
      </c>
      <c r="D666" t="s">
        <v>74</v>
      </c>
      <c r="E666" t="s">
        <v>74</v>
      </c>
      <c r="F666" t="s">
        <v>13163</v>
      </c>
      <c r="G666" t="s">
        <v>74</v>
      </c>
      <c r="H666" t="s">
        <v>74</v>
      </c>
      <c r="I666" t="s">
        <v>13175</v>
      </c>
      <c r="J666" t="s">
        <v>194</v>
      </c>
      <c r="K666" t="s">
        <v>74</v>
      </c>
      <c r="L666" t="s">
        <v>74</v>
      </c>
      <c r="M666" t="s">
        <v>78</v>
      </c>
      <c r="N666" t="s">
        <v>79</v>
      </c>
      <c r="O666" t="s">
        <v>74</v>
      </c>
      <c r="P666" t="s">
        <v>74</v>
      </c>
      <c r="Q666" t="s">
        <v>74</v>
      </c>
      <c r="R666" t="s">
        <v>74</v>
      </c>
      <c r="S666" t="s">
        <v>74</v>
      </c>
      <c r="T666" t="s">
        <v>74</v>
      </c>
      <c r="U666" t="s">
        <v>13176</v>
      </c>
      <c r="V666" t="s">
        <v>13177</v>
      </c>
      <c r="W666" t="s">
        <v>13167</v>
      </c>
      <c r="X666" t="s">
        <v>13168</v>
      </c>
      <c r="Y666" t="s">
        <v>13169</v>
      </c>
      <c r="Z666" t="s">
        <v>13170</v>
      </c>
      <c r="AA666" t="s">
        <v>74</v>
      </c>
      <c r="AB666" t="s">
        <v>74</v>
      </c>
      <c r="AC666" t="s">
        <v>13171</v>
      </c>
      <c r="AD666" t="s">
        <v>2701</v>
      </c>
      <c r="AE666" t="s">
        <v>13178</v>
      </c>
      <c r="AF666" t="s">
        <v>74</v>
      </c>
      <c r="AG666">
        <v>53</v>
      </c>
      <c r="AH666">
        <v>4</v>
      </c>
      <c r="AI666">
        <v>4</v>
      </c>
      <c r="AJ666">
        <v>0</v>
      </c>
      <c r="AK666">
        <v>2</v>
      </c>
      <c r="AL666" t="s">
        <v>151</v>
      </c>
      <c r="AM666" t="s">
        <v>152</v>
      </c>
      <c r="AN666" t="s">
        <v>153</v>
      </c>
      <c r="AO666" t="s">
        <v>207</v>
      </c>
      <c r="AP666" t="s">
        <v>208</v>
      </c>
      <c r="AQ666" t="s">
        <v>74</v>
      </c>
      <c r="AR666" t="s">
        <v>209</v>
      </c>
      <c r="AS666" t="s">
        <v>210</v>
      </c>
      <c r="AT666" t="s">
        <v>11250</v>
      </c>
      <c r="AU666">
        <v>2020</v>
      </c>
      <c r="AV666">
        <v>125</v>
      </c>
      <c r="AW666">
        <v>5</v>
      </c>
      <c r="AX666" t="s">
        <v>74</v>
      </c>
      <c r="AY666" t="s">
        <v>74</v>
      </c>
      <c r="AZ666" t="s">
        <v>74</v>
      </c>
      <c r="BA666" t="s">
        <v>74</v>
      </c>
      <c r="BB666" t="s">
        <v>74</v>
      </c>
      <c r="BC666" t="s">
        <v>74</v>
      </c>
      <c r="BD666" t="s">
        <v>13179</v>
      </c>
      <c r="BE666" t="s">
        <v>13180</v>
      </c>
      <c r="BF666" t="str">
        <f>HYPERLINK("http://dx.doi.org/10.1029/2019JC015770","http://dx.doi.org/10.1029/2019JC015770")</f>
        <v>http://dx.doi.org/10.1029/2019JC015770</v>
      </c>
      <c r="BG666" t="s">
        <v>74</v>
      </c>
      <c r="BH666" t="s">
        <v>74</v>
      </c>
      <c r="BI666">
        <v>19</v>
      </c>
      <c r="BJ666" t="s">
        <v>213</v>
      </c>
      <c r="BK666" t="s">
        <v>102</v>
      </c>
      <c r="BL666" t="s">
        <v>213</v>
      </c>
      <c r="BM666" t="s">
        <v>13160</v>
      </c>
      <c r="BN666" t="s">
        <v>74</v>
      </c>
      <c r="BO666" t="s">
        <v>74</v>
      </c>
      <c r="BP666" t="s">
        <v>74</v>
      </c>
      <c r="BQ666" t="s">
        <v>74</v>
      </c>
      <c r="BR666" t="s">
        <v>106</v>
      </c>
      <c r="BS666" t="s">
        <v>13181</v>
      </c>
      <c r="BT666" t="str">
        <f>HYPERLINK("https%3A%2F%2Fwww.webofscience.com%2Fwos%2Fwoscc%2Ffull-record%2FWOS:000548601000005","View Full Record in Web of Science")</f>
        <v>View Full Record in Web of Science</v>
      </c>
    </row>
    <row r="667" spans="1:72" x14ac:dyDescent="0.15">
      <c r="A667" t="s">
        <v>72</v>
      </c>
      <c r="B667" t="s">
        <v>13182</v>
      </c>
      <c r="C667" t="s">
        <v>74</v>
      </c>
      <c r="D667" t="s">
        <v>74</v>
      </c>
      <c r="E667" t="s">
        <v>74</v>
      </c>
      <c r="F667" t="s">
        <v>13183</v>
      </c>
      <c r="G667" t="s">
        <v>74</v>
      </c>
      <c r="H667" t="s">
        <v>74</v>
      </c>
      <c r="I667" t="s">
        <v>13184</v>
      </c>
      <c r="J667" t="s">
        <v>13185</v>
      </c>
      <c r="K667" t="s">
        <v>74</v>
      </c>
      <c r="L667" t="s">
        <v>74</v>
      </c>
      <c r="M667" t="s">
        <v>78</v>
      </c>
      <c r="N667" t="s">
        <v>79</v>
      </c>
      <c r="O667" t="s">
        <v>74</v>
      </c>
      <c r="P667" t="s">
        <v>74</v>
      </c>
      <c r="Q667" t="s">
        <v>74</v>
      </c>
      <c r="R667" t="s">
        <v>74</v>
      </c>
      <c r="S667" t="s">
        <v>74</v>
      </c>
      <c r="T667" t="s">
        <v>13186</v>
      </c>
      <c r="U667" t="s">
        <v>13187</v>
      </c>
      <c r="V667" t="s">
        <v>13188</v>
      </c>
      <c r="W667" t="s">
        <v>13189</v>
      </c>
      <c r="X667" t="s">
        <v>13190</v>
      </c>
      <c r="Y667" t="s">
        <v>13191</v>
      </c>
      <c r="Z667" t="s">
        <v>13192</v>
      </c>
      <c r="AA667" t="s">
        <v>13193</v>
      </c>
      <c r="AB667" t="s">
        <v>13194</v>
      </c>
      <c r="AC667" t="s">
        <v>13195</v>
      </c>
      <c r="AD667" t="s">
        <v>13196</v>
      </c>
      <c r="AE667" t="s">
        <v>13197</v>
      </c>
      <c r="AF667" t="s">
        <v>74</v>
      </c>
      <c r="AG667">
        <v>29</v>
      </c>
      <c r="AH667">
        <v>0</v>
      </c>
      <c r="AI667">
        <v>0</v>
      </c>
      <c r="AJ667">
        <v>0</v>
      </c>
      <c r="AK667">
        <v>1</v>
      </c>
      <c r="AL667" t="s">
        <v>13094</v>
      </c>
      <c r="AM667" t="s">
        <v>399</v>
      </c>
      <c r="AN667" t="s">
        <v>13095</v>
      </c>
      <c r="AO667" t="s">
        <v>13198</v>
      </c>
      <c r="AP667" t="s">
        <v>13199</v>
      </c>
      <c r="AQ667" t="s">
        <v>74</v>
      </c>
      <c r="AR667" t="s">
        <v>13200</v>
      </c>
      <c r="AS667" t="s">
        <v>13201</v>
      </c>
      <c r="AT667" t="s">
        <v>11250</v>
      </c>
      <c r="AU667">
        <v>2020</v>
      </c>
      <c r="AV667">
        <v>56</v>
      </c>
      <c r="AW667">
        <v>3</v>
      </c>
      <c r="AX667" t="s">
        <v>74</v>
      </c>
      <c r="AY667" t="s">
        <v>74</v>
      </c>
      <c r="AZ667" t="s">
        <v>74</v>
      </c>
      <c r="BA667" t="s">
        <v>74</v>
      </c>
      <c r="BB667">
        <v>268</v>
      </c>
      <c r="BC667">
        <v>278</v>
      </c>
      <c r="BD667" t="s">
        <v>74</v>
      </c>
      <c r="BE667" t="s">
        <v>13202</v>
      </c>
      <c r="BF667" t="str">
        <f>HYPERLINK("http://dx.doi.org/10.1134/S000143382003007X","http://dx.doi.org/10.1134/S000143382003007X")</f>
        <v>http://dx.doi.org/10.1134/S000143382003007X</v>
      </c>
      <c r="BG667" t="s">
        <v>74</v>
      </c>
      <c r="BH667" t="s">
        <v>74</v>
      </c>
      <c r="BI667">
        <v>11</v>
      </c>
      <c r="BJ667" t="s">
        <v>7297</v>
      </c>
      <c r="BK667" t="s">
        <v>102</v>
      </c>
      <c r="BL667" t="s">
        <v>7297</v>
      </c>
      <c r="BM667" t="s">
        <v>13203</v>
      </c>
      <c r="BN667" t="s">
        <v>74</v>
      </c>
      <c r="BO667" t="s">
        <v>74</v>
      </c>
      <c r="BP667" t="s">
        <v>74</v>
      </c>
      <c r="BQ667" t="s">
        <v>74</v>
      </c>
      <c r="BR667" t="s">
        <v>106</v>
      </c>
      <c r="BS667" t="s">
        <v>13204</v>
      </c>
      <c r="BT667" t="str">
        <f>HYPERLINK("https%3A%2F%2Fwww.webofscience.com%2Fwos%2Fwoscc%2Ffull-record%2FWOS:000546314700006","View Full Record in Web of Science")</f>
        <v>View Full Record in Web of Science</v>
      </c>
    </row>
    <row r="668" spans="1:72" x14ac:dyDescent="0.15">
      <c r="A668" t="s">
        <v>72</v>
      </c>
      <c r="B668" t="s">
        <v>13205</v>
      </c>
      <c r="C668" t="s">
        <v>74</v>
      </c>
      <c r="D668" t="s">
        <v>74</v>
      </c>
      <c r="E668" t="s">
        <v>74</v>
      </c>
      <c r="F668" t="s">
        <v>13206</v>
      </c>
      <c r="G668" t="s">
        <v>74</v>
      </c>
      <c r="H668" t="s">
        <v>74</v>
      </c>
      <c r="I668" t="s">
        <v>13207</v>
      </c>
      <c r="J668" t="s">
        <v>13208</v>
      </c>
      <c r="K668" t="s">
        <v>74</v>
      </c>
      <c r="L668" t="s">
        <v>74</v>
      </c>
      <c r="M668" t="s">
        <v>78</v>
      </c>
      <c r="N668" t="s">
        <v>79</v>
      </c>
      <c r="O668" t="s">
        <v>74</v>
      </c>
      <c r="P668" t="s">
        <v>74</v>
      </c>
      <c r="Q668" t="s">
        <v>74</v>
      </c>
      <c r="R668" t="s">
        <v>74</v>
      </c>
      <c r="S668" t="s">
        <v>74</v>
      </c>
      <c r="T668" t="s">
        <v>74</v>
      </c>
      <c r="U668" t="s">
        <v>13209</v>
      </c>
      <c r="V668" t="s">
        <v>13210</v>
      </c>
      <c r="W668" t="s">
        <v>13211</v>
      </c>
      <c r="X668" t="s">
        <v>13212</v>
      </c>
      <c r="Y668" t="s">
        <v>13213</v>
      </c>
      <c r="Z668" t="s">
        <v>13214</v>
      </c>
      <c r="AA668" t="s">
        <v>13215</v>
      </c>
      <c r="AB668" t="s">
        <v>13216</v>
      </c>
      <c r="AC668" t="s">
        <v>13217</v>
      </c>
      <c r="AD668" t="s">
        <v>13218</v>
      </c>
      <c r="AE668" t="s">
        <v>13219</v>
      </c>
      <c r="AF668" t="s">
        <v>74</v>
      </c>
      <c r="AG668">
        <v>32</v>
      </c>
      <c r="AH668">
        <v>2</v>
      </c>
      <c r="AI668">
        <v>2</v>
      </c>
      <c r="AJ668">
        <v>2</v>
      </c>
      <c r="AK668">
        <v>6</v>
      </c>
      <c r="AL668" t="s">
        <v>4741</v>
      </c>
      <c r="AM668" t="s">
        <v>4742</v>
      </c>
      <c r="AN668" t="s">
        <v>4743</v>
      </c>
      <c r="AO668" t="s">
        <v>13220</v>
      </c>
      <c r="AP668" t="s">
        <v>13221</v>
      </c>
      <c r="AQ668" t="s">
        <v>74</v>
      </c>
      <c r="AR668" t="s">
        <v>13222</v>
      </c>
      <c r="AS668" t="s">
        <v>13223</v>
      </c>
      <c r="AT668" t="s">
        <v>13224</v>
      </c>
      <c r="AU668">
        <v>2020</v>
      </c>
      <c r="AV668">
        <v>103</v>
      </c>
      <c r="AW668">
        <v>3</v>
      </c>
      <c r="AX668" t="s">
        <v>74</v>
      </c>
      <c r="AY668" t="s">
        <v>74</v>
      </c>
      <c r="AZ668" t="s">
        <v>74</v>
      </c>
      <c r="BA668" t="s">
        <v>74</v>
      </c>
      <c r="BB668">
        <v>784</v>
      </c>
      <c r="BC668">
        <v>791</v>
      </c>
      <c r="BD668" t="s">
        <v>74</v>
      </c>
      <c r="BE668" t="s">
        <v>13225</v>
      </c>
      <c r="BF668" t="str">
        <f>HYPERLINK("http://dx.doi.org/10.1093/jaocint/qsz029","http://dx.doi.org/10.1093/jaocint/qsz029")</f>
        <v>http://dx.doi.org/10.1093/jaocint/qsz029</v>
      </c>
      <c r="BG668" t="s">
        <v>74</v>
      </c>
      <c r="BH668" t="s">
        <v>74</v>
      </c>
      <c r="BI668">
        <v>8</v>
      </c>
      <c r="BJ668" t="s">
        <v>13226</v>
      </c>
      <c r="BK668" t="s">
        <v>102</v>
      </c>
      <c r="BL668" t="s">
        <v>11665</v>
      </c>
      <c r="BM668" t="s">
        <v>13227</v>
      </c>
      <c r="BN668">
        <v>33241374</v>
      </c>
      <c r="BO668" t="s">
        <v>74</v>
      </c>
      <c r="BP668" t="s">
        <v>74</v>
      </c>
      <c r="BQ668" t="s">
        <v>74</v>
      </c>
      <c r="BR668" t="s">
        <v>106</v>
      </c>
      <c r="BS668" t="s">
        <v>13228</v>
      </c>
      <c r="BT668" t="str">
        <f>HYPERLINK("https%3A%2F%2Fwww.webofscience.com%2Fwos%2Fwoscc%2Ffull-record%2FWOS:000545871500021","View Full Record in Web of Science")</f>
        <v>View Full Record in Web of Science</v>
      </c>
    </row>
    <row r="669" spans="1:72" x14ac:dyDescent="0.15">
      <c r="A669" t="s">
        <v>72</v>
      </c>
      <c r="B669" t="s">
        <v>13229</v>
      </c>
      <c r="C669" t="s">
        <v>74</v>
      </c>
      <c r="D669" t="s">
        <v>74</v>
      </c>
      <c r="E669" t="s">
        <v>74</v>
      </c>
      <c r="F669" t="s">
        <v>13230</v>
      </c>
      <c r="G669" t="s">
        <v>74</v>
      </c>
      <c r="H669" t="s">
        <v>74</v>
      </c>
      <c r="I669" t="s">
        <v>13231</v>
      </c>
      <c r="J669" t="s">
        <v>4343</v>
      </c>
      <c r="K669" t="s">
        <v>74</v>
      </c>
      <c r="L669" t="s">
        <v>74</v>
      </c>
      <c r="M669" t="s">
        <v>78</v>
      </c>
      <c r="N669" t="s">
        <v>79</v>
      </c>
      <c r="O669" t="s">
        <v>74</v>
      </c>
      <c r="P669" t="s">
        <v>74</v>
      </c>
      <c r="Q669" t="s">
        <v>74</v>
      </c>
      <c r="R669" t="s">
        <v>74</v>
      </c>
      <c r="S669" t="s">
        <v>74</v>
      </c>
      <c r="T669" t="s">
        <v>13232</v>
      </c>
      <c r="U669" t="s">
        <v>13233</v>
      </c>
      <c r="V669" t="s">
        <v>13234</v>
      </c>
      <c r="W669" t="s">
        <v>13235</v>
      </c>
      <c r="X669" t="s">
        <v>13236</v>
      </c>
      <c r="Y669" t="s">
        <v>13237</v>
      </c>
      <c r="Z669" t="s">
        <v>13238</v>
      </c>
      <c r="AA669" t="s">
        <v>13239</v>
      </c>
      <c r="AB669" t="s">
        <v>13240</v>
      </c>
      <c r="AC669" t="s">
        <v>13241</v>
      </c>
      <c r="AD669" t="s">
        <v>13242</v>
      </c>
      <c r="AE669" t="s">
        <v>13243</v>
      </c>
      <c r="AF669" t="s">
        <v>74</v>
      </c>
      <c r="AG669">
        <v>65</v>
      </c>
      <c r="AH669">
        <v>7</v>
      </c>
      <c r="AI669">
        <v>9</v>
      </c>
      <c r="AJ669">
        <v>5</v>
      </c>
      <c r="AK669">
        <v>22</v>
      </c>
      <c r="AL669" t="s">
        <v>4283</v>
      </c>
      <c r="AM669" t="s">
        <v>4284</v>
      </c>
      <c r="AN669" t="s">
        <v>4285</v>
      </c>
      <c r="AO669" t="s">
        <v>74</v>
      </c>
      <c r="AP669" t="s">
        <v>4356</v>
      </c>
      <c r="AQ669" t="s">
        <v>74</v>
      </c>
      <c r="AR669" t="s">
        <v>4357</v>
      </c>
      <c r="AS669" t="s">
        <v>4358</v>
      </c>
      <c r="AT669" t="s">
        <v>11250</v>
      </c>
      <c r="AU669">
        <v>2020</v>
      </c>
      <c r="AV669">
        <v>12</v>
      </c>
      <c r="AW669">
        <v>9</v>
      </c>
      <c r="AX669" t="s">
        <v>74</v>
      </c>
      <c r="AY669" t="s">
        <v>74</v>
      </c>
      <c r="AZ669" t="s">
        <v>74</v>
      </c>
      <c r="BA669" t="s">
        <v>74</v>
      </c>
      <c r="BB669" t="s">
        <v>74</v>
      </c>
      <c r="BC669" t="s">
        <v>74</v>
      </c>
      <c r="BD669">
        <v>1474</v>
      </c>
      <c r="BE669" t="s">
        <v>13244</v>
      </c>
      <c r="BF669" t="str">
        <f>HYPERLINK("http://dx.doi.org/10.3390/rs12091474","http://dx.doi.org/10.3390/rs12091474")</f>
        <v>http://dx.doi.org/10.3390/rs12091474</v>
      </c>
      <c r="BG669" t="s">
        <v>74</v>
      </c>
      <c r="BH669" t="s">
        <v>74</v>
      </c>
      <c r="BI669">
        <v>29</v>
      </c>
      <c r="BJ669" t="s">
        <v>4360</v>
      </c>
      <c r="BK669" t="s">
        <v>102</v>
      </c>
      <c r="BL669" t="s">
        <v>4361</v>
      </c>
      <c r="BM669" t="s">
        <v>13245</v>
      </c>
      <c r="BN669" t="s">
        <v>74</v>
      </c>
      <c r="BO669" t="s">
        <v>105</v>
      </c>
      <c r="BP669" t="s">
        <v>74</v>
      </c>
      <c r="BQ669" t="s">
        <v>74</v>
      </c>
      <c r="BR669" t="s">
        <v>106</v>
      </c>
      <c r="BS669" t="s">
        <v>13246</v>
      </c>
      <c r="BT669" t="str">
        <f>HYPERLINK("https%3A%2F%2Fwww.webofscience.com%2Fwos%2Fwoscc%2Ffull-record%2FWOS:000543394000121","View Full Record in Web of Science")</f>
        <v>View Full Record in Web of Science</v>
      </c>
    </row>
    <row r="670" spans="1:72" x14ac:dyDescent="0.15">
      <c r="A670" t="s">
        <v>72</v>
      </c>
      <c r="B670" t="s">
        <v>13247</v>
      </c>
      <c r="C670" t="s">
        <v>74</v>
      </c>
      <c r="D670" t="s">
        <v>74</v>
      </c>
      <c r="E670" t="s">
        <v>74</v>
      </c>
      <c r="F670" t="s">
        <v>13248</v>
      </c>
      <c r="G670" t="s">
        <v>74</v>
      </c>
      <c r="H670" t="s">
        <v>74</v>
      </c>
      <c r="I670" t="s">
        <v>13249</v>
      </c>
      <c r="J670" t="s">
        <v>13250</v>
      </c>
      <c r="K670" t="s">
        <v>74</v>
      </c>
      <c r="L670" t="s">
        <v>74</v>
      </c>
      <c r="M670" t="s">
        <v>78</v>
      </c>
      <c r="N670" t="s">
        <v>79</v>
      </c>
      <c r="O670" t="s">
        <v>74</v>
      </c>
      <c r="P670" t="s">
        <v>74</v>
      </c>
      <c r="Q670" t="s">
        <v>74</v>
      </c>
      <c r="R670" t="s">
        <v>74</v>
      </c>
      <c r="S670" t="s">
        <v>74</v>
      </c>
      <c r="T670" t="s">
        <v>13251</v>
      </c>
      <c r="U670" t="s">
        <v>13252</v>
      </c>
      <c r="V670" t="s">
        <v>13253</v>
      </c>
      <c r="W670" t="s">
        <v>13254</v>
      </c>
      <c r="X670" t="s">
        <v>13255</v>
      </c>
      <c r="Y670" t="s">
        <v>13256</v>
      </c>
      <c r="Z670" t="s">
        <v>13257</v>
      </c>
      <c r="AA670" t="s">
        <v>13258</v>
      </c>
      <c r="AB670" t="s">
        <v>13259</v>
      </c>
      <c r="AC670" t="s">
        <v>13260</v>
      </c>
      <c r="AD670" t="s">
        <v>13261</v>
      </c>
      <c r="AE670" t="s">
        <v>13262</v>
      </c>
      <c r="AF670" t="s">
        <v>74</v>
      </c>
      <c r="AG670">
        <v>89</v>
      </c>
      <c r="AH670">
        <v>8</v>
      </c>
      <c r="AI670">
        <v>9</v>
      </c>
      <c r="AJ670">
        <v>0</v>
      </c>
      <c r="AK670">
        <v>6</v>
      </c>
      <c r="AL670" t="s">
        <v>4741</v>
      </c>
      <c r="AM670" t="s">
        <v>4742</v>
      </c>
      <c r="AN670" t="s">
        <v>4743</v>
      </c>
      <c r="AO670" t="s">
        <v>13263</v>
      </c>
      <c r="AP670" t="s">
        <v>13264</v>
      </c>
      <c r="AQ670" t="s">
        <v>74</v>
      </c>
      <c r="AR670" t="s">
        <v>13265</v>
      </c>
      <c r="AS670" t="s">
        <v>13266</v>
      </c>
      <c r="AT670" t="s">
        <v>13224</v>
      </c>
      <c r="AU670">
        <v>2020</v>
      </c>
      <c r="AV670">
        <v>31</v>
      </c>
      <c r="AW670">
        <v>3</v>
      </c>
      <c r="AX670" t="s">
        <v>74</v>
      </c>
      <c r="AY670" t="s">
        <v>74</v>
      </c>
      <c r="AZ670" t="s">
        <v>74</v>
      </c>
      <c r="BA670" t="s">
        <v>74</v>
      </c>
      <c r="BB670">
        <v>719</v>
      </c>
      <c r="BC670">
        <v>730</v>
      </c>
      <c r="BD670" t="s">
        <v>74</v>
      </c>
      <c r="BE670" t="s">
        <v>13267</v>
      </c>
      <c r="BF670" t="str">
        <f>HYPERLINK("http://dx.doi.org/10.1093/beheco/araa018","http://dx.doi.org/10.1093/beheco/araa018")</f>
        <v>http://dx.doi.org/10.1093/beheco/araa018</v>
      </c>
      <c r="BG670" t="s">
        <v>74</v>
      </c>
      <c r="BH670" t="s">
        <v>74</v>
      </c>
      <c r="BI670">
        <v>12</v>
      </c>
      <c r="BJ670" t="s">
        <v>13268</v>
      </c>
      <c r="BK670" t="s">
        <v>925</v>
      </c>
      <c r="BL670" t="s">
        <v>13269</v>
      </c>
      <c r="BM670" t="s">
        <v>13270</v>
      </c>
      <c r="BN670">
        <v>32595270</v>
      </c>
      <c r="BO670" t="s">
        <v>560</v>
      </c>
      <c r="BP670" t="s">
        <v>74</v>
      </c>
      <c r="BQ670" t="s">
        <v>74</v>
      </c>
      <c r="BR670" t="s">
        <v>106</v>
      </c>
      <c r="BS670" t="s">
        <v>13271</v>
      </c>
      <c r="BT670" t="str">
        <f>HYPERLINK("https%3A%2F%2Fwww.webofscience.com%2Fwos%2Fwoscc%2Ffull-record%2FWOS:000544153300013","View Full Record in Web of Science")</f>
        <v>View Full Record in Web of Science</v>
      </c>
    </row>
    <row r="671" spans="1:72" x14ac:dyDescent="0.15">
      <c r="A671" t="s">
        <v>72</v>
      </c>
      <c r="B671" t="s">
        <v>13272</v>
      </c>
      <c r="C671" t="s">
        <v>74</v>
      </c>
      <c r="D671" t="s">
        <v>74</v>
      </c>
      <c r="E671" t="s">
        <v>74</v>
      </c>
      <c r="F671" t="s">
        <v>13273</v>
      </c>
      <c r="G671" t="s">
        <v>74</v>
      </c>
      <c r="H671" t="s">
        <v>74</v>
      </c>
      <c r="I671" t="s">
        <v>13274</v>
      </c>
      <c r="J671" t="s">
        <v>4343</v>
      </c>
      <c r="K671" t="s">
        <v>74</v>
      </c>
      <c r="L671" t="s">
        <v>74</v>
      </c>
      <c r="M671" t="s">
        <v>78</v>
      </c>
      <c r="N671" t="s">
        <v>79</v>
      </c>
      <c r="O671" t="s">
        <v>74</v>
      </c>
      <c r="P671" t="s">
        <v>74</v>
      </c>
      <c r="Q671" t="s">
        <v>74</v>
      </c>
      <c r="R671" t="s">
        <v>74</v>
      </c>
      <c r="S671" t="s">
        <v>74</v>
      </c>
      <c r="T671" t="s">
        <v>13275</v>
      </c>
      <c r="U671" t="s">
        <v>13276</v>
      </c>
      <c r="V671" t="s">
        <v>13277</v>
      </c>
      <c r="W671" t="s">
        <v>13278</v>
      </c>
      <c r="X671" t="s">
        <v>11442</v>
      </c>
      <c r="Y671" t="s">
        <v>13279</v>
      </c>
      <c r="Z671" t="s">
        <v>13280</v>
      </c>
      <c r="AA671" t="s">
        <v>13281</v>
      </c>
      <c r="AB671" t="s">
        <v>74</v>
      </c>
      <c r="AC671" t="s">
        <v>13282</v>
      </c>
      <c r="AD671" t="s">
        <v>13283</v>
      </c>
      <c r="AE671" t="s">
        <v>13284</v>
      </c>
      <c r="AF671" t="s">
        <v>74</v>
      </c>
      <c r="AG671">
        <v>50</v>
      </c>
      <c r="AH671">
        <v>29</v>
      </c>
      <c r="AI671">
        <v>31</v>
      </c>
      <c r="AJ671">
        <v>5</v>
      </c>
      <c r="AK671">
        <v>50</v>
      </c>
      <c r="AL671" t="s">
        <v>4283</v>
      </c>
      <c r="AM671" t="s">
        <v>4284</v>
      </c>
      <c r="AN671" t="s">
        <v>4285</v>
      </c>
      <c r="AO671" t="s">
        <v>74</v>
      </c>
      <c r="AP671" t="s">
        <v>4356</v>
      </c>
      <c r="AQ671" t="s">
        <v>74</v>
      </c>
      <c r="AR671" t="s">
        <v>4357</v>
      </c>
      <c r="AS671" t="s">
        <v>4358</v>
      </c>
      <c r="AT671" t="s">
        <v>11250</v>
      </c>
      <c r="AU671">
        <v>2020</v>
      </c>
      <c r="AV671">
        <v>12</v>
      </c>
      <c r="AW671">
        <v>10</v>
      </c>
      <c r="AX671" t="s">
        <v>74</v>
      </c>
      <c r="AY671" t="s">
        <v>74</v>
      </c>
      <c r="AZ671" t="s">
        <v>74</v>
      </c>
      <c r="BA671" t="s">
        <v>74</v>
      </c>
      <c r="BB671" t="s">
        <v>74</v>
      </c>
      <c r="BC671" t="s">
        <v>74</v>
      </c>
      <c r="BD671">
        <v>1684</v>
      </c>
      <c r="BE671" t="s">
        <v>13285</v>
      </c>
      <c r="BF671" t="str">
        <f>HYPERLINK("http://dx.doi.org/10.3390/rs12101684","http://dx.doi.org/10.3390/rs12101684")</f>
        <v>http://dx.doi.org/10.3390/rs12101684</v>
      </c>
      <c r="BG671" t="s">
        <v>74</v>
      </c>
      <c r="BH671" t="s">
        <v>74</v>
      </c>
      <c r="BI671">
        <v>16</v>
      </c>
      <c r="BJ671" t="s">
        <v>4360</v>
      </c>
      <c r="BK671" t="s">
        <v>102</v>
      </c>
      <c r="BL671" t="s">
        <v>4361</v>
      </c>
      <c r="BM671" t="s">
        <v>13286</v>
      </c>
      <c r="BN671" t="s">
        <v>74</v>
      </c>
      <c r="BO671" t="s">
        <v>105</v>
      </c>
      <c r="BP671" t="s">
        <v>74</v>
      </c>
      <c r="BQ671" t="s">
        <v>74</v>
      </c>
      <c r="BR671" t="s">
        <v>106</v>
      </c>
      <c r="BS671" t="s">
        <v>13287</v>
      </c>
      <c r="BT671" t="str">
        <f>HYPERLINK("https%3A%2F%2Fwww.webofscience.com%2Fwos%2Fwoscc%2Ffull-record%2FWOS:000543394800151","View Full Record in Web of Science")</f>
        <v>View Full Record in Web of Science</v>
      </c>
    </row>
    <row r="672" spans="1:72" x14ac:dyDescent="0.15">
      <c r="A672" t="s">
        <v>72</v>
      </c>
      <c r="B672" t="s">
        <v>13288</v>
      </c>
      <c r="C672" t="s">
        <v>74</v>
      </c>
      <c r="D672" t="s">
        <v>74</v>
      </c>
      <c r="E672" t="s">
        <v>74</v>
      </c>
      <c r="F672" t="s">
        <v>13289</v>
      </c>
      <c r="G672" t="s">
        <v>74</v>
      </c>
      <c r="H672" t="s">
        <v>74</v>
      </c>
      <c r="I672" t="s">
        <v>13290</v>
      </c>
      <c r="J672" t="s">
        <v>13291</v>
      </c>
      <c r="K672" t="s">
        <v>74</v>
      </c>
      <c r="L672" t="s">
        <v>74</v>
      </c>
      <c r="M672" t="s">
        <v>78</v>
      </c>
      <c r="N672" t="s">
        <v>245</v>
      </c>
      <c r="O672" t="s">
        <v>74</v>
      </c>
      <c r="P672" t="s">
        <v>74</v>
      </c>
      <c r="Q672" t="s">
        <v>74</v>
      </c>
      <c r="R672" t="s">
        <v>74</v>
      </c>
      <c r="S672" t="s">
        <v>74</v>
      </c>
      <c r="T672" t="s">
        <v>13292</v>
      </c>
      <c r="U672" t="s">
        <v>13293</v>
      </c>
      <c r="V672" t="s">
        <v>13294</v>
      </c>
      <c r="W672" t="s">
        <v>13295</v>
      </c>
      <c r="X672" t="s">
        <v>13296</v>
      </c>
      <c r="Y672" t="s">
        <v>13297</v>
      </c>
      <c r="Z672" t="s">
        <v>13298</v>
      </c>
      <c r="AA672" t="s">
        <v>13299</v>
      </c>
      <c r="AB672" t="s">
        <v>13300</v>
      </c>
      <c r="AC672" t="s">
        <v>13301</v>
      </c>
      <c r="AD672" t="s">
        <v>13302</v>
      </c>
      <c r="AE672" t="s">
        <v>13303</v>
      </c>
      <c r="AF672" t="s">
        <v>74</v>
      </c>
      <c r="AG672">
        <v>407</v>
      </c>
      <c r="AH672">
        <v>141</v>
      </c>
      <c r="AI672">
        <v>149</v>
      </c>
      <c r="AJ672">
        <v>8</v>
      </c>
      <c r="AK672">
        <v>46</v>
      </c>
      <c r="AL672" t="s">
        <v>284</v>
      </c>
      <c r="AM672" t="s">
        <v>285</v>
      </c>
      <c r="AN672" t="s">
        <v>286</v>
      </c>
      <c r="AO672" t="s">
        <v>13304</v>
      </c>
      <c r="AP672" t="s">
        <v>13305</v>
      </c>
      <c r="AQ672" t="s">
        <v>74</v>
      </c>
      <c r="AR672" t="s">
        <v>13306</v>
      </c>
      <c r="AS672" t="s">
        <v>13307</v>
      </c>
      <c r="AT672" t="s">
        <v>11250</v>
      </c>
      <c r="AU672">
        <v>2020</v>
      </c>
      <c r="AV672">
        <v>204</v>
      </c>
      <c r="AW672" t="s">
        <v>74</v>
      </c>
      <c r="AX672" t="s">
        <v>74</v>
      </c>
      <c r="AY672" t="s">
        <v>74</v>
      </c>
      <c r="AZ672" t="s">
        <v>74</v>
      </c>
      <c r="BA672" t="s">
        <v>74</v>
      </c>
      <c r="BB672" t="s">
        <v>74</v>
      </c>
      <c r="BC672" t="s">
        <v>74</v>
      </c>
      <c r="BD672">
        <v>103152</v>
      </c>
      <c r="BE672" t="s">
        <v>13308</v>
      </c>
      <c r="BF672" t="str">
        <f>HYPERLINK("http://dx.doi.org/10.1016/j.earscirev.2020.103152","http://dx.doi.org/10.1016/j.earscirev.2020.103152")</f>
        <v>http://dx.doi.org/10.1016/j.earscirev.2020.103152</v>
      </c>
      <c r="BG672" t="s">
        <v>74</v>
      </c>
      <c r="BH672" t="s">
        <v>74</v>
      </c>
      <c r="BI672">
        <v>77</v>
      </c>
      <c r="BJ672" t="s">
        <v>471</v>
      </c>
      <c r="BK672" t="s">
        <v>102</v>
      </c>
      <c r="BL672" t="s">
        <v>472</v>
      </c>
      <c r="BM672" t="s">
        <v>13309</v>
      </c>
      <c r="BN672" t="s">
        <v>74</v>
      </c>
      <c r="BO672" t="s">
        <v>560</v>
      </c>
      <c r="BP672" t="s">
        <v>162</v>
      </c>
      <c r="BQ672" t="s">
        <v>163</v>
      </c>
      <c r="BR672" t="s">
        <v>106</v>
      </c>
      <c r="BS672" t="s">
        <v>13310</v>
      </c>
      <c r="BT672" t="str">
        <f>HYPERLINK("https%3A%2F%2Fwww.webofscience.com%2Fwos%2Fwoscc%2Ffull-record%2FWOS:000543367100009","View Full Record in Web of Science")</f>
        <v>View Full Record in Web of Science</v>
      </c>
    </row>
    <row r="673" spans="1:72" x14ac:dyDescent="0.15">
      <c r="A673" t="s">
        <v>72</v>
      </c>
      <c r="B673" t="s">
        <v>13311</v>
      </c>
      <c r="C673" t="s">
        <v>74</v>
      </c>
      <c r="D673" t="s">
        <v>74</v>
      </c>
      <c r="E673" t="s">
        <v>74</v>
      </c>
      <c r="F673" t="s">
        <v>13312</v>
      </c>
      <c r="G673" t="s">
        <v>74</v>
      </c>
      <c r="H673" t="s">
        <v>74</v>
      </c>
      <c r="I673" t="s">
        <v>13313</v>
      </c>
      <c r="J673" t="s">
        <v>13314</v>
      </c>
      <c r="K673" t="s">
        <v>74</v>
      </c>
      <c r="L673" t="s">
        <v>74</v>
      </c>
      <c r="M673" t="s">
        <v>78</v>
      </c>
      <c r="N673" t="s">
        <v>79</v>
      </c>
      <c r="O673" t="s">
        <v>74</v>
      </c>
      <c r="P673" t="s">
        <v>74</v>
      </c>
      <c r="Q673" t="s">
        <v>74</v>
      </c>
      <c r="R673" t="s">
        <v>74</v>
      </c>
      <c r="S673" t="s">
        <v>74</v>
      </c>
      <c r="T673" t="s">
        <v>13315</v>
      </c>
      <c r="U673" t="s">
        <v>13316</v>
      </c>
      <c r="V673" t="s">
        <v>13317</v>
      </c>
      <c r="W673" t="s">
        <v>13318</v>
      </c>
      <c r="X673" t="s">
        <v>13319</v>
      </c>
      <c r="Y673" t="s">
        <v>13320</v>
      </c>
      <c r="Z673" t="s">
        <v>13321</v>
      </c>
      <c r="AA673" t="s">
        <v>13322</v>
      </c>
      <c r="AB673" t="s">
        <v>13323</v>
      </c>
      <c r="AC673" t="s">
        <v>13324</v>
      </c>
      <c r="AD673" t="s">
        <v>13325</v>
      </c>
      <c r="AE673" t="s">
        <v>13326</v>
      </c>
      <c r="AF673" t="s">
        <v>74</v>
      </c>
      <c r="AG673">
        <v>30</v>
      </c>
      <c r="AH673">
        <v>4</v>
      </c>
      <c r="AI673">
        <v>4</v>
      </c>
      <c r="AJ673">
        <v>0</v>
      </c>
      <c r="AK673">
        <v>22</v>
      </c>
      <c r="AL673" t="s">
        <v>13327</v>
      </c>
      <c r="AM673" t="s">
        <v>13328</v>
      </c>
      <c r="AN673" t="s">
        <v>13329</v>
      </c>
      <c r="AO673" t="s">
        <v>13330</v>
      </c>
      <c r="AP673" t="s">
        <v>74</v>
      </c>
      <c r="AQ673" t="s">
        <v>74</v>
      </c>
      <c r="AR673" t="s">
        <v>13331</v>
      </c>
      <c r="AS673" t="s">
        <v>13332</v>
      </c>
      <c r="AT673" t="s">
        <v>13333</v>
      </c>
      <c r="AU673">
        <v>2020</v>
      </c>
      <c r="AV673">
        <v>25</v>
      </c>
      <c r="AW673">
        <v>2</v>
      </c>
      <c r="AX673" t="s">
        <v>74</v>
      </c>
      <c r="AY673" t="s">
        <v>74</v>
      </c>
      <c r="AZ673" t="s">
        <v>74</v>
      </c>
      <c r="BA673" t="s">
        <v>74</v>
      </c>
      <c r="BB673">
        <v>353</v>
      </c>
      <c r="BC673">
        <v>358</v>
      </c>
      <c r="BD673" t="s">
        <v>74</v>
      </c>
      <c r="BE673" t="s">
        <v>13334</v>
      </c>
      <c r="BF673" t="str">
        <f>HYPERLINK("http://dx.doi.org/10.15446/abc.v25n2.76405","http://dx.doi.org/10.15446/abc.v25n2.76405")</f>
        <v>http://dx.doi.org/10.15446/abc.v25n2.76405</v>
      </c>
      <c r="BG673" t="s">
        <v>74</v>
      </c>
      <c r="BH673" t="s">
        <v>74</v>
      </c>
      <c r="BI673">
        <v>6</v>
      </c>
      <c r="BJ673" t="s">
        <v>13335</v>
      </c>
      <c r="BK673" t="s">
        <v>102</v>
      </c>
      <c r="BL673" t="s">
        <v>13335</v>
      </c>
      <c r="BM673" t="s">
        <v>13336</v>
      </c>
      <c r="BN673" t="s">
        <v>74</v>
      </c>
      <c r="BO673" t="s">
        <v>105</v>
      </c>
      <c r="BP673" t="s">
        <v>74</v>
      </c>
      <c r="BQ673" t="s">
        <v>74</v>
      </c>
      <c r="BR673" t="s">
        <v>106</v>
      </c>
      <c r="BS673" t="s">
        <v>13337</v>
      </c>
      <c r="BT673" t="str">
        <f>HYPERLINK("https%3A%2F%2Fwww.webofscience.com%2Fwos%2Fwoscc%2Ffull-record%2FWOS:000542795700017","View Full Record in Web of Science")</f>
        <v>View Full Record in Web of Science</v>
      </c>
    </row>
    <row r="674" spans="1:72" x14ac:dyDescent="0.15">
      <c r="A674" t="s">
        <v>72</v>
      </c>
      <c r="B674" t="s">
        <v>13338</v>
      </c>
      <c r="C674" t="s">
        <v>74</v>
      </c>
      <c r="D674" t="s">
        <v>74</v>
      </c>
      <c r="E674" t="s">
        <v>74</v>
      </c>
      <c r="F674" t="s">
        <v>13339</v>
      </c>
      <c r="G674" t="s">
        <v>74</v>
      </c>
      <c r="H674" t="s">
        <v>74</v>
      </c>
      <c r="I674" t="s">
        <v>13340</v>
      </c>
      <c r="J674" t="s">
        <v>8589</v>
      </c>
      <c r="K674" t="s">
        <v>74</v>
      </c>
      <c r="L674" t="s">
        <v>74</v>
      </c>
      <c r="M674" t="s">
        <v>78</v>
      </c>
      <c r="N674" t="s">
        <v>245</v>
      </c>
      <c r="O674" t="s">
        <v>74</v>
      </c>
      <c r="P674" t="s">
        <v>74</v>
      </c>
      <c r="Q674" t="s">
        <v>74</v>
      </c>
      <c r="R674" t="s">
        <v>74</v>
      </c>
      <c r="S674" t="s">
        <v>74</v>
      </c>
      <c r="T674" t="s">
        <v>13341</v>
      </c>
      <c r="U674" t="s">
        <v>13342</v>
      </c>
      <c r="V674" t="s">
        <v>13343</v>
      </c>
      <c r="W674" t="s">
        <v>13344</v>
      </c>
      <c r="X674" t="s">
        <v>13345</v>
      </c>
      <c r="Y674" t="s">
        <v>13346</v>
      </c>
      <c r="Z674" t="s">
        <v>13347</v>
      </c>
      <c r="AA674" t="s">
        <v>13348</v>
      </c>
      <c r="AB674" t="s">
        <v>13349</v>
      </c>
      <c r="AC674" t="s">
        <v>13350</v>
      </c>
      <c r="AD674" t="s">
        <v>13351</v>
      </c>
      <c r="AE674" t="s">
        <v>13352</v>
      </c>
      <c r="AF674" t="s">
        <v>74</v>
      </c>
      <c r="AG674">
        <v>132</v>
      </c>
      <c r="AH674">
        <v>27</v>
      </c>
      <c r="AI674">
        <v>28</v>
      </c>
      <c r="AJ674">
        <v>4</v>
      </c>
      <c r="AK674">
        <v>45</v>
      </c>
      <c r="AL674" t="s">
        <v>4283</v>
      </c>
      <c r="AM674" t="s">
        <v>4284</v>
      </c>
      <c r="AN674" t="s">
        <v>4285</v>
      </c>
      <c r="AO674" t="s">
        <v>74</v>
      </c>
      <c r="AP674" t="s">
        <v>8602</v>
      </c>
      <c r="AQ674" t="s">
        <v>74</v>
      </c>
      <c r="AR674" t="s">
        <v>8603</v>
      </c>
      <c r="AS674" t="s">
        <v>8604</v>
      </c>
      <c r="AT674" t="s">
        <v>11250</v>
      </c>
      <c r="AU674">
        <v>2020</v>
      </c>
      <c r="AV674">
        <v>11</v>
      </c>
      <c r="AW674">
        <v>5</v>
      </c>
      <c r="AX674" t="s">
        <v>74</v>
      </c>
      <c r="AY674" t="s">
        <v>74</v>
      </c>
      <c r="AZ674" t="s">
        <v>74</v>
      </c>
      <c r="BA674" t="s">
        <v>74</v>
      </c>
      <c r="BB674" t="s">
        <v>74</v>
      </c>
      <c r="BC674" t="s">
        <v>74</v>
      </c>
      <c r="BD674">
        <v>498</v>
      </c>
      <c r="BE674" t="s">
        <v>13353</v>
      </c>
      <c r="BF674" t="str">
        <f>HYPERLINK("http://dx.doi.org/10.3390/atmos11050498","http://dx.doi.org/10.3390/atmos11050498")</f>
        <v>http://dx.doi.org/10.3390/atmos11050498</v>
      </c>
      <c r="BG674" t="s">
        <v>74</v>
      </c>
      <c r="BH674" t="s">
        <v>74</v>
      </c>
      <c r="BI674">
        <v>21</v>
      </c>
      <c r="BJ674" t="s">
        <v>2068</v>
      </c>
      <c r="BK674" t="s">
        <v>925</v>
      </c>
      <c r="BL674" t="s">
        <v>2069</v>
      </c>
      <c r="BM674" t="s">
        <v>13354</v>
      </c>
      <c r="BN674" t="s">
        <v>74</v>
      </c>
      <c r="BO674" t="s">
        <v>161</v>
      </c>
      <c r="BP674" t="s">
        <v>74</v>
      </c>
      <c r="BQ674" t="s">
        <v>74</v>
      </c>
      <c r="BR674" t="s">
        <v>106</v>
      </c>
      <c r="BS674" t="s">
        <v>13355</v>
      </c>
      <c r="BT674" t="str">
        <f>HYPERLINK("https%3A%2F%2Fwww.webofscience.com%2Fwos%2Fwoscc%2Ffull-record%2FWOS:000541801900065","View Full Record in Web of Science")</f>
        <v>View Full Record in Web of Science</v>
      </c>
    </row>
    <row r="675" spans="1:72" x14ac:dyDescent="0.15">
      <c r="A675" t="s">
        <v>72</v>
      </c>
      <c r="B675" t="s">
        <v>13356</v>
      </c>
      <c r="C675" t="s">
        <v>74</v>
      </c>
      <c r="D675" t="s">
        <v>74</v>
      </c>
      <c r="E675" t="s">
        <v>74</v>
      </c>
      <c r="F675" t="s">
        <v>13357</v>
      </c>
      <c r="G675" t="s">
        <v>74</v>
      </c>
      <c r="H675" t="s">
        <v>74</v>
      </c>
      <c r="I675" t="s">
        <v>13358</v>
      </c>
      <c r="J675" t="s">
        <v>8589</v>
      </c>
      <c r="K675" t="s">
        <v>74</v>
      </c>
      <c r="L675" t="s">
        <v>74</v>
      </c>
      <c r="M675" t="s">
        <v>78</v>
      </c>
      <c r="N675" t="s">
        <v>79</v>
      </c>
      <c r="O675" t="s">
        <v>74</v>
      </c>
      <c r="P675" t="s">
        <v>74</v>
      </c>
      <c r="Q675" t="s">
        <v>74</v>
      </c>
      <c r="R675" t="s">
        <v>74</v>
      </c>
      <c r="S675" t="s">
        <v>74</v>
      </c>
      <c r="T675" t="s">
        <v>13359</v>
      </c>
      <c r="U675" t="s">
        <v>13360</v>
      </c>
      <c r="V675" t="s">
        <v>13361</v>
      </c>
      <c r="W675" t="s">
        <v>13362</v>
      </c>
      <c r="X675" t="s">
        <v>13363</v>
      </c>
      <c r="Y675" t="s">
        <v>13364</v>
      </c>
      <c r="Z675" t="s">
        <v>13365</v>
      </c>
      <c r="AA675" t="s">
        <v>13366</v>
      </c>
      <c r="AB675" t="s">
        <v>13367</v>
      </c>
      <c r="AC675" t="s">
        <v>13368</v>
      </c>
      <c r="AD675" t="s">
        <v>13369</v>
      </c>
      <c r="AE675" t="s">
        <v>13370</v>
      </c>
      <c r="AF675" t="s">
        <v>74</v>
      </c>
      <c r="AG675">
        <v>77</v>
      </c>
      <c r="AH675">
        <v>9</v>
      </c>
      <c r="AI675">
        <v>9</v>
      </c>
      <c r="AJ675">
        <v>1</v>
      </c>
      <c r="AK675">
        <v>23</v>
      </c>
      <c r="AL675" t="s">
        <v>4283</v>
      </c>
      <c r="AM675" t="s">
        <v>4284</v>
      </c>
      <c r="AN675" t="s">
        <v>4285</v>
      </c>
      <c r="AO675" t="s">
        <v>74</v>
      </c>
      <c r="AP675" t="s">
        <v>8602</v>
      </c>
      <c r="AQ675" t="s">
        <v>74</v>
      </c>
      <c r="AR675" t="s">
        <v>8603</v>
      </c>
      <c r="AS675" t="s">
        <v>8604</v>
      </c>
      <c r="AT675" t="s">
        <v>11250</v>
      </c>
      <c r="AU675">
        <v>2020</v>
      </c>
      <c r="AV675">
        <v>11</v>
      </c>
      <c r="AW675">
        <v>5</v>
      </c>
      <c r="AX675" t="s">
        <v>74</v>
      </c>
      <c r="AY675" t="s">
        <v>74</v>
      </c>
      <c r="AZ675" t="s">
        <v>74</v>
      </c>
      <c r="BA675" t="s">
        <v>74</v>
      </c>
      <c r="BB675" t="s">
        <v>74</v>
      </c>
      <c r="BC675" t="s">
        <v>74</v>
      </c>
      <c r="BD675">
        <v>474</v>
      </c>
      <c r="BE675" t="s">
        <v>13371</v>
      </c>
      <c r="BF675" t="str">
        <f>HYPERLINK("http://dx.doi.org/10.3390/atmos11050474","http://dx.doi.org/10.3390/atmos11050474")</f>
        <v>http://dx.doi.org/10.3390/atmos11050474</v>
      </c>
      <c r="BG675" t="s">
        <v>74</v>
      </c>
      <c r="BH675" t="s">
        <v>74</v>
      </c>
      <c r="BI675">
        <v>27</v>
      </c>
      <c r="BJ675" t="s">
        <v>2068</v>
      </c>
      <c r="BK675" t="s">
        <v>102</v>
      </c>
      <c r="BL675" t="s">
        <v>2069</v>
      </c>
      <c r="BM675" t="s">
        <v>13354</v>
      </c>
      <c r="BN675" t="s">
        <v>74</v>
      </c>
      <c r="BO675" t="s">
        <v>1352</v>
      </c>
      <c r="BP675" t="s">
        <v>74</v>
      </c>
      <c r="BQ675" t="s">
        <v>74</v>
      </c>
      <c r="BR675" t="s">
        <v>106</v>
      </c>
      <c r="BS675" t="s">
        <v>13372</v>
      </c>
      <c r="BT675" t="str">
        <f>HYPERLINK("https%3A%2F%2Fwww.webofscience.com%2Fwos%2Fwoscc%2Ffull-record%2FWOS:000541801900112","View Full Record in Web of Science")</f>
        <v>View Full Record in Web of Science</v>
      </c>
    </row>
    <row r="676" spans="1:72" x14ac:dyDescent="0.15">
      <c r="A676" t="s">
        <v>72</v>
      </c>
      <c r="B676" t="s">
        <v>13373</v>
      </c>
      <c r="C676" t="s">
        <v>74</v>
      </c>
      <c r="D676" t="s">
        <v>74</v>
      </c>
      <c r="E676" t="s">
        <v>74</v>
      </c>
      <c r="F676" t="s">
        <v>13374</v>
      </c>
      <c r="G676" t="s">
        <v>74</v>
      </c>
      <c r="H676" t="s">
        <v>74</v>
      </c>
      <c r="I676" t="s">
        <v>13375</v>
      </c>
      <c r="J676" t="s">
        <v>4367</v>
      </c>
      <c r="K676" t="s">
        <v>74</v>
      </c>
      <c r="L676" t="s">
        <v>74</v>
      </c>
      <c r="M676" t="s">
        <v>78</v>
      </c>
      <c r="N676" t="s">
        <v>79</v>
      </c>
      <c r="O676" t="s">
        <v>74</v>
      </c>
      <c r="P676" t="s">
        <v>74</v>
      </c>
      <c r="Q676" t="s">
        <v>74</v>
      </c>
      <c r="R676" t="s">
        <v>74</v>
      </c>
      <c r="S676" t="s">
        <v>74</v>
      </c>
      <c r="T676" t="s">
        <v>13376</v>
      </c>
      <c r="U676" t="s">
        <v>13377</v>
      </c>
      <c r="V676" t="s">
        <v>13378</v>
      </c>
      <c r="W676" t="s">
        <v>13379</v>
      </c>
      <c r="X676" t="s">
        <v>13380</v>
      </c>
      <c r="Y676" t="s">
        <v>13381</v>
      </c>
      <c r="Z676" t="s">
        <v>13382</v>
      </c>
      <c r="AA676" t="s">
        <v>13383</v>
      </c>
      <c r="AB676" t="s">
        <v>13384</v>
      </c>
      <c r="AC676" t="s">
        <v>13385</v>
      </c>
      <c r="AD676" t="s">
        <v>13386</v>
      </c>
      <c r="AE676" t="s">
        <v>13387</v>
      </c>
      <c r="AF676" t="s">
        <v>74</v>
      </c>
      <c r="AG676">
        <v>44</v>
      </c>
      <c r="AH676">
        <v>9</v>
      </c>
      <c r="AI676">
        <v>9</v>
      </c>
      <c r="AJ676">
        <v>1</v>
      </c>
      <c r="AK676">
        <v>2</v>
      </c>
      <c r="AL676" t="s">
        <v>151</v>
      </c>
      <c r="AM676" t="s">
        <v>152</v>
      </c>
      <c r="AN676" t="s">
        <v>153</v>
      </c>
      <c r="AO676" t="s">
        <v>4380</v>
      </c>
      <c r="AP676" t="s">
        <v>4381</v>
      </c>
      <c r="AQ676" t="s">
        <v>74</v>
      </c>
      <c r="AR676" t="s">
        <v>4382</v>
      </c>
      <c r="AS676" t="s">
        <v>4383</v>
      </c>
      <c r="AT676" t="s">
        <v>11250</v>
      </c>
      <c r="AU676">
        <v>2020</v>
      </c>
      <c r="AV676">
        <v>125</v>
      </c>
      <c r="AW676">
        <v>5</v>
      </c>
      <c r="AX676" t="s">
        <v>74</v>
      </c>
      <c r="AY676" t="s">
        <v>74</v>
      </c>
      <c r="AZ676" t="s">
        <v>74</v>
      </c>
      <c r="BA676" t="s">
        <v>74</v>
      </c>
      <c r="BB676" t="s">
        <v>74</v>
      </c>
      <c r="BC676" t="s">
        <v>74</v>
      </c>
      <c r="BD676" t="s">
        <v>74</v>
      </c>
      <c r="BE676" t="s">
        <v>13388</v>
      </c>
      <c r="BF676" t="str">
        <f>HYPERLINK("http://dx.doi.org/10.1029/2019JA027218","http://dx.doi.org/10.1029/2019JA027218")</f>
        <v>http://dx.doi.org/10.1029/2019JA027218</v>
      </c>
      <c r="BG676" t="s">
        <v>74</v>
      </c>
      <c r="BH676" t="s">
        <v>74</v>
      </c>
      <c r="BI676">
        <v>17</v>
      </c>
      <c r="BJ676" t="s">
        <v>774</v>
      </c>
      <c r="BK676" t="s">
        <v>102</v>
      </c>
      <c r="BL676" t="s">
        <v>774</v>
      </c>
      <c r="BM676" t="s">
        <v>13389</v>
      </c>
      <c r="BN676" t="s">
        <v>74</v>
      </c>
      <c r="BO676" t="s">
        <v>1474</v>
      </c>
      <c r="BP676" t="s">
        <v>74</v>
      </c>
      <c r="BQ676" t="s">
        <v>74</v>
      </c>
      <c r="BR676" t="s">
        <v>106</v>
      </c>
      <c r="BS676" t="s">
        <v>13390</v>
      </c>
      <c r="BT676" t="str">
        <f>HYPERLINK("https%3A%2F%2Fwww.webofscience.com%2Fwos%2Fwoscc%2Ffull-record%2FWOS:000540229100044","View Full Record in Web of Science")</f>
        <v>View Full Record in Web of Science</v>
      </c>
    </row>
    <row r="677" spans="1:72" x14ac:dyDescent="0.15">
      <c r="A677" t="s">
        <v>72</v>
      </c>
      <c r="B677" t="s">
        <v>13391</v>
      </c>
      <c r="C677" t="s">
        <v>74</v>
      </c>
      <c r="D677" t="s">
        <v>74</v>
      </c>
      <c r="E677" t="s">
        <v>74</v>
      </c>
      <c r="F677" t="s">
        <v>13392</v>
      </c>
      <c r="G677" t="s">
        <v>74</v>
      </c>
      <c r="H677" t="s">
        <v>74</v>
      </c>
      <c r="I677" t="s">
        <v>13393</v>
      </c>
      <c r="J677" t="s">
        <v>4367</v>
      </c>
      <c r="K677" t="s">
        <v>74</v>
      </c>
      <c r="L677" t="s">
        <v>74</v>
      </c>
      <c r="M677" t="s">
        <v>78</v>
      </c>
      <c r="N677" t="s">
        <v>79</v>
      </c>
      <c r="O677" t="s">
        <v>74</v>
      </c>
      <c r="P677" t="s">
        <v>74</v>
      </c>
      <c r="Q677" t="s">
        <v>74</v>
      </c>
      <c r="R677" t="s">
        <v>74</v>
      </c>
      <c r="S677" t="s">
        <v>74</v>
      </c>
      <c r="T677" t="s">
        <v>13394</v>
      </c>
      <c r="U677" t="s">
        <v>13395</v>
      </c>
      <c r="V677" t="s">
        <v>13396</v>
      </c>
      <c r="W677" t="s">
        <v>13397</v>
      </c>
      <c r="X677" t="s">
        <v>13398</v>
      </c>
      <c r="Y677" t="s">
        <v>13399</v>
      </c>
      <c r="Z677" t="s">
        <v>13400</v>
      </c>
      <c r="AA677" t="s">
        <v>13401</v>
      </c>
      <c r="AB677" t="s">
        <v>13402</v>
      </c>
      <c r="AC677" t="s">
        <v>13403</v>
      </c>
      <c r="AD677" t="s">
        <v>13404</v>
      </c>
      <c r="AE677" t="s">
        <v>13405</v>
      </c>
      <c r="AF677" t="s">
        <v>74</v>
      </c>
      <c r="AG677">
        <v>81</v>
      </c>
      <c r="AH677">
        <v>20</v>
      </c>
      <c r="AI677">
        <v>20</v>
      </c>
      <c r="AJ677">
        <v>0</v>
      </c>
      <c r="AK677">
        <v>17</v>
      </c>
      <c r="AL677" t="s">
        <v>151</v>
      </c>
      <c r="AM677" t="s">
        <v>152</v>
      </c>
      <c r="AN677" t="s">
        <v>153</v>
      </c>
      <c r="AO677" t="s">
        <v>4380</v>
      </c>
      <c r="AP677" t="s">
        <v>4381</v>
      </c>
      <c r="AQ677" t="s">
        <v>74</v>
      </c>
      <c r="AR677" t="s">
        <v>4382</v>
      </c>
      <c r="AS677" t="s">
        <v>4383</v>
      </c>
      <c r="AT677" t="s">
        <v>11250</v>
      </c>
      <c r="AU677">
        <v>2020</v>
      </c>
      <c r="AV677">
        <v>125</v>
      </c>
      <c r="AW677">
        <v>5</v>
      </c>
      <c r="AX677" t="s">
        <v>74</v>
      </c>
      <c r="AY677" t="s">
        <v>74</v>
      </c>
      <c r="AZ677" t="s">
        <v>74</v>
      </c>
      <c r="BA677" t="s">
        <v>74</v>
      </c>
      <c r="BB677" t="s">
        <v>74</v>
      </c>
      <c r="BC677" t="s">
        <v>74</v>
      </c>
      <c r="BD677" t="s">
        <v>74</v>
      </c>
      <c r="BE677" t="s">
        <v>13406</v>
      </c>
      <c r="BF677" t="str">
        <f>HYPERLINK("http://dx.doi.org/10.1029/2019JA027726","http://dx.doi.org/10.1029/2019JA027726")</f>
        <v>http://dx.doi.org/10.1029/2019JA027726</v>
      </c>
      <c r="BG677" t="s">
        <v>74</v>
      </c>
      <c r="BH677" t="s">
        <v>74</v>
      </c>
      <c r="BI677">
        <v>21</v>
      </c>
      <c r="BJ677" t="s">
        <v>774</v>
      </c>
      <c r="BK677" t="s">
        <v>102</v>
      </c>
      <c r="BL677" t="s">
        <v>774</v>
      </c>
      <c r="BM677" t="s">
        <v>13389</v>
      </c>
      <c r="BN677" t="s">
        <v>74</v>
      </c>
      <c r="BO677" t="s">
        <v>74</v>
      </c>
      <c r="BP677" t="s">
        <v>74</v>
      </c>
      <c r="BQ677" t="s">
        <v>74</v>
      </c>
      <c r="BR677" t="s">
        <v>106</v>
      </c>
      <c r="BS677" t="s">
        <v>13407</v>
      </c>
      <c r="BT677" t="str">
        <f>HYPERLINK("https%3A%2F%2Fwww.webofscience.com%2Fwos%2Fwoscc%2Ffull-record%2FWOS:000540229100003","View Full Record in Web of Science")</f>
        <v>View Full Record in Web of Science</v>
      </c>
    </row>
    <row r="678" spans="1:72" x14ac:dyDescent="0.15">
      <c r="A678" t="s">
        <v>72</v>
      </c>
      <c r="B678" t="s">
        <v>13408</v>
      </c>
      <c r="C678" t="s">
        <v>74</v>
      </c>
      <c r="D678" t="s">
        <v>74</v>
      </c>
      <c r="E678" t="s">
        <v>74</v>
      </c>
      <c r="F678" t="s">
        <v>13409</v>
      </c>
      <c r="G678" t="s">
        <v>74</v>
      </c>
      <c r="H678" t="s">
        <v>74</v>
      </c>
      <c r="I678" t="s">
        <v>13410</v>
      </c>
      <c r="J678" t="s">
        <v>4367</v>
      </c>
      <c r="K678" t="s">
        <v>74</v>
      </c>
      <c r="L678" t="s">
        <v>74</v>
      </c>
      <c r="M678" t="s">
        <v>78</v>
      </c>
      <c r="N678" t="s">
        <v>79</v>
      </c>
      <c r="O678" t="s">
        <v>74</v>
      </c>
      <c r="P678" t="s">
        <v>74</v>
      </c>
      <c r="Q678" t="s">
        <v>74</v>
      </c>
      <c r="R678" t="s">
        <v>74</v>
      </c>
      <c r="S678" t="s">
        <v>74</v>
      </c>
      <c r="T678" t="s">
        <v>13411</v>
      </c>
      <c r="U678" t="s">
        <v>13412</v>
      </c>
      <c r="V678" t="s">
        <v>13413</v>
      </c>
      <c r="W678" t="s">
        <v>13414</v>
      </c>
      <c r="X678" t="s">
        <v>13415</v>
      </c>
      <c r="Y678" t="s">
        <v>13416</v>
      </c>
      <c r="Z678" t="s">
        <v>13417</v>
      </c>
      <c r="AA678" t="s">
        <v>74</v>
      </c>
      <c r="AB678" t="s">
        <v>13418</v>
      </c>
      <c r="AC678" t="s">
        <v>13419</v>
      </c>
      <c r="AD678" t="s">
        <v>13420</v>
      </c>
      <c r="AE678" t="s">
        <v>13421</v>
      </c>
      <c r="AF678" t="s">
        <v>74</v>
      </c>
      <c r="AG678">
        <v>39</v>
      </c>
      <c r="AH678">
        <v>2</v>
      </c>
      <c r="AI678">
        <v>2</v>
      </c>
      <c r="AJ678">
        <v>0</v>
      </c>
      <c r="AK678">
        <v>10</v>
      </c>
      <c r="AL678" t="s">
        <v>151</v>
      </c>
      <c r="AM678" t="s">
        <v>152</v>
      </c>
      <c r="AN678" t="s">
        <v>153</v>
      </c>
      <c r="AO678" t="s">
        <v>4380</v>
      </c>
      <c r="AP678" t="s">
        <v>4381</v>
      </c>
      <c r="AQ678" t="s">
        <v>74</v>
      </c>
      <c r="AR678" t="s">
        <v>4382</v>
      </c>
      <c r="AS678" t="s">
        <v>4383</v>
      </c>
      <c r="AT678" t="s">
        <v>11250</v>
      </c>
      <c r="AU678">
        <v>2020</v>
      </c>
      <c r="AV678">
        <v>125</v>
      </c>
      <c r="AW678">
        <v>5</v>
      </c>
      <c r="AX678" t="s">
        <v>74</v>
      </c>
      <c r="AY678" t="s">
        <v>74</v>
      </c>
      <c r="AZ678" t="s">
        <v>74</v>
      </c>
      <c r="BA678" t="s">
        <v>74</v>
      </c>
      <c r="BB678" t="s">
        <v>74</v>
      </c>
      <c r="BC678" t="s">
        <v>74</v>
      </c>
      <c r="BD678" t="s">
        <v>74</v>
      </c>
      <c r="BE678" t="s">
        <v>13422</v>
      </c>
      <c r="BF678" t="str">
        <f>HYPERLINK("http://dx.doi.org/10.1029/2019JA027528","http://dx.doi.org/10.1029/2019JA027528")</f>
        <v>http://dx.doi.org/10.1029/2019JA027528</v>
      </c>
      <c r="BG678" t="s">
        <v>74</v>
      </c>
      <c r="BH678" t="s">
        <v>74</v>
      </c>
      <c r="BI678">
        <v>15</v>
      </c>
      <c r="BJ678" t="s">
        <v>774</v>
      </c>
      <c r="BK678" t="s">
        <v>102</v>
      </c>
      <c r="BL678" t="s">
        <v>774</v>
      </c>
      <c r="BM678" t="s">
        <v>13389</v>
      </c>
      <c r="BN678" t="s">
        <v>74</v>
      </c>
      <c r="BO678" t="s">
        <v>74</v>
      </c>
      <c r="BP678" t="s">
        <v>74</v>
      </c>
      <c r="BQ678" t="s">
        <v>74</v>
      </c>
      <c r="BR678" t="s">
        <v>106</v>
      </c>
      <c r="BS678" t="s">
        <v>13423</v>
      </c>
      <c r="BT678" t="str">
        <f>HYPERLINK("https%3A%2F%2Fwww.webofscience.com%2Fwos%2Fwoscc%2Ffull-record%2FWOS:000540229100046","View Full Record in Web of Science")</f>
        <v>View Full Record in Web of Science</v>
      </c>
    </row>
    <row r="679" spans="1:72" x14ac:dyDescent="0.15">
      <c r="A679" t="s">
        <v>72</v>
      </c>
      <c r="B679" t="s">
        <v>13424</v>
      </c>
      <c r="C679" t="s">
        <v>74</v>
      </c>
      <c r="D679" t="s">
        <v>74</v>
      </c>
      <c r="E679" t="s">
        <v>74</v>
      </c>
      <c r="F679" t="s">
        <v>13425</v>
      </c>
      <c r="G679" t="s">
        <v>74</v>
      </c>
      <c r="H679" t="s">
        <v>74</v>
      </c>
      <c r="I679" t="s">
        <v>13426</v>
      </c>
      <c r="J679" t="s">
        <v>9925</v>
      </c>
      <c r="K679" t="s">
        <v>74</v>
      </c>
      <c r="L679" t="s">
        <v>74</v>
      </c>
      <c r="M679" t="s">
        <v>78</v>
      </c>
      <c r="N679" t="s">
        <v>79</v>
      </c>
      <c r="O679" t="s">
        <v>74</v>
      </c>
      <c r="P679" t="s">
        <v>74</v>
      </c>
      <c r="Q679" t="s">
        <v>74</v>
      </c>
      <c r="R679" t="s">
        <v>74</v>
      </c>
      <c r="S679" t="s">
        <v>74</v>
      </c>
      <c r="T679" t="s">
        <v>13427</v>
      </c>
      <c r="U679" t="s">
        <v>13428</v>
      </c>
      <c r="V679" t="s">
        <v>13429</v>
      </c>
      <c r="W679" t="s">
        <v>13430</v>
      </c>
      <c r="X679" t="s">
        <v>13431</v>
      </c>
      <c r="Y679" t="s">
        <v>13432</v>
      </c>
      <c r="Z679" t="s">
        <v>13433</v>
      </c>
      <c r="AA679" t="s">
        <v>13434</v>
      </c>
      <c r="AB679" t="s">
        <v>13435</v>
      </c>
      <c r="AC679" t="s">
        <v>13436</v>
      </c>
      <c r="AD679" t="s">
        <v>13437</v>
      </c>
      <c r="AE679" t="s">
        <v>13438</v>
      </c>
      <c r="AF679" t="s">
        <v>74</v>
      </c>
      <c r="AG679">
        <v>90</v>
      </c>
      <c r="AH679">
        <v>19</v>
      </c>
      <c r="AI679">
        <v>20</v>
      </c>
      <c r="AJ679">
        <v>1</v>
      </c>
      <c r="AK679">
        <v>17</v>
      </c>
      <c r="AL679" t="s">
        <v>578</v>
      </c>
      <c r="AM679" t="s">
        <v>93</v>
      </c>
      <c r="AN679" t="s">
        <v>579</v>
      </c>
      <c r="AO679" t="s">
        <v>9937</v>
      </c>
      <c r="AP679" t="s">
        <v>9938</v>
      </c>
      <c r="AQ679" t="s">
        <v>74</v>
      </c>
      <c r="AR679" t="s">
        <v>9939</v>
      </c>
      <c r="AS679" t="s">
        <v>9940</v>
      </c>
      <c r="AT679" t="s">
        <v>11250</v>
      </c>
      <c r="AU679">
        <v>2020</v>
      </c>
      <c r="AV679">
        <v>124</v>
      </c>
      <c r="AW679">
        <v>5</v>
      </c>
      <c r="AX679" t="s">
        <v>74</v>
      </c>
      <c r="AY679" t="s">
        <v>74</v>
      </c>
      <c r="AZ679" t="s">
        <v>74</v>
      </c>
      <c r="BA679" t="s">
        <v>74</v>
      </c>
      <c r="BB679">
        <v>458</v>
      </c>
      <c r="BC679">
        <v>467</v>
      </c>
      <c r="BD679" t="s">
        <v>74</v>
      </c>
      <c r="BE679" t="s">
        <v>13439</v>
      </c>
      <c r="BF679" t="str">
        <f>HYPERLINK("http://dx.doi.org/10.1016/j.funbio.2020.01.005","http://dx.doi.org/10.1016/j.funbio.2020.01.005")</f>
        <v>http://dx.doi.org/10.1016/j.funbio.2020.01.005</v>
      </c>
      <c r="BG679" t="s">
        <v>74</v>
      </c>
      <c r="BH679" t="s">
        <v>74</v>
      </c>
      <c r="BI679">
        <v>10</v>
      </c>
      <c r="BJ679" t="s">
        <v>4772</v>
      </c>
      <c r="BK679" t="s">
        <v>102</v>
      </c>
      <c r="BL679" t="s">
        <v>4772</v>
      </c>
      <c r="BM679" t="s">
        <v>13440</v>
      </c>
      <c r="BN679">
        <v>32389308</v>
      </c>
      <c r="BO679" t="s">
        <v>4924</v>
      </c>
      <c r="BP679" t="s">
        <v>74</v>
      </c>
      <c r="BQ679" t="s">
        <v>74</v>
      </c>
      <c r="BR679" t="s">
        <v>106</v>
      </c>
      <c r="BS679" t="s">
        <v>13441</v>
      </c>
      <c r="BT679" t="str">
        <f>HYPERLINK("https%3A%2F%2Fwww.webofscience.com%2Fwos%2Fwoscc%2Ffull-record%2FWOS:000532395600023","View Full Record in Web of Science")</f>
        <v>View Full Record in Web of Science</v>
      </c>
    </row>
    <row r="680" spans="1:72" x14ac:dyDescent="0.15">
      <c r="A680" t="s">
        <v>72</v>
      </c>
      <c r="B680" t="s">
        <v>13442</v>
      </c>
      <c r="C680" t="s">
        <v>74</v>
      </c>
      <c r="D680" t="s">
        <v>74</v>
      </c>
      <c r="E680" t="s">
        <v>74</v>
      </c>
      <c r="F680" t="s">
        <v>13443</v>
      </c>
      <c r="G680" t="s">
        <v>74</v>
      </c>
      <c r="H680" t="s">
        <v>74</v>
      </c>
      <c r="I680" t="s">
        <v>13444</v>
      </c>
      <c r="J680" t="s">
        <v>13445</v>
      </c>
      <c r="K680" t="s">
        <v>74</v>
      </c>
      <c r="L680" t="s">
        <v>74</v>
      </c>
      <c r="M680" t="s">
        <v>78</v>
      </c>
      <c r="N680" t="s">
        <v>79</v>
      </c>
      <c r="O680" t="s">
        <v>74</v>
      </c>
      <c r="P680" t="s">
        <v>74</v>
      </c>
      <c r="Q680" t="s">
        <v>74</v>
      </c>
      <c r="R680" t="s">
        <v>74</v>
      </c>
      <c r="S680" t="s">
        <v>74</v>
      </c>
      <c r="T680" t="s">
        <v>13446</v>
      </c>
      <c r="U680" t="s">
        <v>13447</v>
      </c>
      <c r="V680" t="s">
        <v>13448</v>
      </c>
      <c r="W680" t="s">
        <v>13449</v>
      </c>
      <c r="X680" t="s">
        <v>13450</v>
      </c>
      <c r="Y680" t="s">
        <v>13451</v>
      </c>
      <c r="Z680" t="s">
        <v>13452</v>
      </c>
      <c r="AA680" t="s">
        <v>13453</v>
      </c>
      <c r="AB680" t="s">
        <v>13454</v>
      </c>
      <c r="AC680" t="s">
        <v>74</v>
      </c>
      <c r="AD680" t="s">
        <v>74</v>
      </c>
      <c r="AE680" t="s">
        <v>74</v>
      </c>
      <c r="AF680" t="s">
        <v>74</v>
      </c>
      <c r="AG680">
        <v>75</v>
      </c>
      <c r="AH680">
        <v>9</v>
      </c>
      <c r="AI680">
        <v>9</v>
      </c>
      <c r="AJ680">
        <v>2</v>
      </c>
      <c r="AK680">
        <v>10</v>
      </c>
      <c r="AL680" t="s">
        <v>994</v>
      </c>
      <c r="AM680" t="s">
        <v>995</v>
      </c>
      <c r="AN680" t="s">
        <v>996</v>
      </c>
      <c r="AO680" t="s">
        <v>13455</v>
      </c>
      <c r="AP680" t="s">
        <v>13456</v>
      </c>
      <c r="AQ680" t="s">
        <v>74</v>
      </c>
      <c r="AR680" t="s">
        <v>13457</v>
      </c>
      <c r="AS680" t="s">
        <v>13458</v>
      </c>
      <c r="AT680" t="s">
        <v>11250</v>
      </c>
      <c r="AU680">
        <v>2020</v>
      </c>
      <c r="AV680">
        <v>35</v>
      </c>
      <c r="AW680">
        <v>4</v>
      </c>
      <c r="AX680" t="s">
        <v>74</v>
      </c>
      <c r="AY680" t="s">
        <v>74</v>
      </c>
      <c r="AZ680" t="s">
        <v>74</v>
      </c>
      <c r="BA680" t="s">
        <v>74</v>
      </c>
      <c r="BB680">
        <v>572</v>
      </c>
      <c r="BC680">
        <v>581</v>
      </c>
      <c r="BD680" t="s">
        <v>74</v>
      </c>
      <c r="BE680" t="s">
        <v>13459</v>
      </c>
      <c r="BF680" t="str">
        <f>HYPERLINK("http://dx.doi.org/10.1002/jqs.3200","http://dx.doi.org/10.1002/jqs.3200")</f>
        <v>http://dx.doi.org/10.1002/jqs.3200</v>
      </c>
      <c r="BG680" t="s">
        <v>74</v>
      </c>
      <c r="BH680" t="s">
        <v>74</v>
      </c>
      <c r="BI680">
        <v>10</v>
      </c>
      <c r="BJ680" t="s">
        <v>694</v>
      </c>
      <c r="BK680" t="s">
        <v>102</v>
      </c>
      <c r="BL680" t="s">
        <v>695</v>
      </c>
      <c r="BM680" t="s">
        <v>13460</v>
      </c>
      <c r="BN680" t="s">
        <v>74</v>
      </c>
      <c r="BO680" t="s">
        <v>74</v>
      </c>
      <c r="BP680" t="s">
        <v>74</v>
      </c>
      <c r="BQ680" t="s">
        <v>74</v>
      </c>
      <c r="BR680" t="s">
        <v>106</v>
      </c>
      <c r="BS680" t="s">
        <v>13461</v>
      </c>
      <c r="BT680" t="str">
        <f>HYPERLINK("https%3A%2F%2Fwww.webofscience.com%2Fwos%2Fwoscc%2Ffull-record%2FWOS:000530041800007","View Full Record in Web of Science")</f>
        <v>View Full Record in Web of Science</v>
      </c>
    </row>
    <row r="681" spans="1:72" x14ac:dyDescent="0.15">
      <c r="A681" t="s">
        <v>72</v>
      </c>
      <c r="B681" t="s">
        <v>13462</v>
      </c>
      <c r="C681" t="s">
        <v>74</v>
      </c>
      <c r="D681" t="s">
        <v>74</v>
      </c>
      <c r="E681" t="s">
        <v>74</v>
      </c>
      <c r="F681" t="s">
        <v>13463</v>
      </c>
      <c r="G681" t="s">
        <v>74</v>
      </c>
      <c r="H681" t="s">
        <v>74</v>
      </c>
      <c r="I681" t="s">
        <v>13464</v>
      </c>
      <c r="J681" t="s">
        <v>13465</v>
      </c>
      <c r="K681" t="s">
        <v>74</v>
      </c>
      <c r="L681" t="s">
        <v>74</v>
      </c>
      <c r="M681" t="s">
        <v>78</v>
      </c>
      <c r="N681" t="s">
        <v>245</v>
      </c>
      <c r="O681" t="s">
        <v>74</v>
      </c>
      <c r="P681" t="s">
        <v>74</v>
      </c>
      <c r="Q681" t="s">
        <v>74</v>
      </c>
      <c r="R681" t="s">
        <v>74</v>
      </c>
      <c r="S681" t="s">
        <v>74</v>
      </c>
      <c r="T681" t="s">
        <v>13466</v>
      </c>
      <c r="U681" t="s">
        <v>13467</v>
      </c>
      <c r="V681" t="s">
        <v>13468</v>
      </c>
      <c r="W681" t="s">
        <v>13469</v>
      </c>
      <c r="X681" t="s">
        <v>13470</v>
      </c>
      <c r="Y681" t="s">
        <v>13471</v>
      </c>
      <c r="Z681" t="s">
        <v>13472</v>
      </c>
      <c r="AA681" t="s">
        <v>74</v>
      </c>
      <c r="AB681" t="s">
        <v>74</v>
      </c>
      <c r="AC681" t="s">
        <v>13473</v>
      </c>
      <c r="AD681" t="s">
        <v>13473</v>
      </c>
      <c r="AE681" t="s">
        <v>13474</v>
      </c>
      <c r="AF681" t="s">
        <v>74</v>
      </c>
      <c r="AG681">
        <v>100</v>
      </c>
      <c r="AH681">
        <v>5</v>
      </c>
      <c r="AI681">
        <v>5</v>
      </c>
      <c r="AJ681">
        <v>1</v>
      </c>
      <c r="AK681">
        <v>18</v>
      </c>
      <c r="AL681" t="s">
        <v>92</v>
      </c>
      <c r="AM681" t="s">
        <v>93</v>
      </c>
      <c r="AN681" t="s">
        <v>94</v>
      </c>
      <c r="AO681" t="s">
        <v>13475</v>
      </c>
      <c r="AP681" t="s">
        <v>74</v>
      </c>
      <c r="AQ681" t="s">
        <v>74</v>
      </c>
      <c r="AR681" t="s">
        <v>13476</v>
      </c>
      <c r="AS681" t="s">
        <v>13477</v>
      </c>
      <c r="AT681" t="s">
        <v>11250</v>
      </c>
      <c r="AU681">
        <v>2020</v>
      </c>
      <c r="AV681">
        <v>90</v>
      </c>
      <c r="AW681" t="s">
        <v>74</v>
      </c>
      <c r="AX681" t="s">
        <v>74</v>
      </c>
      <c r="AY681" t="s">
        <v>74</v>
      </c>
      <c r="AZ681" t="s">
        <v>74</v>
      </c>
      <c r="BA681" t="s">
        <v>74</v>
      </c>
      <c r="BB681" t="s">
        <v>74</v>
      </c>
      <c r="BC681" t="s">
        <v>74</v>
      </c>
      <c r="BD681">
        <v>102594</v>
      </c>
      <c r="BE681" t="s">
        <v>13478</v>
      </c>
      <c r="BF681" t="str">
        <f>HYPERLINK("http://dx.doi.org/10.1016/j.jtherbio.2020.102594","http://dx.doi.org/10.1016/j.jtherbio.2020.102594")</f>
        <v>http://dx.doi.org/10.1016/j.jtherbio.2020.102594</v>
      </c>
      <c r="BG681" t="s">
        <v>74</v>
      </c>
      <c r="BH681" t="s">
        <v>74</v>
      </c>
      <c r="BI681">
        <v>14</v>
      </c>
      <c r="BJ681" t="s">
        <v>13479</v>
      </c>
      <c r="BK681" t="s">
        <v>102</v>
      </c>
      <c r="BL681" t="s">
        <v>13480</v>
      </c>
      <c r="BM681" t="s">
        <v>13481</v>
      </c>
      <c r="BN681">
        <v>32479389</v>
      </c>
      <c r="BO681" t="s">
        <v>74</v>
      </c>
      <c r="BP681" t="s">
        <v>74</v>
      </c>
      <c r="BQ681" t="s">
        <v>74</v>
      </c>
      <c r="BR681" t="s">
        <v>106</v>
      </c>
      <c r="BS681" t="s">
        <v>13482</v>
      </c>
      <c r="BT681" t="str">
        <f>HYPERLINK("https%3A%2F%2Fwww.webofscience.com%2Fwos%2Fwoscc%2Ffull-record%2FWOS:000537672900012","View Full Record in Web of Science")</f>
        <v>View Full Record in Web of Science</v>
      </c>
    </row>
    <row r="682" spans="1:72" x14ac:dyDescent="0.15">
      <c r="A682" t="s">
        <v>72</v>
      </c>
      <c r="B682" t="s">
        <v>13483</v>
      </c>
      <c r="C682" t="s">
        <v>74</v>
      </c>
      <c r="D682" t="s">
        <v>74</v>
      </c>
      <c r="E682" t="s">
        <v>74</v>
      </c>
      <c r="F682" t="s">
        <v>13484</v>
      </c>
      <c r="G682" t="s">
        <v>74</v>
      </c>
      <c r="H682" t="s">
        <v>74</v>
      </c>
      <c r="I682" t="s">
        <v>13485</v>
      </c>
      <c r="J682" t="s">
        <v>10377</v>
      </c>
      <c r="K682" t="s">
        <v>74</v>
      </c>
      <c r="L682" t="s">
        <v>74</v>
      </c>
      <c r="M682" t="s">
        <v>78</v>
      </c>
      <c r="N682" t="s">
        <v>79</v>
      </c>
      <c r="O682" t="s">
        <v>74</v>
      </c>
      <c r="P682" t="s">
        <v>74</v>
      </c>
      <c r="Q682" t="s">
        <v>74</v>
      </c>
      <c r="R682" t="s">
        <v>74</v>
      </c>
      <c r="S682" t="s">
        <v>74</v>
      </c>
      <c r="T682" t="s">
        <v>13486</v>
      </c>
      <c r="U682" t="s">
        <v>13487</v>
      </c>
      <c r="V682" t="s">
        <v>13488</v>
      </c>
      <c r="W682" t="s">
        <v>13489</v>
      </c>
      <c r="X682" t="s">
        <v>13490</v>
      </c>
      <c r="Y682" t="s">
        <v>13491</v>
      </c>
      <c r="Z682" t="s">
        <v>13492</v>
      </c>
      <c r="AA682" t="s">
        <v>13493</v>
      </c>
      <c r="AB682" t="s">
        <v>13494</v>
      </c>
      <c r="AC682" t="s">
        <v>13495</v>
      </c>
      <c r="AD682" t="s">
        <v>688</v>
      </c>
      <c r="AE682" t="s">
        <v>74</v>
      </c>
      <c r="AF682" t="s">
        <v>74</v>
      </c>
      <c r="AG682">
        <v>75</v>
      </c>
      <c r="AH682">
        <v>64</v>
      </c>
      <c r="AI682">
        <v>67</v>
      </c>
      <c r="AJ682">
        <v>2</v>
      </c>
      <c r="AK682">
        <v>46</v>
      </c>
      <c r="AL682" t="s">
        <v>994</v>
      </c>
      <c r="AM682" t="s">
        <v>995</v>
      </c>
      <c r="AN682" t="s">
        <v>996</v>
      </c>
      <c r="AO682" t="s">
        <v>10388</v>
      </c>
      <c r="AP682" t="s">
        <v>10389</v>
      </c>
      <c r="AQ682" t="s">
        <v>74</v>
      </c>
      <c r="AR682" t="s">
        <v>10390</v>
      </c>
      <c r="AS682" t="s">
        <v>10391</v>
      </c>
      <c r="AT682" t="s">
        <v>11250</v>
      </c>
      <c r="AU682">
        <v>2020</v>
      </c>
      <c r="AV682">
        <v>29</v>
      </c>
      <c r="AW682">
        <v>9</v>
      </c>
      <c r="AX682" t="s">
        <v>74</v>
      </c>
      <c r="AY682" t="s">
        <v>74</v>
      </c>
      <c r="AZ682" t="s">
        <v>74</v>
      </c>
      <c r="BA682" t="s">
        <v>74</v>
      </c>
      <c r="BB682">
        <v>1596</v>
      </c>
      <c r="BC682">
        <v>1610</v>
      </c>
      <c r="BD682" t="s">
        <v>74</v>
      </c>
      <c r="BE682" t="s">
        <v>13496</v>
      </c>
      <c r="BF682" t="str">
        <f>HYPERLINK("http://dx.doi.org/10.1111/mec.15329","http://dx.doi.org/10.1111/mec.15329")</f>
        <v>http://dx.doi.org/10.1111/mec.15329</v>
      </c>
      <c r="BG682" t="s">
        <v>74</v>
      </c>
      <c r="BH682" t="s">
        <v>74</v>
      </c>
      <c r="BI682">
        <v>15</v>
      </c>
      <c r="BJ682" t="s">
        <v>10393</v>
      </c>
      <c r="BK682" t="s">
        <v>925</v>
      </c>
      <c r="BL682" t="s">
        <v>10394</v>
      </c>
      <c r="BM682" t="s">
        <v>13497</v>
      </c>
      <c r="BN682">
        <v>31840921</v>
      </c>
      <c r="BO682" t="s">
        <v>13498</v>
      </c>
      <c r="BP682" t="s">
        <v>74</v>
      </c>
      <c r="BQ682" t="s">
        <v>74</v>
      </c>
      <c r="BR682" t="s">
        <v>106</v>
      </c>
      <c r="BS682" t="s">
        <v>13499</v>
      </c>
      <c r="BT682" t="str">
        <f>HYPERLINK("https%3A%2F%2Fwww.webofscience.com%2Fwos%2Fwoscc%2Ffull-record%2FWOS:000538310700003","View Full Record in Web of Science")</f>
        <v>View Full Record in Web of Science</v>
      </c>
    </row>
    <row r="683" spans="1:72" x14ac:dyDescent="0.15">
      <c r="A683" t="s">
        <v>72</v>
      </c>
      <c r="B683" t="s">
        <v>13500</v>
      </c>
      <c r="C683" t="s">
        <v>74</v>
      </c>
      <c r="D683" t="s">
        <v>74</v>
      </c>
      <c r="E683" t="s">
        <v>74</v>
      </c>
      <c r="F683" t="s">
        <v>13501</v>
      </c>
      <c r="G683" t="s">
        <v>74</v>
      </c>
      <c r="H683" t="s">
        <v>74</v>
      </c>
      <c r="I683" t="s">
        <v>13502</v>
      </c>
      <c r="J683" t="s">
        <v>13503</v>
      </c>
      <c r="K683" t="s">
        <v>74</v>
      </c>
      <c r="L683" t="s">
        <v>74</v>
      </c>
      <c r="M683" t="s">
        <v>78</v>
      </c>
      <c r="N683" t="s">
        <v>79</v>
      </c>
      <c r="O683" t="s">
        <v>74</v>
      </c>
      <c r="P683" t="s">
        <v>74</v>
      </c>
      <c r="Q683" t="s">
        <v>74</v>
      </c>
      <c r="R683" t="s">
        <v>74</v>
      </c>
      <c r="S683" t="s">
        <v>74</v>
      </c>
      <c r="T683" t="s">
        <v>13504</v>
      </c>
      <c r="U683" t="s">
        <v>13505</v>
      </c>
      <c r="V683" t="s">
        <v>13506</v>
      </c>
      <c r="W683" t="s">
        <v>13507</v>
      </c>
      <c r="X683" t="s">
        <v>13508</v>
      </c>
      <c r="Y683" t="s">
        <v>13509</v>
      </c>
      <c r="Z683" t="s">
        <v>13510</v>
      </c>
      <c r="AA683" t="s">
        <v>13511</v>
      </c>
      <c r="AB683" t="s">
        <v>13512</v>
      </c>
      <c r="AC683" t="s">
        <v>74</v>
      </c>
      <c r="AD683" t="s">
        <v>74</v>
      </c>
      <c r="AE683" t="s">
        <v>74</v>
      </c>
      <c r="AF683" t="s">
        <v>74</v>
      </c>
      <c r="AG683">
        <v>38</v>
      </c>
      <c r="AH683">
        <v>5</v>
      </c>
      <c r="AI683">
        <v>5</v>
      </c>
      <c r="AJ683">
        <v>0</v>
      </c>
      <c r="AK683">
        <v>10</v>
      </c>
      <c r="AL683" t="s">
        <v>4124</v>
      </c>
      <c r="AM683" t="s">
        <v>399</v>
      </c>
      <c r="AN683" t="s">
        <v>4125</v>
      </c>
      <c r="AO683" t="s">
        <v>13513</v>
      </c>
      <c r="AP683" t="s">
        <v>13514</v>
      </c>
      <c r="AQ683" t="s">
        <v>74</v>
      </c>
      <c r="AR683" t="s">
        <v>13515</v>
      </c>
      <c r="AS683" t="s">
        <v>13516</v>
      </c>
      <c r="AT683" t="s">
        <v>11250</v>
      </c>
      <c r="AU683">
        <v>2020</v>
      </c>
      <c r="AV683">
        <v>54</v>
      </c>
      <c r="AW683">
        <v>3</v>
      </c>
      <c r="AX683" t="s">
        <v>74</v>
      </c>
      <c r="AY683" t="s">
        <v>74</v>
      </c>
      <c r="AZ683" t="s">
        <v>74</v>
      </c>
      <c r="BA683" t="s">
        <v>74</v>
      </c>
      <c r="BB683">
        <v>189</v>
      </c>
      <c r="BC683">
        <v>198</v>
      </c>
      <c r="BD683" t="s">
        <v>74</v>
      </c>
      <c r="BE683" t="s">
        <v>13517</v>
      </c>
      <c r="BF683" t="str">
        <f>HYPERLINK("http://dx.doi.org/10.3103/S0095452720030044","http://dx.doi.org/10.3103/S0095452720030044")</f>
        <v>http://dx.doi.org/10.3103/S0095452720030044</v>
      </c>
      <c r="BG683" t="s">
        <v>74</v>
      </c>
      <c r="BH683" t="s">
        <v>74</v>
      </c>
      <c r="BI683">
        <v>10</v>
      </c>
      <c r="BJ683" t="s">
        <v>3810</v>
      </c>
      <c r="BK683" t="s">
        <v>102</v>
      </c>
      <c r="BL683" t="s">
        <v>3810</v>
      </c>
      <c r="BM683" t="s">
        <v>13518</v>
      </c>
      <c r="BN683" t="s">
        <v>74</v>
      </c>
      <c r="BO683" t="s">
        <v>74</v>
      </c>
      <c r="BP683" t="s">
        <v>74</v>
      </c>
      <c r="BQ683" t="s">
        <v>74</v>
      </c>
      <c r="BR683" t="s">
        <v>106</v>
      </c>
      <c r="BS683" t="s">
        <v>13519</v>
      </c>
      <c r="BT683" t="str">
        <f>HYPERLINK("https%3A%2F%2Fwww.webofscience.com%2Fwos%2Fwoscc%2Ffull-record%2FWOS:000538035000002","View Full Record in Web of Science")</f>
        <v>View Full Record in Web of Science</v>
      </c>
    </row>
    <row r="684" spans="1:72" x14ac:dyDescent="0.15">
      <c r="A684" t="s">
        <v>72</v>
      </c>
      <c r="B684" t="s">
        <v>13520</v>
      </c>
      <c r="C684" t="s">
        <v>74</v>
      </c>
      <c r="D684" t="s">
        <v>74</v>
      </c>
      <c r="E684" t="s">
        <v>74</v>
      </c>
      <c r="F684" t="s">
        <v>13521</v>
      </c>
      <c r="G684" t="s">
        <v>74</v>
      </c>
      <c r="H684" t="s">
        <v>74</v>
      </c>
      <c r="I684" t="s">
        <v>13522</v>
      </c>
      <c r="J684" t="s">
        <v>13523</v>
      </c>
      <c r="K684" t="s">
        <v>74</v>
      </c>
      <c r="L684" t="s">
        <v>74</v>
      </c>
      <c r="M684" t="s">
        <v>78</v>
      </c>
      <c r="N684" t="s">
        <v>79</v>
      </c>
      <c r="O684" t="s">
        <v>74</v>
      </c>
      <c r="P684" t="s">
        <v>74</v>
      </c>
      <c r="Q684" t="s">
        <v>74</v>
      </c>
      <c r="R684" t="s">
        <v>74</v>
      </c>
      <c r="S684" t="s">
        <v>74</v>
      </c>
      <c r="T684" t="s">
        <v>74</v>
      </c>
      <c r="U684" t="s">
        <v>13524</v>
      </c>
      <c r="V684" t="s">
        <v>13525</v>
      </c>
      <c r="W684" t="s">
        <v>13526</v>
      </c>
      <c r="X684" t="s">
        <v>8371</v>
      </c>
      <c r="Y684" t="s">
        <v>13527</v>
      </c>
      <c r="Z684" t="s">
        <v>13528</v>
      </c>
      <c r="AA684" t="s">
        <v>13529</v>
      </c>
      <c r="AB684" t="s">
        <v>13530</v>
      </c>
      <c r="AC684" t="s">
        <v>13531</v>
      </c>
      <c r="AD684" t="s">
        <v>13532</v>
      </c>
      <c r="AE684" t="s">
        <v>13533</v>
      </c>
      <c r="AF684" t="s">
        <v>74</v>
      </c>
      <c r="AG684">
        <v>46</v>
      </c>
      <c r="AH684">
        <v>5</v>
      </c>
      <c r="AI684">
        <v>5</v>
      </c>
      <c r="AJ684">
        <v>1</v>
      </c>
      <c r="AK684">
        <v>19</v>
      </c>
      <c r="AL684" t="s">
        <v>151</v>
      </c>
      <c r="AM684" t="s">
        <v>152</v>
      </c>
      <c r="AN684" t="s">
        <v>153</v>
      </c>
      <c r="AO684" t="s">
        <v>13534</v>
      </c>
      <c r="AP684" t="s">
        <v>13535</v>
      </c>
      <c r="AQ684" t="s">
        <v>74</v>
      </c>
      <c r="AR684" t="s">
        <v>13536</v>
      </c>
      <c r="AS684" t="s">
        <v>13537</v>
      </c>
      <c r="AT684" t="s">
        <v>11250</v>
      </c>
      <c r="AU684">
        <v>2020</v>
      </c>
      <c r="AV684">
        <v>55</v>
      </c>
      <c r="AW684">
        <v>5</v>
      </c>
      <c r="AX684" t="s">
        <v>74</v>
      </c>
      <c r="AY684" t="s">
        <v>74</v>
      </c>
      <c r="AZ684" t="s">
        <v>74</v>
      </c>
      <c r="BA684" t="s">
        <v>74</v>
      </c>
      <c r="BB684" t="s">
        <v>74</v>
      </c>
      <c r="BC684" t="s">
        <v>74</v>
      </c>
      <c r="BD684" t="s">
        <v>13538</v>
      </c>
      <c r="BE684" t="s">
        <v>13539</v>
      </c>
      <c r="BF684" t="str">
        <f>HYPERLINK("http://dx.doi.org/10.1029/2019RS006909","http://dx.doi.org/10.1029/2019RS006909")</f>
        <v>http://dx.doi.org/10.1029/2019RS006909</v>
      </c>
      <c r="BG684" t="s">
        <v>74</v>
      </c>
      <c r="BH684" t="s">
        <v>74</v>
      </c>
      <c r="BI684">
        <v>16</v>
      </c>
      <c r="BJ684" t="s">
        <v>13540</v>
      </c>
      <c r="BK684" t="s">
        <v>102</v>
      </c>
      <c r="BL684" t="s">
        <v>13540</v>
      </c>
      <c r="BM684" t="s">
        <v>13541</v>
      </c>
      <c r="BN684" t="s">
        <v>74</v>
      </c>
      <c r="BO684" t="s">
        <v>74</v>
      </c>
      <c r="BP684" t="s">
        <v>74</v>
      </c>
      <c r="BQ684" t="s">
        <v>74</v>
      </c>
      <c r="BR684" t="s">
        <v>106</v>
      </c>
      <c r="BS684" t="s">
        <v>13542</v>
      </c>
      <c r="BT684" t="str">
        <f>HYPERLINK("https%3A%2F%2Fwww.webofscience.com%2Fwos%2Fwoscc%2Ffull-record%2FWOS:000537796600004","View Full Record in Web of Science")</f>
        <v>View Full Record in Web of Science</v>
      </c>
    </row>
    <row r="685" spans="1:72" x14ac:dyDescent="0.15">
      <c r="A685" t="s">
        <v>72</v>
      </c>
      <c r="B685" t="s">
        <v>13543</v>
      </c>
      <c r="C685" t="s">
        <v>74</v>
      </c>
      <c r="D685" t="s">
        <v>74</v>
      </c>
      <c r="E685" t="s">
        <v>74</v>
      </c>
      <c r="F685" t="s">
        <v>13544</v>
      </c>
      <c r="G685" t="s">
        <v>74</v>
      </c>
      <c r="H685" t="s">
        <v>74</v>
      </c>
      <c r="I685" t="s">
        <v>13545</v>
      </c>
      <c r="J685" t="s">
        <v>3935</v>
      </c>
      <c r="K685" t="s">
        <v>74</v>
      </c>
      <c r="L685" t="s">
        <v>74</v>
      </c>
      <c r="M685" t="s">
        <v>78</v>
      </c>
      <c r="N685" t="s">
        <v>79</v>
      </c>
      <c r="O685" t="s">
        <v>74</v>
      </c>
      <c r="P685" t="s">
        <v>74</v>
      </c>
      <c r="Q685" t="s">
        <v>74</v>
      </c>
      <c r="R685" t="s">
        <v>74</v>
      </c>
      <c r="S685" t="s">
        <v>74</v>
      </c>
      <c r="T685" t="s">
        <v>13546</v>
      </c>
      <c r="U685" t="s">
        <v>13547</v>
      </c>
      <c r="V685" t="s">
        <v>13548</v>
      </c>
      <c r="W685" t="s">
        <v>13549</v>
      </c>
      <c r="X685" t="s">
        <v>13550</v>
      </c>
      <c r="Y685" t="s">
        <v>13551</v>
      </c>
      <c r="Z685" t="s">
        <v>13552</v>
      </c>
      <c r="AA685" t="s">
        <v>13553</v>
      </c>
      <c r="AB685" t="s">
        <v>13554</v>
      </c>
      <c r="AC685" t="s">
        <v>13555</v>
      </c>
      <c r="AD685" t="s">
        <v>13556</v>
      </c>
      <c r="AE685" t="s">
        <v>13557</v>
      </c>
      <c r="AF685" t="s">
        <v>74</v>
      </c>
      <c r="AG685">
        <v>71</v>
      </c>
      <c r="AH685">
        <v>175</v>
      </c>
      <c r="AI685">
        <v>183</v>
      </c>
      <c r="AJ685">
        <v>31</v>
      </c>
      <c r="AK685">
        <v>196</v>
      </c>
      <c r="AL685" t="s">
        <v>151</v>
      </c>
      <c r="AM685" t="s">
        <v>152</v>
      </c>
      <c r="AN685" t="s">
        <v>153</v>
      </c>
      <c r="AO685" t="s">
        <v>74</v>
      </c>
      <c r="AP685" t="s">
        <v>3948</v>
      </c>
      <c r="AQ685" t="s">
        <v>74</v>
      </c>
      <c r="AR685" t="s">
        <v>3935</v>
      </c>
      <c r="AS685" t="s">
        <v>3949</v>
      </c>
      <c r="AT685" t="s">
        <v>11250</v>
      </c>
      <c r="AU685">
        <v>2020</v>
      </c>
      <c r="AV685">
        <v>8</v>
      </c>
      <c r="AW685">
        <v>5</v>
      </c>
      <c r="AX685" t="s">
        <v>74</v>
      </c>
      <c r="AY685" t="s">
        <v>74</v>
      </c>
      <c r="AZ685" t="s">
        <v>74</v>
      </c>
      <c r="BA685" t="s">
        <v>74</v>
      </c>
      <c r="BB685" t="s">
        <v>74</v>
      </c>
      <c r="BC685" t="s">
        <v>74</v>
      </c>
      <c r="BD685" t="s">
        <v>13558</v>
      </c>
      <c r="BE685" t="s">
        <v>13559</v>
      </c>
      <c r="BF685" t="str">
        <f>HYPERLINK("http://dx.doi.org/10.1029/2019EF001469","http://dx.doi.org/10.1029/2019EF001469")</f>
        <v>http://dx.doi.org/10.1029/2019EF001469</v>
      </c>
      <c r="BG685" t="s">
        <v>74</v>
      </c>
      <c r="BH685" t="s">
        <v>74</v>
      </c>
      <c r="BI685">
        <v>24</v>
      </c>
      <c r="BJ685" t="s">
        <v>3953</v>
      </c>
      <c r="BK685" t="s">
        <v>102</v>
      </c>
      <c r="BL685" t="s">
        <v>3954</v>
      </c>
      <c r="BM685" t="s">
        <v>13560</v>
      </c>
      <c r="BN685" t="s">
        <v>74</v>
      </c>
      <c r="BO685" t="s">
        <v>1034</v>
      </c>
      <c r="BP685" t="s">
        <v>162</v>
      </c>
      <c r="BQ685" t="s">
        <v>163</v>
      </c>
      <c r="BR685" t="s">
        <v>106</v>
      </c>
      <c r="BS685" t="s">
        <v>13561</v>
      </c>
      <c r="BT685" t="str">
        <f>HYPERLINK("https%3A%2F%2Fwww.webofscience.com%2Fwos%2Fwoscc%2Ffull-record%2FWOS:000537734300001","View Full Record in Web of Science")</f>
        <v>View Full Record in Web of Science</v>
      </c>
    </row>
    <row r="686" spans="1:72" x14ac:dyDescent="0.15">
      <c r="A686" t="s">
        <v>72</v>
      </c>
      <c r="B686" t="s">
        <v>13562</v>
      </c>
      <c r="C686" t="s">
        <v>74</v>
      </c>
      <c r="D686" t="s">
        <v>74</v>
      </c>
      <c r="E686" t="s">
        <v>74</v>
      </c>
      <c r="F686" t="s">
        <v>13563</v>
      </c>
      <c r="G686" t="s">
        <v>74</v>
      </c>
      <c r="H686" t="s">
        <v>74</v>
      </c>
      <c r="I686" t="s">
        <v>13564</v>
      </c>
      <c r="J686" t="s">
        <v>138</v>
      </c>
      <c r="K686" t="s">
        <v>74</v>
      </c>
      <c r="L686" t="s">
        <v>74</v>
      </c>
      <c r="M686" t="s">
        <v>78</v>
      </c>
      <c r="N686" t="s">
        <v>79</v>
      </c>
      <c r="O686" t="s">
        <v>74</v>
      </c>
      <c r="P686" t="s">
        <v>74</v>
      </c>
      <c r="Q686" t="s">
        <v>74</v>
      </c>
      <c r="R686" t="s">
        <v>74</v>
      </c>
      <c r="S686" t="s">
        <v>74</v>
      </c>
      <c r="T686" t="s">
        <v>13565</v>
      </c>
      <c r="U686" t="s">
        <v>13566</v>
      </c>
      <c r="V686" t="s">
        <v>13567</v>
      </c>
      <c r="W686" t="s">
        <v>13568</v>
      </c>
      <c r="X686" t="s">
        <v>13569</v>
      </c>
      <c r="Y686" t="s">
        <v>13570</v>
      </c>
      <c r="Z686" t="s">
        <v>13571</v>
      </c>
      <c r="AA686" t="s">
        <v>13572</v>
      </c>
      <c r="AB686" t="s">
        <v>13573</v>
      </c>
      <c r="AC686" t="s">
        <v>13574</v>
      </c>
      <c r="AD686" t="s">
        <v>13575</v>
      </c>
      <c r="AE686" t="s">
        <v>13576</v>
      </c>
      <c r="AF686" t="s">
        <v>74</v>
      </c>
      <c r="AG686">
        <v>115</v>
      </c>
      <c r="AH686">
        <v>63</v>
      </c>
      <c r="AI686">
        <v>64</v>
      </c>
      <c r="AJ686">
        <v>4</v>
      </c>
      <c r="AK686">
        <v>18</v>
      </c>
      <c r="AL686" t="s">
        <v>151</v>
      </c>
      <c r="AM686" t="s">
        <v>152</v>
      </c>
      <c r="AN686" t="s">
        <v>153</v>
      </c>
      <c r="AO686" t="s">
        <v>74</v>
      </c>
      <c r="AP686" t="s">
        <v>154</v>
      </c>
      <c r="AQ686" t="s">
        <v>74</v>
      </c>
      <c r="AR686" t="s">
        <v>155</v>
      </c>
      <c r="AS686" t="s">
        <v>156</v>
      </c>
      <c r="AT686" t="s">
        <v>11250</v>
      </c>
      <c r="AU686">
        <v>2020</v>
      </c>
      <c r="AV686">
        <v>12</v>
      </c>
      <c r="AW686">
        <v>5</v>
      </c>
      <c r="AX686" t="s">
        <v>74</v>
      </c>
      <c r="AY686" t="s">
        <v>74</v>
      </c>
      <c r="AZ686" t="s">
        <v>74</v>
      </c>
      <c r="BA686" t="s">
        <v>74</v>
      </c>
      <c r="BB686" t="s">
        <v>74</v>
      </c>
      <c r="BC686" t="s">
        <v>74</v>
      </c>
      <c r="BD686" t="s">
        <v>13577</v>
      </c>
      <c r="BE686" t="s">
        <v>13578</v>
      </c>
      <c r="BF686" t="str">
        <f>HYPERLINK("http://dx.doi.org/10.1029/2020MS002065","http://dx.doi.org/10.1029/2020MS002065")</f>
        <v>http://dx.doi.org/10.1029/2020MS002065</v>
      </c>
      <c r="BG686" t="s">
        <v>74</v>
      </c>
      <c r="BH686" t="s">
        <v>74</v>
      </c>
      <c r="BI686">
        <v>25</v>
      </c>
      <c r="BJ686" t="s">
        <v>159</v>
      </c>
      <c r="BK686" t="s">
        <v>102</v>
      </c>
      <c r="BL686" t="s">
        <v>159</v>
      </c>
      <c r="BM686" t="s">
        <v>13579</v>
      </c>
      <c r="BN686" t="s">
        <v>74</v>
      </c>
      <c r="BO686" t="s">
        <v>1778</v>
      </c>
      <c r="BP686" t="s">
        <v>74</v>
      </c>
      <c r="BQ686" t="s">
        <v>74</v>
      </c>
      <c r="BR686" t="s">
        <v>106</v>
      </c>
      <c r="BS686" t="s">
        <v>13580</v>
      </c>
      <c r="BT686" t="str">
        <f>HYPERLINK("https%3A%2F%2Fwww.webofscience.com%2Fwos%2Fwoscc%2Ffull-record%2FWOS:000537798800011","View Full Record in Web of Science")</f>
        <v>View Full Record in Web of Science</v>
      </c>
    </row>
    <row r="687" spans="1:72" x14ac:dyDescent="0.15">
      <c r="A687" t="s">
        <v>72</v>
      </c>
      <c r="B687" t="s">
        <v>13581</v>
      </c>
      <c r="C687" t="s">
        <v>74</v>
      </c>
      <c r="D687" t="s">
        <v>74</v>
      </c>
      <c r="E687" t="s">
        <v>74</v>
      </c>
      <c r="F687" t="s">
        <v>13582</v>
      </c>
      <c r="G687" t="s">
        <v>74</v>
      </c>
      <c r="H687" t="s">
        <v>74</v>
      </c>
      <c r="I687" t="s">
        <v>13583</v>
      </c>
      <c r="J687" t="s">
        <v>4538</v>
      </c>
      <c r="K687" t="s">
        <v>74</v>
      </c>
      <c r="L687" t="s">
        <v>74</v>
      </c>
      <c r="M687" t="s">
        <v>78</v>
      </c>
      <c r="N687" t="s">
        <v>79</v>
      </c>
      <c r="O687" t="s">
        <v>74</v>
      </c>
      <c r="P687" t="s">
        <v>74</v>
      </c>
      <c r="Q687" t="s">
        <v>74</v>
      </c>
      <c r="R687" t="s">
        <v>74</v>
      </c>
      <c r="S687" t="s">
        <v>74</v>
      </c>
      <c r="T687" t="s">
        <v>13584</v>
      </c>
      <c r="U687" t="s">
        <v>13585</v>
      </c>
      <c r="V687" t="s">
        <v>13586</v>
      </c>
      <c r="W687" t="s">
        <v>13587</v>
      </c>
      <c r="X687" t="s">
        <v>13588</v>
      </c>
      <c r="Y687" t="s">
        <v>13589</v>
      </c>
      <c r="Z687" t="s">
        <v>13590</v>
      </c>
      <c r="AA687" t="s">
        <v>13591</v>
      </c>
      <c r="AB687" t="s">
        <v>13592</v>
      </c>
      <c r="AC687" t="s">
        <v>13593</v>
      </c>
      <c r="AD687" t="s">
        <v>13594</v>
      </c>
      <c r="AE687" t="s">
        <v>13595</v>
      </c>
      <c r="AF687" t="s">
        <v>74</v>
      </c>
      <c r="AG687">
        <v>67</v>
      </c>
      <c r="AH687">
        <v>8</v>
      </c>
      <c r="AI687">
        <v>8</v>
      </c>
      <c r="AJ687">
        <v>1</v>
      </c>
      <c r="AK687">
        <v>3</v>
      </c>
      <c r="AL687" t="s">
        <v>151</v>
      </c>
      <c r="AM687" t="s">
        <v>152</v>
      </c>
      <c r="AN687" t="s">
        <v>153</v>
      </c>
      <c r="AO687" t="s">
        <v>4551</v>
      </c>
      <c r="AP687" t="s">
        <v>4552</v>
      </c>
      <c r="AQ687" t="s">
        <v>74</v>
      </c>
      <c r="AR687" t="s">
        <v>4553</v>
      </c>
      <c r="AS687" t="s">
        <v>4554</v>
      </c>
      <c r="AT687" t="s">
        <v>11250</v>
      </c>
      <c r="AU687">
        <v>2020</v>
      </c>
      <c r="AV687">
        <v>125</v>
      </c>
      <c r="AW687">
        <v>5</v>
      </c>
      <c r="AX687" t="s">
        <v>74</v>
      </c>
      <c r="AY687" t="s">
        <v>74</v>
      </c>
      <c r="AZ687" t="s">
        <v>74</v>
      </c>
      <c r="BA687" t="s">
        <v>74</v>
      </c>
      <c r="BB687" t="s">
        <v>74</v>
      </c>
      <c r="BC687" t="s">
        <v>74</v>
      </c>
      <c r="BD687" t="s">
        <v>13596</v>
      </c>
      <c r="BE687" t="s">
        <v>13597</v>
      </c>
      <c r="BF687" t="str">
        <f>HYPERLINK("http://dx.doi.org/10.1029/2019JF005237","http://dx.doi.org/10.1029/2019JF005237")</f>
        <v>http://dx.doi.org/10.1029/2019JF005237</v>
      </c>
      <c r="BG687" t="s">
        <v>74</v>
      </c>
      <c r="BH687" t="s">
        <v>74</v>
      </c>
      <c r="BI687">
        <v>19</v>
      </c>
      <c r="BJ687" t="s">
        <v>471</v>
      </c>
      <c r="BK687" t="s">
        <v>102</v>
      </c>
      <c r="BL687" t="s">
        <v>472</v>
      </c>
      <c r="BM687" t="s">
        <v>13598</v>
      </c>
      <c r="BN687" t="s">
        <v>74</v>
      </c>
      <c r="BO687" t="s">
        <v>1988</v>
      </c>
      <c r="BP687" t="s">
        <v>74</v>
      </c>
      <c r="BQ687" t="s">
        <v>74</v>
      </c>
      <c r="BR687" t="s">
        <v>106</v>
      </c>
      <c r="BS687" t="s">
        <v>13599</v>
      </c>
      <c r="BT687" t="str">
        <f>HYPERLINK("https%3A%2F%2Fwww.webofscience.com%2Fwos%2Fwoscc%2Ffull-record%2FWOS:000537741400004","View Full Record in Web of Science")</f>
        <v>View Full Record in Web of Science</v>
      </c>
    </row>
    <row r="688" spans="1:72" x14ac:dyDescent="0.15">
      <c r="A688" t="s">
        <v>72</v>
      </c>
      <c r="B688" t="s">
        <v>13600</v>
      </c>
      <c r="C688" t="s">
        <v>74</v>
      </c>
      <c r="D688" t="s">
        <v>74</v>
      </c>
      <c r="E688" t="s">
        <v>74</v>
      </c>
      <c r="F688" t="s">
        <v>13601</v>
      </c>
      <c r="G688" t="s">
        <v>74</v>
      </c>
      <c r="H688" t="s">
        <v>74</v>
      </c>
      <c r="I688" t="s">
        <v>13602</v>
      </c>
      <c r="J688" t="s">
        <v>13603</v>
      </c>
      <c r="K688" t="s">
        <v>74</v>
      </c>
      <c r="L688" t="s">
        <v>74</v>
      </c>
      <c r="M688" t="s">
        <v>78</v>
      </c>
      <c r="N688" t="s">
        <v>79</v>
      </c>
      <c r="O688" t="s">
        <v>74</v>
      </c>
      <c r="P688" t="s">
        <v>74</v>
      </c>
      <c r="Q688" t="s">
        <v>74</v>
      </c>
      <c r="R688" t="s">
        <v>74</v>
      </c>
      <c r="S688" t="s">
        <v>74</v>
      </c>
      <c r="T688" t="s">
        <v>13604</v>
      </c>
      <c r="U688" t="s">
        <v>13605</v>
      </c>
      <c r="V688" t="s">
        <v>13606</v>
      </c>
      <c r="W688" t="s">
        <v>13607</v>
      </c>
      <c r="X688" t="s">
        <v>13608</v>
      </c>
      <c r="Y688" t="s">
        <v>13609</v>
      </c>
      <c r="Z688" t="s">
        <v>13610</v>
      </c>
      <c r="AA688" t="s">
        <v>13611</v>
      </c>
      <c r="AB688" t="s">
        <v>13612</v>
      </c>
      <c r="AC688" t="s">
        <v>13613</v>
      </c>
      <c r="AD688" t="s">
        <v>13614</v>
      </c>
      <c r="AE688" t="s">
        <v>13615</v>
      </c>
      <c r="AF688" t="s">
        <v>74</v>
      </c>
      <c r="AG688">
        <v>107</v>
      </c>
      <c r="AH688">
        <v>21</v>
      </c>
      <c r="AI688">
        <v>21</v>
      </c>
      <c r="AJ688">
        <v>1</v>
      </c>
      <c r="AK688">
        <v>9</v>
      </c>
      <c r="AL688" t="s">
        <v>151</v>
      </c>
      <c r="AM688" t="s">
        <v>152</v>
      </c>
      <c r="AN688" t="s">
        <v>153</v>
      </c>
      <c r="AO688" t="s">
        <v>13616</v>
      </c>
      <c r="AP688" t="s">
        <v>13617</v>
      </c>
      <c r="AQ688" t="s">
        <v>74</v>
      </c>
      <c r="AR688" t="s">
        <v>13618</v>
      </c>
      <c r="AS688" t="s">
        <v>13619</v>
      </c>
      <c r="AT688" t="s">
        <v>11250</v>
      </c>
      <c r="AU688">
        <v>2020</v>
      </c>
      <c r="AV688">
        <v>125</v>
      </c>
      <c r="AW688">
        <v>5</v>
      </c>
      <c r="AX688" t="s">
        <v>74</v>
      </c>
      <c r="AY688" t="s">
        <v>74</v>
      </c>
      <c r="AZ688" t="s">
        <v>74</v>
      </c>
      <c r="BA688" t="s">
        <v>74</v>
      </c>
      <c r="BB688" t="s">
        <v>74</v>
      </c>
      <c r="BC688" t="s">
        <v>74</v>
      </c>
      <c r="BD688" t="s">
        <v>13620</v>
      </c>
      <c r="BE688" t="s">
        <v>13621</v>
      </c>
      <c r="BF688" t="str">
        <f>HYPERLINK("http://dx.doi.org/10.1029/2019JE006260","http://dx.doi.org/10.1029/2019JE006260")</f>
        <v>http://dx.doi.org/10.1029/2019JE006260</v>
      </c>
      <c r="BG688" t="s">
        <v>74</v>
      </c>
      <c r="BH688" t="s">
        <v>74</v>
      </c>
      <c r="BI688">
        <v>20</v>
      </c>
      <c r="BJ688" t="s">
        <v>131</v>
      </c>
      <c r="BK688" t="s">
        <v>102</v>
      </c>
      <c r="BL688" t="s">
        <v>131</v>
      </c>
      <c r="BM688" t="s">
        <v>13622</v>
      </c>
      <c r="BN688" t="s">
        <v>74</v>
      </c>
      <c r="BO688" t="s">
        <v>1657</v>
      </c>
      <c r="BP688" t="s">
        <v>74</v>
      </c>
      <c r="BQ688" t="s">
        <v>74</v>
      </c>
      <c r="BR688" t="s">
        <v>106</v>
      </c>
      <c r="BS688" t="s">
        <v>13623</v>
      </c>
      <c r="BT688" t="str">
        <f>HYPERLINK("https%3A%2F%2Fwww.webofscience.com%2Fwos%2Fwoscc%2Ffull-record%2FWOS:000537906800002","View Full Record in Web of Science")</f>
        <v>View Full Record in Web of Science</v>
      </c>
    </row>
    <row r="689" spans="1:72" x14ac:dyDescent="0.15">
      <c r="A689" t="s">
        <v>72</v>
      </c>
      <c r="B689" t="s">
        <v>13624</v>
      </c>
      <c r="C689" t="s">
        <v>74</v>
      </c>
      <c r="D689" t="s">
        <v>74</v>
      </c>
      <c r="E689" t="s">
        <v>74</v>
      </c>
      <c r="F689" t="s">
        <v>13625</v>
      </c>
      <c r="G689" t="s">
        <v>74</v>
      </c>
      <c r="H689" t="s">
        <v>74</v>
      </c>
      <c r="I689" t="s">
        <v>13626</v>
      </c>
      <c r="J689" t="s">
        <v>13627</v>
      </c>
      <c r="K689" t="s">
        <v>74</v>
      </c>
      <c r="L689" t="s">
        <v>74</v>
      </c>
      <c r="M689" t="s">
        <v>78</v>
      </c>
      <c r="N689" t="s">
        <v>79</v>
      </c>
      <c r="O689" t="s">
        <v>74</v>
      </c>
      <c r="P689" t="s">
        <v>74</v>
      </c>
      <c r="Q689" t="s">
        <v>74</v>
      </c>
      <c r="R689" t="s">
        <v>74</v>
      </c>
      <c r="S689" t="s">
        <v>74</v>
      </c>
      <c r="T689" t="s">
        <v>13628</v>
      </c>
      <c r="U689" t="s">
        <v>13629</v>
      </c>
      <c r="V689" t="s">
        <v>13630</v>
      </c>
      <c r="W689" t="s">
        <v>13631</v>
      </c>
      <c r="X689" t="s">
        <v>13632</v>
      </c>
      <c r="Y689" t="s">
        <v>13633</v>
      </c>
      <c r="Z689" t="s">
        <v>13634</v>
      </c>
      <c r="AA689" t="s">
        <v>13635</v>
      </c>
      <c r="AB689" t="s">
        <v>13636</v>
      </c>
      <c r="AC689" t="s">
        <v>13637</v>
      </c>
      <c r="AD689" t="s">
        <v>13638</v>
      </c>
      <c r="AE689" t="s">
        <v>13639</v>
      </c>
      <c r="AF689" t="s">
        <v>74</v>
      </c>
      <c r="AG689">
        <v>85</v>
      </c>
      <c r="AH689">
        <v>13</v>
      </c>
      <c r="AI689">
        <v>13</v>
      </c>
      <c r="AJ689">
        <v>6</v>
      </c>
      <c r="AK689">
        <v>61</v>
      </c>
      <c r="AL689" t="s">
        <v>124</v>
      </c>
      <c r="AM689" t="s">
        <v>93</v>
      </c>
      <c r="AN689" t="s">
        <v>125</v>
      </c>
      <c r="AO689" t="s">
        <v>13640</v>
      </c>
      <c r="AP689" t="s">
        <v>13641</v>
      </c>
      <c r="AQ689" t="s">
        <v>74</v>
      </c>
      <c r="AR689" t="s">
        <v>13642</v>
      </c>
      <c r="AS689" t="s">
        <v>13643</v>
      </c>
      <c r="AT689" t="s">
        <v>11250</v>
      </c>
      <c r="AU689">
        <v>2020</v>
      </c>
      <c r="AV689">
        <v>96</v>
      </c>
      <c r="AW689">
        <v>5</v>
      </c>
      <c r="AX689" t="s">
        <v>74</v>
      </c>
      <c r="AY689" t="s">
        <v>74</v>
      </c>
      <c r="AZ689" t="s">
        <v>2622</v>
      </c>
      <c r="BA689" t="s">
        <v>74</v>
      </c>
      <c r="BB689" t="s">
        <v>74</v>
      </c>
      <c r="BC689" t="s">
        <v>74</v>
      </c>
      <c r="BD689" t="s">
        <v>13644</v>
      </c>
      <c r="BE689" t="s">
        <v>13645</v>
      </c>
      <c r="BF689" t="str">
        <f>HYPERLINK("http://dx.doi.org/10.1093/femsec/fiaa065","http://dx.doi.org/10.1093/femsec/fiaa065")</f>
        <v>http://dx.doi.org/10.1093/femsec/fiaa065</v>
      </c>
      <c r="BG689" t="s">
        <v>74</v>
      </c>
      <c r="BH689" t="s">
        <v>74</v>
      </c>
      <c r="BI689">
        <v>11</v>
      </c>
      <c r="BJ689" t="s">
        <v>2045</v>
      </c>
      <c r="BK689" t="s">
        <v>102</v>
      </c>
      <c r="BL689" t="s">
        <v>2045</v>
      </c>
      <c r="BM689" t="s">
        <v>13646</v>
      </c>
      <c r="BN689">
        <v>32275302</v>
      </c>
      <c r="BO689" t="s">
        <v>976</v>
      </c>
      <c r="BP689" t="s">
        <v>74</v>
      </c>
      <c r="BQ689" t="s">
        <v>74</v>
      </c>
      <c r="BR689" t="s">
        <v>106</v>
      </c>
      <c r="BS689" t="s">
        <v>13647</v>
      </c>
      <c r="BT689" t="str">
        <f>HYPERLINK("https%3A%2F%2Fwww.webofscience.com%2Fwos%2Fwoscc%2Ffull-record%2FWOS:000537387400020","View Full Record in Web of Science")</f>
        <v>View Full Record in Web of Science</v>
      </c>
    </row>
    <row r="690" spans="1:72" x14ac:dyDescent="0.15">
      <c r="A690" t="s">
        <v>72</v>
      </c>
      <c r="B690" t="s">
        <v>13648</v>
      </c>
      <c r="C690" t="s">
        <v>74</v>
      </c>
      <c r="D690" t="s">
        <v>74</v>
      </c>
      <c r="E690" t="s">
        <v>74</v>
      </c>
      <c r="F690" t="s">
        <v>13649</v>
      </c>
      <c r="G690" t="s">
        <v>74</v>
      </c>
      <c r="H690" t="s">
        <v>74</v>
      </c>
      <c r="I690" t="s">
        <v>13650</v>
      </c>
      <c r="J690" t="s">
        <v>11728</v>
      </c>
      <c r="K690" t="s">
        <v>74</v>
      </c>
      <c r="L690" t="s">
        <v>74</v>
      </c>
      <c r="M690" t="s">
        <v>78</v>
      </c>
      <c r="N690" t="s">
        <v>79</v>
      </c>
      <c r="O690" t="s">
        <v>74</v>
      </c>
      <c r="P690" t="s">
        <v>74</v>
      </c>
      <c r="Q690" t="s">
        <v>74</v>
      </c>
      <c r="R690" t="s">
        <v>74</v>
      </c>
      <c r="S690" t="s">
        <v>74</v>
      </c>
      <c r="T690" t="s">
        <v>13651</v>
      </c>
      <c r="U690" t="s">
        <v>13652</v>
      </c>
      <c r="V690" t="s">
        <v>13653</v>
      </c>
      <c r="W690" t="s">
        <v>13654</v>
      </c>
      <c r="X690" t="s">
        <v>13655</v>
      </c>
      <c r="Y690" t="s">
        <v>13656</v>
      </c>
      <c r="Z690" t="s">
        <v>13657</v>
      </c>
      <c r="AA690" t="s">
        <v>13658</v>
      </c>
      <c r="AB690" t="s">
        <v>13659</v>
      </c>
      <c r="AC690" t="s">
        <v>74</v>
      </c>
      <c r="AD690" t="s">
        <v>74</v>
      </c>
      <c r="AE690" t="s">
        <v>74</v>
      </c>
      <c r="AF690" t="s">
        <v>74</v>
      </c>
      <c r="AG690">
        <v>33</v>
      </c>
      <c r="AH690">
        <v>10</v>
      </c>
      <c r="AI690">
        <v>11</v>
      </c>
      <c r="AJ690">
        <v>6</v>
      </c>
      <c r="AK690">
        <v>29</v>
      </c>
      <c r="AL690" t="s">
        <v>11741</v>
      </c>
      <c r="AM690" t="s">
        <v>11742</v>
      </c>
      <c r="AN690" t="s">
        <v>11743</v>
      </c>
      <c r="AO690" t="s">
        <v>11744</v>
      </c>
      <c r="AP690" t="s">
        <v>11745</v>
      </c>
      <c r="AQ690" t="s">
        <v>74</v>
      </c>
      <c r="AR690" t="s">
        <v>11746</v>
      </c>
      <c r="AS690" t="s">
        <v>11747</v>
      </c>
      <c r="AT690" t="s">
        <v>11250</v>
      </c>
      <c r="AU690">
        <v>2020</v>
      </c>
      <c r="AV690">
        <v>38</v>
      </c>
      <c r="AW690">
        <v>3</v>
      </c>
      <c r="AX690" t="s">
        <v>74</v>
      </c>
      <c r="AY690" t="s">
        <v>74</v>
      </c>
      <c r="AZ690" t="s">
        <v>2622</v>
      </c>
      <c r="BA690" t="s">
        <v>74</v>
      </c>
      <c r="BB690">
        <v>650</v>
      </c>
      <c r="BC690">
        <v>664</v>
      </c>
      <c r="BD690" t="s">
        <v>74</v>
      </c>
      <c r="BE690" t="s">
        <v>13660</v>
      </c>
      <c r="BF690" t="str">
        <f>HYPERLINK("http://dx.doi.org/10.1007/s00343-019-9010-3","http://dx.doi.org/10.1007/s00343-019-9010-3")</f>
        <v>http://dx.doi.org/10.1007/s00343-019-9010-3</v>
      </c>
      <c r="BG690" t="s">
        <v>74</v>
      </c>
      <c r="BH690" t="s">
        <v>74</v>
      </c>
      <c r="BI690">
        <v>15</v>
      </c>
      <c r="BJ690" t="s">
        <v>2311</v>
      </c>
      <c r="BK690" t="s">
        <v>102</v>
      </c>
      <c r="BL690" t="s">
        <v>2312</v>
      </c>
      <c r="BM690" t="s">
        <v>13661</v>
      </c>
      <c r="BN690" t="s">
        <v>74</v>
      </c>
      <c r="BO690" t="s">
        <v>74</v>
      </c>
      <c r="BP690" t="s">
        <v>74</v>
      </c>
      <c r="BQ690" t="s">
        <v>74</v>
      </c>
      <c r="BR690" t="s">
        <v>106</v>
      </c>
      <c r="BS690" t="s">
        <v>13662</v>
      </c>
      <c r="BT690" t="str">
        <f>HYPERLINK("https%3A%2F%2Fwww.webofscience.com%2Fwos%2Fwoscc%2Ffull-record%2FWOS:000536606000006","View Full Record in Web of Science")</f>
        <v>View Full Record in Web of Science</v>
      </c>
    </row>
    <row r="691" spans="1:72" x14ac:dyDescent="0.15">
      <c r="A691" t="s">
        <v>72</v>
      </c>
      <c r="B691" t="s">
        <v>13663</v>
      </c>
      <c r="C691" t="s">
        <v>74</v>
      </c>
      <c r="D691" t="s">
        <v>74</v>
      </c>
      <c r="E691" t="s">
        <v>74</v>
      </c>
      <c r="F691" t="s">
        <v>13664</v>
      </c>
      <c r="G691" t="s">
        <v>74</v>
      </c>
      <c r="H691" t="s">
        <v>74</v>
      </c>
      <c r="I691" t="s">
        <v>13665</v>
      </c>
      <c r="J691" t="s">
        <v>13666</v>
      </c>
      <c r="K691" t="s">
        <v>74</v>
      </c>
      <c r="L691" t="s">
        <v>74</v>
      </c>
      <c r="M691" t="s">
        <v>78</v>
      </c>
      <c r="N691" t="s">
        <v>79</v>
      </c>
      <c r="O691" t="s">
        <v>74</v>
      </c>
      <c r="P691" t="s">
        <v>74</v>
      </c>
      <c r="Q691" t="s">
        <v>74</v>
      </c>
      <c r="R691" t="s">
        <v>74</v>
      </c>
      <c r="S691" t="s">
        <v>74</v>
      </c>
      <c r="T691" t="s">
        <v>74</v>
      </c>
      <c r="U691" t="s">
        <v>74</v>
      </c>
      <c r="V691" t="s">
        <v>13667</v>
      </c>
      <c r="W691" t="s">
        <v>13668</v>
      </c>
      <c r="X691" t="s">
        <v>13669</v>
      </c>
      <c r="Y691" t="s">
        <v>13670</v>
      </c>
      <c r="Z691" t="s">
        <v>13671</v>
      </c>
      <c r="AA691" t="s">
        <v>13672</v>
      </c>
      <c r="AB691" t="s">
        <v>13673</v>
      </c>
      <c r="AC691" t="s">
        <v>13674</v>
      </c>
      <c r="AD691" t="s">
        <v>13675</v>
      </c>
      <c r="AE691" t="s">
        <v>13676</v>
      </c>
      <c r="AF691" t="s">
        <v>74</v>
      </c>
      <c r="AG691">
        <v>15</v>
      </c>
      <c r="AH691">
        <v>2</v>
      </c>
      <c r="AI691">
        <v>3</v>
      </c>
      <c r="AJ691">
        <v>1</v>
      </c>
      <c r="AK691">
        <v>5</v>
      </c>
      <c r="AL691" t="s">
        <v>10089</v>
      </c>
      <c r="AM691" t="s">
        <v>152</v>
      </c>
      <c r="AN691" t="s">
        <v>10090</v>
      </c>
      <c r="AO691" t="s">
        <v>13677</v>
      </c>
      <c r="AP691" t="s">
        <v>74</v>
      </c>
      <c r="AQ691" t="s">
        <v>74</v>
      </c>
      <c r="AR691" t="s">
        <v>13678</v>
      </c>
      <c r="AS691" t="s">
        <v>13679</v>
      </c>
      <c r="AT691" t="s">
        <v>11250</v>
      </c>
      <c r="AU691">
        <v>2020</v>
      </c>
      <c r="AV691">
        <v>9</v>
      </c>
      <c r="AW691">
        <v>21</v>
      </c>
      <c r="AX691" t="s">
        <v>74</v>
      </c>
      <c r="AY691" t="s">
        <v>74</v>
      </c>
      <c r="AZ691" t="s">
        <v>74</v>
      </c>
      <c r="BA691" t="s">
        <v>74</v>
      </c>
      <c r="BB691" t="s">
        <v>74</v>
      </c>
      <c r="BC691" t="s">
        <v>74</v>
      </c>
      <c r="BD691" t="s">
        <v>13680</v>
      </c>
      <c r="BE691" t="s">
        <v>13681</v>
      </c>
      <c r="BF691" t="str">
        <f>HYPERLINK("http://dx.doi.org/10.1128/MRA.00320-20","http://dx.doi.org/10.1128/MRA.00320-20")</f>
        <v>http://dx.doi.org/10.1128/MRA.00320-20</v>
      </c>
      <c r="BG691" t="s">
        <v>74</v>
      </c>
      <c r="BH691" t="s">
        <v>74</v>
      </c>
      <c r="BI691">
        <v>3</v>
      </c>
      <c r="BJ691" t="s">
        <v>2045</v>
      </c>
      <c r="BK691" t="s">
        <v>3838</v>
      </c>
      <c r="BL691" t="s">
        <v>2045</v>
      </c>
      <c r="BM691" t="s">
        <v>13682</v>
      </c>
      <c r="BN691">
        <v>32439667</v>
      </c>
      <c r="BO691" t="s">
        <v>1778</v>
      </c>
      <c r="BP691" t="s">
        <v>74</v>
      </c>
      <c r="BQ691" t="s">
        <v>74</v>
      </c>
      <c r="BR691" t="s">
        <v>106</v>
      </c>
      <c r="BS691" t="s">
        <v>13683</v>
      </c>
      <c r="BT691" t="str">
        <f>HYPERLINK("https%3A%2F%2Fwww.webofscience.com%2Fwos%2Fwoscc%2Ffull-record%2FWOS:000536043400017","View Full Record in Web of Science")</f>
        <v>View Full Record in Web of Science</v>
      </c>
    </row>
    <row r="692" spans="1:72" x14ac:dyDescent="0.15">
      <c r="A692" t="s">
        <v>72</v>
      </c>
      <c r="B692" t="s">
        <v>13684</v>
      </c>
      <c r="C692" t="s">
        <v>74</v>
      </c>
      <c r="D692" t="s">
        <v>74</v>
      </c>
      <c r="E692" t="s">
        <v>74</v>
      </c>
      <c r="F692" t="s">
        <v>13685</v>
      </c>
      <c r="G692" t="s">
        <v>74</v>
      </c>
      <c r="H692" t="s">
        <v>74</v>
      </c>
      <c r="I692" t="s">
        <v>13686</v>
      </c>
      <c r="J692" t="s">
        <v>8629</v>
      </c>
      <c r="K692" t="s">
        <v>74</v>
      </c>
      <c r="L692" t="s">
        <v>74</v>
      </c>
      <c r="M692" t="s">
        <v>78</v>
      </c>
      <c r="N692" t="s">
        <v>79</v>
      </c>
      <c r="O692" t="s">
        <v>74</v>
      </c>
      <c r="P692" t="s">
        <v>74</v>
      </c>
      <c r="Q692" t="s">
        <v>74</v>
      </c>
      <c r="R692" t="s">
        <v>74</v>
      </c>
      <c r="S692" t="s">
        <v>74</v>
      </c>
      <c r="T692" t="s">
        <v>74</v>
      </c>
      <c r="U692" t="s">
        <v>13687</v>
      </c>
      <c r="V692" t="s">
        <v>13688</v>
      </c>
      <c r="W692" t="s">
        <v>13689</v>
      </c>
      <c r="X692" t="s">
        <v>13690</v>
      </c>
      <c r="Y692" t="s">
        <v>13691</v>
      </c>
      <c r="Z692" t="s">
        <v>13692</v>
      </c>
      <c r="AA692" t="s">
        <v>13693</v>
      </c>
      <c r="AB692" t="s">
        <v>13694</v>
      </c>
      <c r="AC692" t="s">
        <v>13695</v>
      </c>
      <c r="AD692" t="s">
        <v>13696</v>
      </c>
      <c r="AE692" t="s">
        <v>13697</v>
      </c>
      <c r="AF692" t="s">
        <v>74</v>
      </c>
      <c r="AG692">
        <v>38</v>
      </c>
      <c r="AH692">
        <v>8</v>
      </c>
      <c r="AI692">
        <v>8</v>
      </c>
      <c r="AJ692">
        <v>1</v>
      </c>
      <c r="AK692">
        <v>11</v>
      </c>
      <c r="AL692" t="s">
        <v>284</v>
      </c>
      <c r="AM692" t="s">
        <v>285</v>
      </c>
      <c r="AN692" t="s">
        <v>286</v>
      </c>
      <c r="AO692" t="s">
        <v>8637</v>
      </c>
      <c r="AP692" t="s">
        <v>8638</v>
      </c>
      <c r="AQ692" t="s">
        <v>74</v>
      </c>
      <c r="AR692" t="s">
        <v>8639</v>
      </c>
      <c r="AS692" t="s">
        <v>8640</v>
      </c>
      <c r="AT692" t="s">
        <v>11250</v>
      </c>
      <c r="AU692">
        <v>2020</v>
      </c>
      <c r="AV692">
        <v>173</v>
      </c>
      <c r="AW692" t="s">
        <v>74</v>
      </c>
      <c r="AX692" t="s">
        <v>74</v>
      </c>
      <c r="AY692" t="s">
        <v>74</v>
      </c>
      <c r="AZ692" t="s">
        <v>74</v>
      </c>
      <c r="BA692" t="s">
        <v>74</v>
      </c>
      <c r="BB692" t="s">
        <v>74</v>
      </c>
      <c r="BC692" t="s">
        <v>74</v>
      </c>
      <c r="BD692">
        <v>102997</v>
      </c>
      <c r="BE692" t="s">
        <v>13698</v>
      </c>
      <c r="BF692" t="str">
        <f>HYPERLINK("http://dx.doi.org/10.1016/j.coldregions.2020.102997","http://dx.doi.org/10.1016/j.coldregions.2020.102997")</f>
        <v>http://dx.doi.org/10.1016/j.coldregions.2020.102997</v>
      </c>
      <c r="BG692" t="s">
        <v>74</v>
      </c>
      <c r="BH692" t="s">
        <v>74</v>
      </c>
      <c r="BI692">
        <v>6</v>
      </c>
      <c r="BJ692" t="s">
        <v>8642</v>
      </c>
      <c r="BK692" t="s">
        <v>102</v>
      </c>
      <c r="BL692" t="s">
        <v>8643</v>
      </c>
      <c r="BM692" t="s">
        <v>13699</v>
      </c>
      <c r="BN692" t="s">
        <v>74</v>
      </c>
      <c r="BO692" t="s">
        <v>74</v>
      </c>
      <c r="BP692" t="s">
        <v>74</v>
      </c>
      <c r="BQ692" t="s">
        <v>74</v>
      </c>
      <c r="BR692" t="s">
        <v>106</v>
      </c>
      <c r="BS692" t="s">
        <v>13700</v>
      </c>
      <c r="BT692" t="str">
        <f>HYPERLINK("https%3A%2F%2Fwww.webofscience.com%2Fwos%2Fwoscc%2Ffull-record%2FWOS:000535674500012","View Full Record in Web of Science")</f>
        <v>View Full Record in Web of Science</v>
      </c>
    </row>
    <row r="693" spans="1:72" x14ac:dyDescent="0.15">
      <c r="A693" t="s">
        <v>72</v>
      </c>
      <c r="B693" t="s">
        <v>13701</v>
      </c>
      <c r="C693" t="s">
        <v>74</v>
      </c>
      <c r="D693" t="s">
        <v>74</v>
      </c>
      <c r="E693" t="s">
        <v>74</v>
      </c>
      <c r="F693" t="s">
        <v>13702</v>
      </c>
      <c r="G693" t="s">
        <v>74</v>
      </c>
      <c r="H693" t="s">
        <v>74</v>
      </c>
      <c r="I693" t="s">
        <v>13703</v>
      </c>
      <c r="J693" t="s">
        <v>8744</v>
      </c>
      <c r="K693" t="s">
        <v>74</v>
      </c>
      <c r="L693" t="s">
        <v>74</v>
      </c>
      <c r="M693" t="s">
        <v>78</v>
      </c>
      <c r="N693" t="s">
        <v>79</v>
      </c>
      <c r="O693" t="s">
        <v>74</v>
      </c>
      <c r="P693" t="s">
        <v>74</v>
      </c>
      <c r="Q693" t="s">
        <v>74</v>
      </c>
      <c r="R693" t="s">
        <v>74</v>
      </c>
      <c r="S693" t="s">
        <v>74</v>
      </c>
      <c r="T693" t="s">
        <v>74</v>
      </c>
      <c r="U693" t="s">
        <v>13704</v>
      </c>
      <c r="V693" t="s">
        <v>13705</v>
      </c>
      <c r="W693" t="s">
        <v>13706</v>
      </c>
      <c r="X693" t="s">
        <v>13707</v>
      </c>
      <c r="Y693" t="s">
        <v>13708</v>
      </c>
      <c r="Z693" t="s">
        <v>13709</v>
      </c>
      <c r="AA693" t="s">
        <v>13710</v>
      </c>
      <c r="AB693" t="s">
        <v>13711</v>
      </c>
      <c r="AC693" t="s">
        <v>13712</v>
      </c>
      <c r="AD693" t="s">
        <v>13713</v>
      </c>
      <c r="AE693" t="s">
        <v>13714</v>
      </c>
      <c r="AF693" t="s">
        <v>74</v>
      </c>
      <c r="AG693">
        <v>77</v>
      </c>
      <c r="AH693">
        <v>18</v>
      </c>
      <c r="AI693">
        <v>18</v>
      </c>
      <c r="AJ693">
        <v>0</v>
      </c>
      <c r="AK693">
        <v>3</v>
      </c>
      <c r="AL693" t="s">
        <v>284</v>
      </c>
      <c r="AM693" t="s">
        <v>285</v>
      </c>
      <c r="AN693" t="s">
        <v>286</v>
      </c>
      <c r="AO693" t="s">
        <v>8755</v>
      </c>
      <c r="AP693" t="s">
        <v>8756</v>
      </c>
      <c r="AQ693" t="s">
        <v>74</v>
      </c>
      <c r="AR693" t="s">
        <v>8757</v>
      </c>
      <c r="AS693" t="s">
        <v>8758</v>
      </c>
      <c r="AT693" t="s">
        <v>11250</v>
      </c>
      <c r="AU693">
        <v>2020</v>
      </c>
      <c r="AV693">
        <v>157</v>
      </c>
      <c r="AW693" t="s">
        <v>74</v>
      </c>
      <c r="AX693" t="s">
        <v>74</v>
      </c>
      <c r="AY693" t="s">
        <v>74</v>
      </c>
      <c r="AZ693" t="s">
        <v>74</v>
      </c>
      <c r="BA693" t="s">
        <v>74</v>
      </c>
      <c r="BB693" t="s">
        <v>74</v>
      </c>
      <c r="BC693" t="s">
        <v>74</v>
      </c>
      <c r="BD693">
        <v>101861</v>
      </c>
      <c r="BE693" t="s">
        <v>13715</v>
      </c>
      <c r="BF693" t="str">
        <f>HYPERLINK("http://dx.doi.org/10.1016/j.marmicro.2020.101861","http://dx.doi.org/10.1016/j.marmicro.2020.101861")</f>
        <v>http://dx.doi.org/10.1016/j.marmicro.2020.101861</v>
      </c>
      <c r="BG693" t="s">
        <v>74</v>
      </c>
      <c r="BH693" t="s">
        <v>74</v>
      </c>
      <c r="BI693">
        <v>9</v>
      </c>
      <c r="BJ693" t="s">
        <v>8760</v>
      </c>
      <c r="BK693" t="s">
        <v>102</v>
      </c>
      <c r="BL693" t="s">
        <v>8760</v>
      </c>
      <c r="BM693" t="s">
        <v>13716</v>
      </c>
      <c r="BN693" t="s">
        <v>74</v>
      </c>
      <c r="BO693" t="s">
        <v>189</v>
      </c>
      <c r="BP693" t="s">
        <v>74</v>
      </c>
      <c r="BQ693" t="s">
        <v>74</v>
      </c>
      <c r="BR693" t="s">
        <v>106</v>
      </c>
      <c r="BS693" t="s">
        <v>13717</v>
      </c>
      <c r="BT693" t="str">
        <f>HYPERLINK("https%3A%2F%2Fwww.webofscience.com%2Fwos%2Fwoscc%2Ffull-record%2FWOS:000535536000006","View Full Record in Web of Science")</f>
        <v>View Full Record in Web of Science</v>
      </c>
    </row>
    <row r="694" spans="1:72" x14ac:dyDescent="0.15">
      <c r="A694" t="s">
        <v>72</v>
      </c>
      <c r="B694" t="s">
        <v>13718</v>
      </c>
      <c r="C694" t="s">
        <v>74</v>
      </c>
      <c r="D694" t="s">
        <v>74</v>
      </c>
      <c r="E694" t="s">
        <v>74</v>
      </c>
      <c r="F694" t="s">
        <v>13719</v>
      </c>
      <c r="G694" t="s">
        <v>74</v>
      </c>
      <c r="H694" t="s">
        <v>74</v>
      </c>
      <c r="I694" t="s">
        <v>13720</v>
      </c>
      <c r="J694" t="s">
        <v>8744</v>
      </c>
      <c r="K694" t="s">
        <v>74</v>
      </c>
      <c r="L694" t="s">
        <v>74</v>
      </c>
      <c r="M694" t="s">
        <v>78</v>
      </c>
      <c r="N694" t="s">
        <v>79</v>
      </c>
      <c r="O694" t="s">
        <v>74</v>
      </c>
      <c r="P694" t="s">
        <v>74</v>
      </c>
      <c r="Q694" t="s">
        <v>74</v>
      </c>
      <c r="R694" t="s">
        <v>74</v>
      </c>
      <c r="S694" t="s">
        <v>74</v>
      </c>
      <c r="T694" t="s">
        <v>13721</v>
      </c>
      <c r="U694" t="s">
        <v>13722</v>
      </c>
      <c r="V694" t="s">
        <v>13723</v>
      </c>
      <c r="W694" t="s">
        <v>13724</v>
      </c>
      <c r="X694" t="s">
        <v>13725</v>
      </c>
      <c r="Y694" t="s">
        <v>13726</v>
      </c>
      <c r="Z694" t="s">
        <v>13727</v>
      </c>
      <c r="AA694" t="s">
        <v>13728</v>
      </c>
      <c r="AB694" t="s">
        <v>13729</v>
      </c>
      <c r="AC694" t="s">
        <v>13730</v>
      </c>
      <c r="AD694" t="s">
        <v>13730</v>
      </c>
      <c r="AE694" t="s">
        <v>13731</v>
      </c>
      <c r="AF694" t="s">
        <v>74</v>
      </c>
      <c r="AG694">
        <v>176</v>
      </c>
      <c r="AH694">
        <v>3</v>
      </c>
      <c r="AI694">
        <v>3</v>
      </c>
      <c r="AJ694">
        <v>0</v>
      </c>
      <c r="AK694">
        <v>3</v>
      </c>
      <c r="AL694" t="s">
        <v>284</v>
      </c>
      <c r="AM694" t="s">
        <v>285</v>
      </c>
      <c r="AN694" t="s">
        <v>286</v>
      </c>
      <c r="AO694" t="s">
        <v>8755</v>
      </c>
      <c r="AP694" t="s">
        <v>8756</v>
      </c>
      <c r="AQ694" t="s">
        <v>74</v>
      </c>
      <c r="AR694" t="s">
        <v>8757</v>
      </c>
      <c r="AS694" t="s">
        <v>8758</v>
      </c>
      <c r="AT694" t="s">
        <v>11250</v>
      </c>
      <c r="AU694">
        <v>2020</v>
      </c>
      <c r="AV694">
        <v>157</v>
      </c>
      <c r="AW694" t="s">
        <v>74</v>
      </c>
      <c r="AX694" t="s">
        <v>74</v>
      </c>
      <c r="AY694" t="s">
        <v>74</v>
      </c>
      <c r="AZ694" t="s">
        <v>74</v>
      </c>
      <c r="BA694" t="s">
        <v>74</v>
      </c>
      <c r="BB694" t="s">
        <v>74</v>
      </c>
      <c r="BC694" t="s">
        <v>74</v>
      </c>
      <c r="BD694">
        <v>101855</v>
      </c>
      <c r="BE694" t="s">
        <v>13732</v>
      </c>
      <c r="BF694" t="str">
        <f>HYPERLINK("http://dx.doi.org/10.1016/j.marmicro.2020.101855","http://dx.doi.org/10.1016/j.marmicro.2020.101855")</f>
        <v>http://dx.doi.org/10.1016/j.marmicro.2020.101855</v>
      </c>
      <c r="BG694" t="s">
        <v>74</v>
      </c>
      <c r="BH694" t="s">
        <v>74</v>
      </c>
      <c r="BI694">
        <v>22</v>
      </c>
      <c r="BJ694" t="s">
        <v>8760</v>
      </c>
      <c r="BK694" t="s">
        <v>102</v>
      </c>
      <c r="BL694" t="s">
        <v>8760</v>
      </c>
      <c r="BM694" t="s">
        <v>13716</v>
      </c>
      <c r="BN694" t="s">
        <v>74</v>
      </c>
      <c r="BO694" t="s">
        <v>74</v>
      </c>
      <c r="BP694" t="s">
        <v>74</v>
      </c>
      <c r="BQ694" t="s">
        <v>74</v>
      </c>
      <c r="BR694" t="s">
        <v>106</v>
      </c>
      <c r="BS694" t="s">
        <v>13733</v>
      </c>
      <c r="BT694" t="str">
        <f>HYPERLINK("https%3A%2F%2Fwww.webofscience.com%2Fwos%2Fwoscc%2Ffull-record%2FWOS:000535536000001","View Full Record in Web of Science")</f>
        <v>View Full Record in Web of Science</v>
      </c>
    </row>
    <row r="695" spans="1:72" x14ac:dyDescent="0.15">
      <c r="A695" t="s">
        <v>72</v>
      </c>
      <c r="B695" t="s">
        <v>13734</v>
      </c>
      <c r="C695" t="s">
        <v>74</v>
      </c>
      <c r="D695" t="s">
        <v>74</v>
      </c>
      <c r="E695" t="s">
        <v>74</v>
      </c>
      <c r="F695" t="s">
        <v>13735</v>
      </c>
      <c r="G695" t="s">
        <v>74</v>
      </c>
      <c r="H695" t="s">
        <v>74</v>
      </c>
      <c r="I695" t="s">
        <v>13736</v>
      </c>
      <c r="J695" t="s">
        <v>13737</v>
      </c>
      <c r="K695" t="s">
        <v>74</v>
      </c>
      <c r="L695" t="s">
        <v>74</v>
      </c>
      <c r="M695" t="s">
        <v>78</v>
      </c>
      <c r="N695" t="s">
        <v>79</v>
      </c>
      <c r="O695" t="s">
        <v>74</v>
      </c>
      <c r="P695" t="s">
        <v>74</v>
      </c>
      <c r="Q695" t="s">
        <v>74</v>
      </c>
      <c r="R695" t="s">
        <v>74</v>
      </c>
      <c r="S695" t="s">
        <v>74</v>
      </c>
      <c r="T695" t="s">
        <v>13738</v>
      </c>
      <c r="U695" t="s">
        <v>13739</v>
      </c>
      <c r="V695" t="s">
        <v>13740</v>
      </c>
      <c r="W695" t="s">
        <v>13741</v>
      </c>
      <c r="X695" t="s">
        <v>13742</v>
      </c>
      <c r="Y695" t="s">
        <v>13743</v>
      </c>
      <c r="Z695" t="s">
        <v>13744</v>
      </c>
      <c r="AA695" t="s">
        <v>13745</v>
      </c>
      <c r="AB695" t="s">
        <v>13746</v>
      </c>
      <c r="AC695" t="s">
        <v>13747</v>
      </c>
      <c r="AD695" t="s">
        <v>13748</v>
      </c>
      <c r="AE695" t="s">
        <v>13749</v>
      </c>
      <c r="AF695" t="s">
        <v>74</v>
      </c>
      <c r="AG695">
        <v>50</v>
      </c>
      <c r="AH695">
        <v>9</v>
      </c>
      <c r="AI695">
        <v>10</v>
      </c>
      <c r="AJ695">
        <v>2</v>
      </c>
      <c r="AK695">
        <v>26</v>
      </c>
      <c r="AL695" t="s">
        <v>284</v>
      </c>
      <c r="AM695" t="s">
        <v>285</v>
      </c>
      <c r="AN695" t="s">
        <v>286</v>
      </c>
      <c r="AO695" t="s">
        <v>13750</v>
      </c>
      <c r="AP695" t="s">
        <v>13751</v>
      </c>
      <c r="AQ695" t="s">
        <v>74</v>
      </c>
      <c r="AR695" t="s">
        <v>13737</v>
      </c>
      <c r="AS695" t="s">
        <v>13752</v>
      </c>
      <c r="AT695" t="s">
        <v>11250</v>
      </c>
      <c r="AU695">
        <v>2020</v>
      </c>
      <c r="AV695">
        <v>95</v>
      </c>
      <c r="AW695" t="s">
        <v>74</v>
      </c>
      <c r="AX695" t="s">
        <v>74</v>
      </c>
      <c r="AY695" t="s">
        <v>74</v>
      </c>
      <c r="AZ695" t="s">
        <v>74</v>
      </c>
      <c r="BA695" t="s">
        <v>74</v>
      </c>
      <c r="BB695" t="s">
        <v>74</v>
      </c>
      <c r="BC695" t="s">
        <v>74</v>
      </c>
      <c r="BD695">
        <v>101818</v>
      </c>
      <c r="BE695" t="s">
        <v>13753</v>
      </c>
      <c r="BF695" t="str">
        <f>HYPERLINK("http://dx.doi.org/10.1016/j.hal.2020.101818","http://dx.doi.org/10.1016/j.hal.2020.101818")</f>
        <v>http://dx.doi.org/10.1016/j.hal.2020.101818</v>
      </c>
      <c r="BG695" t="s">
        <v>74</v>
      </c>
      <c r="BH695" t="s">
        <v>74</v>
      </c>
      <c r="BI695">
        <v>9</v>
      </c>
      <c r="BJ695" t="s">
        <v>1680</v>
      </c>
      <c r="BK695" t="s">
        <v>102</v>
      </c>
      <c r="BL695" t="s">
        <v>1680</v>
      </c>
      <c r="BM695" t="s">
        <v>13754</v>
      </c>
      <c r="BN695">
        <v>32439058</v>
      </c>
      <c r="BO695" t="s">
        <v>74</v>
      </c>
      <c r="BP695" t="s">
        <v>74</v>
      </c>
      <c r="BQ695" t="s">
        <v>74</v>
      </c>
      <c r="BR695" t="s">
        <v>106</v>
      </c>
      <c r="BS695" t="s">
        <v>13755</v>
      </c>
      <c r="BT695" t="str">
        <f>HYPERLINK("https%3A%2F%2Fwww.webofscience.com%2Fwos%2Fwoscc%2Ffull-record%2FWOS:000534592200005","View Full Record in Web of Science")</f>
        <v>View Full Record in Web of Science</v>
      </c>
    </row>
    <row r="696" spans="1:72" x14ac:dyDescent="0.15">
      <c r="A696" t="s">
        <v>72</v>
      </c>
      <c r="B696" t="s">
        <v>13756</v>
      </c>
      <c r="C696" t="s">
        <v>74</v>
      </c>
      <c r="D696" t="s">
        <v>74</v>
      </c>
      <c r="E696" t="s">
        <v>74</v>
      </c>
      <c r="F696" t="s">
        <v>13757</v>
      </c>
      <c r="G696" t="s">
        <v>74</v>
      </c>
      <c r="H696" t="s">
        <v>74</v>
      </c>
      <c r="I696" t="s">
        <v>13758</v>
      </c>
      <c r="J696" t="s">
        <v>13759</v>
      </c>
      <c r="K696" t="s">
        <v>74</v>
      </c>
      <c r="L696" t="s">
        <v>74</v>
      </c>
      <c r="M696" t="s">
        <v>78</v>
      </c>
      <c r="N696" t="s">
        <v>79</v>
      </c>
      <c r="O696" t="s">
        <v>74</v>
      </c>
      <c r="P696" t="s">
        <v>74</v>
      </c>
      <c r="Q696" t="s">
        <v>74</v>
      </c>
      <c r="R696" t="s">
        <v>74</v>
      </c>
      <c r="S696" t="s">
        <v>74</v>
      </c>
      <c r="T696" t="s">
        <v>13760</v>
      </c>
      <c r="U696" t="s">
        <v>13761</v>
      </c>
      <c r="V696" t="s">
        <v>13762</v>
      </c>
      <c r="W696" t="s">
        <v>13763</v>
      </c>
      <c r="X696" t="s">
        <v>13764</v>
      </c>
      <c r="Y696" t="s">
        <v>13765</v>
      </c>
      <c r="Z696" t="s">
        <v>13766</v>
      </c>
      <c r="AA696" t="s">
        <v>13767</v>
      </c>
      <c r="AB696" t="s">
        <v>13768</v>
      </c>
      <c r="AC696" t="s">
        <v>13769</v>
      </c>
      <c r="AD696" t="s">
        <v>13770</v>
      </c>
      <c r="AE696" t="s">
        <v>13771</v>
      </c>
      <c r="AF696" t="s">
        <v>74</v>
      </c>
      <c r="AG696">
        <v>60</v>
      </c>
      <c r="AH696">
        <v>5</v>
      </c>
      <c r="AI696">
        <v>5</v>
      </c>
      <c r="AJ696">
        <v>0</v>
      </c>
      <c r="AK696">
        <v>4</v>
      </c>
      <c r="AL696" t="s">
        <v>578</v>
      </c>
      <c r="AM696" t="s">
        <v>93</v>
      </c>
      <c r="AN696" t="s">
        <v>579</v>
      </c>
      <c r="AO696" t="s">
        <v>13772</v>
      </c>
      <c r="AP696" t="s">
        <v>13773</v>
      </c>
      <c r="AQ696" t="s">
        <v>74</v>
      </c>
      <c r="AR696" t="s">
        <v>13774</v>
      </c>
      <c r="AS696" t="s">
        <v>13775</v>
      </c>
      <c r="AT696" t="s">
        <v>13776</v>
      </c>
      <c r="AU696">
        <v>2020</v>
      </c>
      <c r="AV696">
        <v>65</v>
      </c>
      <c r="AW696">
        <v>9</v>
      </c>
      <c r="AX696" t="s">
        <v>74</v>
      </c>
      <c r="AY696" t="s">
        <v>74</v>
      </c>
      <c r="AZ696" t="s">
        <v>2622</v>
      </c>
      <c r="BA696" t="s">
        <v>74</v>
      </c>
      <c r="BB696">
        <v>2223</v>
      </c>
      <c r="BC696">
        <v>2234</v>
      </c>
      <c r="BD696" t="s">
        <v>74</v>
      </c>
      <c r="BE696" t="s">
        <v>13777</v>
      </c>
      <c r="BF696" t="str">
        <f>HYPERLINK("http://dx.doi.org/10.1016/j.asr.2019.08.016","http://dx.doi.org/10.1016/j.asr.2019.08.016")</f>
        <v>http://dx.doi.org/10.1016/j.asr.2019.08.016</v>
      </c>
      <c r="BG696" t="s">
        <v>74</v>
      </c>
      <c r="BH696" t="s">
        <v>74</v>
      </c>
      <c r="BI696">
        <v>12</v>
      </c>
      <c r="BJ696" t="s">
        <v>13778</v>
      </c>
      <c r="BK696" t="s">
        <v>102</v>
      </c>
      <c r="BL696" t="s">
        <v>13779</v>
      </c>
      <c r="BM696" t="s">
        <v>13780</v>
      </c>
      <c r="BN696" t="s">
        <v>74</v>
      </c>
      <c r="BO696" t="s">
        <v>74</v>
      </c>
      <c r="BP696" t="s">
        <v>74</v>
      </c>
      <c r="BQ696" t="s">
        <v>74</v>
      </c>
      <c r="BR696" t="s">
        <v>106</v>
      </c>
      <c r="BS696" t="s">
        <v>13781</v>
      </c>
      <c r="BT696" t="str">
        <f>HYPERLINK("https%3A%2F%2Fwww.webofscience.com%2Fwos%2Fwoscc%2Ffull-record%2FWOS:000533504800014","View Full Record in Web of Science")</f>
        <v>View Full Record in Web of Science</v>
      </c>
    </row>
    <row r="697" spans="1:72" x14ac:dyDescent="0.15">
      <c r="A697" t="s">
        <v>72</v>
      </c>
      <c r="B697" t="s">
        <v>13782</v>
      </c>
      <c r="C697" t="s">
        <v>74</v>
      </c>
      <c r="D697" t="s">
        <v>74</v>
      </c>
      <c r="E697" t="s">
        <v>74</v>
      </c>
      <c r="F697" t="s">
        <v>13783</v>
      </c>
      <c r="G697" t="s">
        <v>74</v>
      </c>
      <c r="H697" t="s">
        <v>74</v>
      </c>
      <c r="I697" t="s">
        <v>13784</v>
      </c>
      <c r="J697" t="s">
        <v>10883</v>
      </c>
      <c r="K697" t="s">
        <v>74</v>
      </c>
      <c r="L697" t="s">
        <v>74</v>
      </c>
      <c r="M697" t="s">
        <v>78</v>
      </c>
      <c r="N697" t="s">
        <v>4112</v>
      </c>
      <c r="O697" t="s">
        <v>74</v>
      </c>
      <c r="P697" t="s">
        <v>74</v>
      </c>
      <c r="Q697" t="s">
        <v>74</v>
      </c>
      <c r="R697" t="s">
        <v>74</v>
      </c>
      <c r="S697" t="s">
        <v>74</v>
      </c>
      <c r="T697" t="s">
        <v>74</v>
      </c>
      <c r="U697" t="s">
        <v>74</v>
      </c>
      <c r="V697" t="s">
        <v>74</v>
      </c>
      <c r="W697" t="s">
        <v>74</v>
      </c>
      <c r="X697" t="s">
        <v>74</v>
      </c>
      <c r="Y697" t="s">
        <v>74</v>
      </c>
      <c r="Z697" t="s">
        <v>74</v>
      </c>
      <c r="AA697" t="s">
        <v>74</v>
      </c>
      <c r="AB697" t="s">
        <v>74</v>
      </c>
      <c r="AC697" t="s">
        <v>74</v>
      </c>
      <c r="AD697" t="s">
        <v>74</v>
      </c>
      <c r="AE697" t="s">
        <v>74</v>
      </c>
      <c r="AF697" t="s">
        <v>74</v>
      </c>
      <c r="AG697">
        <v>0</v>
      </c>
      <c r="AH697">
        <v>0</v>
      </c>
      <c r="AI697">
        <v>0</v>
      </c>
      <c r="AJ697">
        <v>0</v>
      </c>
      <c r="AK697">
        <v>0</v>
      </c>
      <c r="AL697" t="s">
        <v>13785</v>
      </c>
      <c r="AM697" t="s">
        <v>13786</v>
      </c>
      <c r="AN697" t="s">
        <v>13787</v>
      </c>
      <c r="AO697" t="s">
        <v>10886</v>
      </c>
      <c r="AP697" t="s">
        <v>74</v>
      </c>
      <c r="AQ697" t="s">
        <v>74</v>
      </c>
      <c r="AR697" t="s">
        <v>10887</v>
      </c>
      <c r="AS697" t="s">
        <v>10888</v>
      </c>
      <c r="AT697" t="s">
        <v>13776</v>
      </c>
      <c r="AU697">
        <v>2020</v>
      </c>
      <c r="AV697">
        <v>245</v>
      </c>
      <c r="AW697">
        <v>3280</v>
      </c>
      <c r="AX697" t="s">
        <v>74</v>
      </c>
      <c r="AY697" t="s">
        <v>74</v>
      </c>
      <c r="AZ697" t="s">
        <v>74</v>
      </c>
      <c r="BA697" t="s">
        <v>74</v>
      </c>
      <c r="BB697">
        <v>13</v>
      </c>
      <c r="BC697">
        <v>13</v>
      </c>
      <c r="BD697" t="s">
        <v>74</v>
      </c>
      <c r="BE697" t="s">
        <v>74</v>
      </c>
      <c r="BF697" t="s">
        <v>74</v>
      </c>
      <c r="BG697" t="s">
        <v>74</v>
      </c>
      <c r="BH697" t="s">
        <v>74</v>
      </c>
      <c r="BI697">
        <v>1</v>
      </c>
      <c r="BJ697" t="s">
        <v>1125</v>
      </c>
      <c r="BK697" t="s">
        <v>102</v>
      </c>
      <c r="BL697" t="s">
        <v>1126</v>
      </c>
      <c r="BM697" t="s">
        <v>13788</v>
      </c>
      <c r="BN697" t="s">
        <v>74</v>
      </c>
      <c r="BO697" t="s">
        <v>74</v>
      </c>
      <c r="BP697" t="s">
        <v>74</v>
      </c>
      <c r="BQ697" t="s">
        <v>74</v>
      </c>
      <c r="BR697" t="s">
        <v>106</v>
      </c>
      <c r="BS697" t="s">
        <v>13789</v>
      </c>
      <c r="BT697" t="str">
        <f>HYPERLINK("https%3A%2F%2Fwww.webofscience.com%2Fwos%2Fwoscc%2Ffull-record%2FWOS:000530009000014","View Full Record in Web of Science")</f>
        <v>View Full Record in Web of Science</v>
      </c>
    </row>
    <row r="698" spans="1:72" x14ac:dyDescent="0.15">
      <c r="A698" t="s">
        <v>72</v>
      </c>
      <c r="B698" t="s">
        <v>13790</v>
      </c>
      <c r="C698" t="s">
        <v>74</v>
      </c>
      <c r="D698" t="s">
        <v>74</v>
      </c>
      <c r="E698" t="s">
        <v>74</v>
      </c>
      <c r="F698" t="s">
        <v>13791</v>
      </c>
      <c r="G698" t="s">
        <v>74</v>
      </c>
      <c r="H698" t="s">
        <v>74</v>
      </c>
      <c r="I698" t="s">
        <v>13792</v>
      </c>
      <c r="J698" t="s">
        <v>5294</v>
      </c>
      <c r="K698" t="s">
        <v>74</v>
      </c>
      <c r="L698" t="s">
        <v>74</v>
      </c>
      <c r="M698" t="s">
        <v>78</v>
      </c>
      <c r="N698" t="s">
        <v>79</v>
      </c>
      <c r="O698" t="s">
        <v>74</v>
      </c>
      <c r="P698" t="s">
        <v>74</v>
      </c>
      <c r="Q698" t="s">
        <v>74</v>
      </c>
      <c r="R698" t="s">
        <v>74</v>
      </c>
      <c r="S698" t="s">
        <v>74</v>
      </c>
      <c r="T698" t="s">
        <v>13793</v>
      </c>
      <c r="U698" t="s">
        <v>13794</v>
      </c>
      <c r="V698" t="s">
        <v>13795</v>
      </c>
      <c r="W698" t="s">
        <v>13796</v>
      </c>
      <c r="X698" t="s">
        <v>13797</v>
      </c>
      <c r="Y698" t="s">
        <v>13798</v>
      </c>
      <c r="Z698" t="s">
        <v>13799</v>
      </c>
      <c r="AA698" t="s">
        <v>13800</v>
      </c>
      <c r="AB698" t="s">
        <v>13801</v>
      </c>
      <c r="AC698" t="s">
        <v>13802</v>
      </c>
      <c r="AD698" t="s">
        <v>13803</v>
      </c>
      <c r="AE698" t="s">
        <v>13804</v>
      </c>
      <c r="AF698" t="s">
        <v>74</v>
      </c>
      <c r="AG698">
        <v>51</v>
      </c>
      <c r="AH698">
        <v>25</v>
      </c>
      <c r="AI698">
        <v>26</v>
      </c>
      <c r="AJ698">
        <v>1</v>
      </c>
      <c r="AK698">
        <v>31</v>
      </c>
      <c r="AL698" t="s">
        <v>578</v>
      </c>
      <c r="AM698" t="s">
        <v>93</v>
      </c>
      <c r="AN698" t="s">
        <v>579</v>
      </c>
      <c r="AO698" t="s">
        <v>5307</v>
      </c>
      <c r="AP698" t="s">
        <v>5308</v>
      </c>
      <c r="AQ698" t="s">
        <v>74</v>
      </c>
      <c r="AR698" t="s">
        <v>5309</v>
      </c>
      <c r="AS698" t="s">
        <v>5310</v>
      </c>
      <c r="AT698" t="s">
        <v>11250</v>
      </c>
      <c r="AU698">
        <v>2020</v>
      </c>
      <c r="AV698">
        <v>245</v>
      </c>
      <c r="AW698" t="s">
        <v>74</v>
      </c>
      <c r="AX698" t="s">
        <v>74</v>
      </c>
      <c r="AY698" t="s">
        <v>74</v>
      </c>
      <c r="AZ698" t="s">
        <v>74</v>
      </c>
      <c r="BA698" t="s">
        <v>74</v>
      </c>
      <c r="BB698" t="s">
        <v>74</v>
      </c>
      <c r="BC698" t="s">
        <v>74</v>
      </c>
      <c r="BD698">
        <v>108527</v>
      </c>
      <c r="BE698" t="s">
        <v>13805</v>
      </c>
      <c r="BF698" t="str">
        <f>HYPERLINK("http://dx.doi.org/10.1016/j.biocon.2020.108527","http://dx.doi.org/10.1016/j.biocon.2020.108527")</f>
        <v>http://dx.doi.org/10.1016/j.biocon.2020.108527</v>
      </c>
      <c r="BG698" t="s">
        <v>74</v>
      </c>
      <c r="BH698" t="s">
        <v>74</v>
      </c>
      <c r="BI698">
        <v>10</v>
      </c>
      <c r="BJ698" t="s">
        <v>1375</v>
      </c>
      <c r="BK698" t="s">
        <v>102</v>
      </c>
      <c r="BL698" t="s">
        <v>1005</v>
      </c>
      <c r="BM698" t="s">
        <v>13806</v>
      </c>
      <c r="BN698" t="s">
        <v>74</v>
      </c>
      <c r="BO698" t="s">
        <v>74</v>
      </c>
      <c r="BP698" t="s">
        <v>74</v>
      </c>
      <c r="BQ698" t="s">
        <v>74</v>
      </c>
      <c r="BR698" t="s">
        <v>106</v>
      </c>
      <c r="BS698" t="s">
        <v>13807</v>
      </c>
      <c r="BT698" t="str">
        <f>HYPERLINK("https%3A%2F%2Fwww.webofscience.com%2Fwos%2Fwoscc%2Ffull-record%2FWOS:000532824200019","View Full Record in Web of Science")</f>
        <v>View Full Record in Web of Science</v>
      </c>
    </row>
    <row r="699" spans="1:72" x14ac:dyDescent="0.15">
      <c r="A699" t="s">
        <v>72</v>
      </c>
      <c r="B699" t="s">
        <v>13808</v>
      </c>
      <c r="C699" t="s">
        <v>74</v>
      </c>
      <c r="D699" t="s">
        <v>74</v>
      </c>
      <c r="E699" t="s">
        <v>74</v>
      </c>
      <c r="F699" t="s">
        <v>13809</v>
      </c>
      <c r="G699" t="s">
        <v>74</v>
      </c>
      <c r="H699" t="s">
        <v>74</v>
      </c>
      <c r="I699" t="s">
        <v>13810</v>
      </c>
      <c r="J699" t="s">
        <v>13811</v>
      </c>
      <c r="K699" t="s">
        <v>74</v>
      </c>
      <c r="L699" t="s">
        <v>74</v>
      </c>
      <c r="M699" t="s">
        <v>78</v>
      </c>
      <c r="N699" t="s">
        <v>79</v>
      </c>
      <c r="O699" t="s">
        <v>74</v>
      </c>
      <c r="P699" t="s">
        <v>74</v>
      </c>
      <c r="Q699" t="s">
        <v>74</v>
      </c>
      <c r="R699" t="s">
        <v>74</v>
      </c>
      <c r="S699" t="s">
        <v>74</v>
      </c>
      <c r="T699" t="s">
        <v>13812</v>
      </c>
      <c r="U699" t="s">
        <v>13813</v>
      </c>
      <c r="V699" t="s">
        <v>13814</v>
      </c>
      <c r="W699" t="s">
        <v>13815</v>
      </c>
      <c r="X699" t="s">
        <v>8900</v>
      </c>
      <c r="Y699" t="s">
        <v>13816</v>
      </c>
      <c r="Z699" t="s">
        <v>13817</v>
      </c>
      <c r="AA699" t="s">
        <v>13818</v>
      </c>
      <c r="AB699" t="s">
        <v>13819</v>
      </c>
      <c r="AC699" t="s">
        <v>13820</v>
      </c>
      <c r="AD699" t="s">
        <v>13821</v>
      </c>
      <c r="AE699" t="s">
        <v>13822</v>
      </c>
      <c r="AF699" t="s">
        <v>74</v>
      </c>
      <c r="AG699">
        <v>20</v>
      </c>
      <c r="AH699">
        <v>2</v>
      </c>
      <c r="AI699">
        <v>2</v>
      </c>
      <c r="AJ699">
        <v>0</v>
      </c>
      <c r="AK699">
        <v>2</v>
      </c>
      <c r="AL699" t="s">
        <v>4124</v>
      </c>
      <c r="AM699" t="s">
        <v>8458</v>
      </c>
      <c r="AN699" t="s">
        <v>13138</v>
      </c>
      <c r="AO699" t="s">
        <v>13823</v>
      </c>
      <c r="AP699" t="s">
        <v>13824</v>
      </c>
      <c r="AQ699" t="s">
        <v>74</v>
      </c>
      <c r="AR699" t="s">
        <v>13825</v>
      </c>
      <c r="AS699" t="s">
        <v>13826</v>
      </c>
      <c r="AT699" t="s">
        <v>11250</v>
      </c>
      <c r="AU699">
        <v>2020</v>
      </c>
      <c r="AV699">
        <v>55</v>
      </c>
      <c r="AW699">
        <v>3</v>
      </c>
      <c r="AX699" t="s">
        <v>74</v>
      </c>
      <c r="AY699" t="s">
        <v>74</v>
      </c>
      <c r="AZ699" t="s">
        <v>74</v>
      </c>
      <c r="BA699" t="s">
        <v>74</v>
      </c>
      <c r="BB699">
        <v>165</v>
      </c>
      <c r="BC699">
        <v>176</v>
      </c>
      <c r="BD699" t="s">
        <v>74</v>
      </c>
      <c r="BE699" t="s">
        <v>13827</v>
      </c>
      <c r="BF699" t="str">
        <f>HYPERLINK("http://dx.doi.org/10.1134/S0024490220030037","http://dx.doi.org/10.1134/S0024490220030037")</f>
        <v>http://dx.doi.org/10.1134/S0024490220030037</v>
      </c>
      <c r="BG699" t="s">
        <v>74</v>
      </c>
      <c r="BH699" t="s">
        <v>74</v>
      </c>
      <c r="BI699">
        <v>12</v>
      </c>
      <c r="BJ699" t="s">
        <v>13828</v>
      </c>
      <c r="BK699" t="s">
        <v>102</v>
      </c>
      <c r="BL699" t="s">
        <v>13828</v>
      </c>
      <c r="BM699" t="s">
        <v>13829</v>
      </c>
      <c r="BN699" t="s">
        <v>74</v>
      </c>
      <c r="BO699" t="s">
        <v>74</v>
      </c>
      <c r="BP699" t="s">
        <v>74</v>
      </c>
      <c r="BQ699" t="s">
        <v>74</v>
      </c>
      <c r="BR699" t="s">
        <v>106</v>
      </c>
      <c r="BS699" t="s">
        <v>13830</v>
      </c>
      <c r="BT699" t="str">
        <f>HYPERLINK("https%3A%2F%2Fwww.webofscience.com%2Fwos%2Fwoscc%2Ffull-record%2FWOS:000532206000001","View Full Record in Web of Science")</f>
        <v>View Full Record in Web of Science</v>
      </c>
    </row>
    <row r="700" spans="1:72" x14ac:dyDescent="0.15">
      <c r="A700" t="s">
        <v>72</v>
      </c>
      <c r="B700" t="s">
        <v>13831</v>
      </c>
      <c r="C700" t="s">
        <v>74</v>
      </c>
      <c r="D700" t="s">
        <v>74</v>
      </c>
      <c r="E700" t="s">
        <v>74</v>
      </c>
      <c r="F700" t="s">
        <v>13832</v>
      </c>
      <c r="G700" t="s">
        <v>74</v>
      </c>
      <c r="H700" t="s">
        <v>74</v>
      </c>
      <c r="I700" t="s">
        <v>13833</v>
      </c>
      <c r="J700" t="s">
        <v>13834</v>
      </c>
      <c r="K700" t="s">
        <v>74</v>
      </c>
      <c r="L700" t="s">
        <v>74</v>
      </c>
      <c r="M700" t="s">
        <v>78</v>
      </c>
      <c r="N700" t="s">
        <v>79</v>
      </c>
      <c r="O700" t="s">
        <v>74</v>
      </c>
      <c r="P700" t="s">
        <v>74</v>
      </c>
      <c r="Q700" t="s">
        <v>74</v>
      </c>
      <c r="R700" t="s">
        <v>74</v>
      </c>
      <c r="S700" t="s">
        <v>74</v>
      </c>
      <c r="T700" t="s">
        <v>74</v>
      </c>
      <c r="U700" t="s">
        <v>13835</v>
      </c>
      <c r="V700" t="s">
        <v>13836</v>
      </c>
      <c r="W700" t="s">
        <v>13837</v>
      </c>
      <c r="X700" t="s">
        <v>13838</v>
      </c>
      <c r="Y700" t="s">
        <v>13839</v>
      </c>
      <c r="Z700" t="s">
        <v>13840</v>
      </c>
      <c r="AA700" t="s">
        <v>13841</v>
      </c>
      <c r="AB700" t="s">
        <v>13842</v>
      </c>
      <c r="AC700" t="s">
        <v>74</v>
      </c>
      <c r="AD700" t="s">
        <v>74</v>
      </c>
      <c r="AE700" t="s">
        <v>74</v>
      </c>
      <c r="AF700" t="s">
        <v>74</v>
      </c>
      <c r="AG700">
        <v>61</v>
      </c>
      <c r="AH700">
        <v>5</v>
      </c>
      <c r="AI700">
        <v>5</v>
      </c>
      <c r="AJ700">
        <v>2</v>
      </c>
      <c r="AK700">
        <v>12</v>
      </c>
      <c r="AL700" t="s">
        <v>13843</v>
      </c>
      <c r="AM700" t="s">
        <v>13844</v>
      </c>
      <c r="AN700" t="s">
        <v>13845</v>
      </c>
      <c r="AO700" t="s">
        <v>13846</v>
      </c>
      <c r="AP700" t="s">
        <v>13847</v>
      </c>
      <c r="AQ700" t="s">
        <v>74</v>
      </c>
      <c r="AR700" t="s">
        <v>13848</v>
      </c>
      <c r="AS700" t="s">
        <v>13849</v>
      </c>
      <c r="AT700" t="s">
        <v>13776</v>
      </c>
      <c r="AU700">
        <v>2020</v>
      </c>
      <c r="AV700">
        <v>41</v>
      </c>
      <c r="AW700">
        <v>3</v>
      </c>
      <c r="AX700" t="s">
        <v>74</v>
      </c>
      <c r="AY700" t="s">
        <v>74</v>
      </c>
      <c r="AZ700" t="s">
        <v>74</v>
      </c>
      <c r="BA700" t="s">
        <v>74</v>
      </c>
      <c r="BB700">
        <v>158</v>
      </c>
      <c r="BC700">
        <v>166</v>
      </c>
      <c r="BD700" t="s">
        <v>74</v>
      </c>
      <c r="BE700" t="s">
        <v>13850</v>
      </c>
      <c r="BF700" t="str">
        <f>HYPERLINK("http://dx.doi.org/10.2500/aap.2020.41.200014","http://dx.doi.org/10.2500/aap.2020.41.200014")</f>
        <v>http://dx.doi.org/10.2500/aap.2020.41.200014</v>
      </c>
      <c r="BG700" t="s">
        <v>74</v>
      </c>
      <c r="BH700" t="s">
        <v>74</v>
      </c>
      <c r="BI700">
        <v>9</v>
      </c>
      <c r="BJ700" t="s">
        <v>13851</v>
      </c>
      <c r="BK700" t="s">
        <v>102</v>
      </c>
      <c r="BL700" t="s">
        <v>13851</v>
      </c>
      <c r="BM700" t="s">
        <v>13852</v>
      </c>
      <c r="BN700">
        <v>32375959</v>
      </c>
      <c r="BO700" t="s">
        <v>74</v>
      </c>
      <c r="BP700" t="s">
        <v>74</v>
      </c>
      <c r="BQ700" t="s">
        <v>74</v>
      </c>
      <c r="BR700" t="s">
        <v>106</v>
      </c>
      <c r="BS700" t="s">
        <v>13853</v>
      </c>
      <c r="BT700" t="str">
        <f>HYPERLINK("https%3A%2F%2Fwww.webofscience.com%2Fwos%2Fwoscc%2Ffull-record%2FWOS:000531097500005","View Full Record in Web of Science")</f>
        <v>View Full Record in Web of Science</v>
      </c>
    </row>
    <row r="701" spans="1:72" x14ac:dyDescent="0.15">
      <c r="A701" t="s">
        <v>72</v>
      </c>
      <c r="B701" t="s">
        <v>13854</v>
      </c>
      <c r="C701" t="s">
        <v>74</v>
      </c>
      <c r="D701" t="s">
        <v>74</v>
      </c>
      <c r="E701" t="s">
        <v>74</v>
      </c>
      <c r="F701" t="s">
        <v>13855</v>
      </c>
      <c r="G701" t="s">
        <v>74</v>
      </c>
      <c r="H701" t="s">
        <v>74</v>
      </c>
      <c r="I701" t="s">
        <v>13856</v>
      </c>
      <c r="J701" t="s">
        <v>5023</v>
      </c>
      <c r="K701" t="s">
        <v>74</v>
      </c>
      <c r="L701" t="s">
        <v>74</v>
      </c>
      <c r="M701" t="s">
        <v>78</v>
      </c>
      <c r="N701" t="s">
        <v>79</v>
      </c>
      <c r="O701" t="s">
        <v>74</v>
      </c>
      <c r="P701" t="s">
        <v>74</v>
      </c>
      <c r="Q701" t="s">
        <v>74</v>
      </c>
      <c r="R701" t="s">
        <v>74</v>
      </c>
      <c r="S701" t="s">
        <v>74</v>
      </c>
      <c r="T701" t="s">
        <v>13857</v>
      </c>
      <c r="U701" t="s">
        <v>13858</v>
      </c>
      <c r="V701" t="s">
        <v>13859</v>
      </c>
      <c r="W701" t="s">
        <v>13860</v>
      </c>
      <c r="X701" t="s">
        <v>13861</v>
      </c>
      <c r="Y701" t="s">
        <v>13862</v>
      </c>
      <c r="Z701" t="s">
        <v>13863</v>
      </c>
      <c r="AA701" t="s">
        <v>13864</v>
      </c>
      <c r="AB701" t="s">
        <v>13865</v>
      </c>
      <c r="AC701" t="s">
        <v>13866</v>
      </c>
      <c r="AD701" t="s">
        <v>13867</v>
      </c>
      <c r="AE701" t="s">
        <v>13868</v>
      </c>
      <c r="AF701" t="s">
        <v>74</v>
      </c>
      <c r="AG701">
        <v>43</v>
      </c>
      <c r="AH701">
        <v>44</v>
      </c>
      <c r="AI701">
        <v>47</v>
      </c>
      <c r="AJ701">
        <v>4</v>
      </c>
      <c r="AK701">
        <v>35</v>
      </c>
      <c r="AL701" t="s">
        <v>178</v>
      </c>
      <c r="AM701" t="s">
        <v>179</v>
      </c>
      <c r="AN701" t="s">
        <v>180</v>
      </c>
      <c r="AO701" t="s">
        <v>5035</v>
      </c>
      <c r="AP701" t="s">
        <v>5036</v>
      </c>
      <c r="AQ701" t="s">
        <v>74</v>
      </c>
      <c r="AR701" t="s">
        <v>5037</v>
      </c>
      <c r="AS701" t="s">
        <v>5038</v>
      </c>
      <c r="AT701" t="s">
        <v>11250</v>
      </c>
      <c r="AU701">
        <v>2020</v>
      </c>
      <c r="AV701">
        <v>33</v>
      </c>
      <c r="AW701">
        <v>10</v>
      </c>
      <c r="AX701" t="s">
        <v>74</v>
      </c>
      <c r="AY701" t="s">
        <v>74</v>
      </c>
      <c r="AZ701" t="s">
        <v>74</v>
      </c>
      <c r="BA701" t="s">
        <v>74</v>
      </c>
      <c r="BB701">
        <v>4027</v>
      </c>
      <c r="BC701">
        <v>4043</v>
      </c>
      <c r="BD701" t="s">
        <v>74</v>
      </c>
      <c r="BE701" t="s">
        <v>13869</v>
      </c>
      <c r="BF701" t="str">
        <f>HYPERLINK("http://dx.doi.org/10.1175/JCLI-D-19-0648.1","http://dx.doi.org/10.1175/JCLI-D-19-0648.1")</f>
        <v>http://dx.doi.org/10.1175/JCLI-D-19-0648.1</v>
      </c>
      <c r="BG701" t="s">
        <v>74</v>
      </c>
      <c r="BH701" t="s">
        <v>74</v>
      </c>
      <c r="BI701">
        <v>17</v>
      </c>
      <c r="BJ701" t="s">
        <v>159</v>
      </c>
      <c r="BK701" t="s">
        <v>102</v>
      </c>
      <c r="BL701" t="s">
        <v>159</v>
      </c>
      <c r="BM701" t="s">
        <v>13870</v>
      </c>
      <c r="BN701" t="s">
        <v>74</v>
      </c>
      <c r="BO701" t="s">
        <v>1657</v>
      </c>
      <c r="BP701" t="s">
        <v>74</v>
      </c>
      <c r="BQ701" t="s">
        <v>74</v>
      </c>
      <c r="BR701" t="s">
        <v>106</v>
      </c>
      <c r="BS701" t="s">
        <v>13871</v>
      </c>
      <c r="BT701" t="str">
        <f>HYPERLINK("https%3A%2F%2Fwww.webofscience.com%2Fwos%2Fwoscc%2Ffull-record%2FWOS:000531415800001","View Full Record in Web of Science")</f>
        <v>View Full Record in Web of Science</v>
      </c>
    </row>
    <row r="702" spans="1:72" x14ac:dyDescent="0.15">
      <c r="A702" t="s">
        <v>72</v>
      </c>
      <c r="B702" t="s">
        <v>13872</v>
      </c>
      <c r="C702" t="s">
        <v>74</v>
      </c>
      <c r="D702" t="s">
        <v>74</v>
      </c>
      <c r="E702" t="s">
        <v>74</v>
      </c>
      <c r="F702" t="s">
        <v>13873</v>
      </c>
      <c r="G702" t="s">
        <v>74</v>
      </c>
      <c r="H702" t="s">
        <v>74</v>
      </c>
      <c r="I702" t="s">
        <v>13874</v>
      </c>
      <c r="J702" t="s">
        <v>591</v>
      </c>
      <c r="K702" t="s">
        <v>74</v>
      </c>
      <c r="L702" t="s">
        <v>74</v>
      </c>
      <c r="M702" t="s">
        <v>78</v>
      </c>
      <c r="N702" t="s">
        <v>79</v>
      </c>
      <c r="O702" t="s">
        <v>74</v>
      </c>
      <c r="P702" t="s">
        <v>74</v>
      </c>
      <c r="Q702" t="s">
        <v>74</v>
      </c>
      <c r="R702" t="s">
        <v>74</v>
      </c>
      <c r="S702" t="s">
        <v>74</v>
      </c>
      <c r="T702" t="s">
        <v>13875</v>
      </c>
      <c r="U702" t="s">
        <v>13876</v>
      </c>
      <c r="V702" t="s">
        <v>13877</v>
      </c>
      <c r="W702" t="s">
        <v>13878</v>
      </c>
      <c r="X702" t="s">
        <v>13879</v>
      </c>
      <c r="Y702" t="s">
        <v>13880</v>
      </c>
      <c r="Z702" t="s">
        <v>13881</v>
      </c>
      <c r="AA702" t="s">
        <v>13882</v>
      </c>
      <c r="AB702" t="s">
        <v>13883</v>
      </c>
      <c r="AC702" t="s">
        <v>13884</v>
      </c>
      <c r="AD702" t="s">
        <v>13885</v>
      </c>
      <c r="AE702" t="s">
        <v>13886</v>
      </c>
      <c r="AF702" t="s">
        <v>74</v>
      </c>
      <c r="AG702">
        <v>81</v>
      </c>
      <c r="AH702">
        <v>10</v>
      </c>
      <c r="AI702">
        <v>11</v>
      </c>
      <c r="AJ702">
        <v>3</v>
      </c>
      <c r="AK702">
        <v>37</v>
      </c>
      <c r="AL702" t="s">
        <v>578</v>
      </c>
      <c r="AM702" t="s">
        <v>93</v>
      </c>
      <c r="AN702" t="s">
        <v>579</v>
      </c>
      <c r="AO702" t="s">
        <v>601</v>
      </c>
      <c r="AP702" t="s">
        <v>602</v>
      </c>
      <c r="AQ702" t="s">
        <v>74</v>
      </c>
      <c r="AR702" t="s">
        <v>603</v>
      </c>
      <c r="AS702" t="s">
        <v>604</v>
      </c>
      <c r="AT702" t="s">
        <v>11250</v>
      </c>
      <c r="AU702">
        <v>2020</v>
      </c>
      <c r="AV702">
        <v>115</v>
      </c>
      <c r="AW702" t="s">
        <v>74</v>
      </c>
      <c r="AX702" t="s">
        <v>74</v>
      </c>
      <c r="AY702" t="s">
        <v>74</v>
      </c>
      <c r="AZ702" t="s">
        <v>74</v>
      </c>
      <c r="BA702" t="s">
        <v>74</v>
      </c>
      <c r="BB702" t="s">
        <v>74</v>
      </c>
      <c r="BC702" t="s">
        <v>74</v>
      </c>
      <c r="BD702">
        <v>103782</v>
      </c>
      <c r="BE702" t="s">
        <v>13887</v>
      </c>
      <c r="BF702" t="str">
        <f>HYPERLINK("http://dx.doi.org/10.1016/j.marpol.2019.103782","http://dx.doi.org/10.1016/j.marpol.2019.103782")</f>
        <v>http://dx.doi.org/10.1016/j.marpol.2019.103782</v>
      </c>
      <c r="BG702" t="s">
        <v>74</v>
      </c>
      <c r="BH702" t="s">
        <v>74</v>
      </c>
      <c r="BI702">
        <v>12</v>
      </c>
      <c r="BJ702" t="s">
        <v>606</v>
      </c>
      <c r="BK702" t="s">
        <v>607</v>
      </c>
      <c r="BL702" t="s">
        <v>608</v>
      </c>
      <c r="BM702" t="s">
        <v>13888</v>
      </c>
      <c r="BN702" t="s">
        <v>74</v>
      </c>
      <c r="BO702" t="s">
        <v>74</v>
      </c>
      <c r="BP702" t="s">
        <v>74</v>
      </c>
      <c r="BQ702" t="s">
        <v>74</v>
      </c>
      <c r="BR702" t="s">
        <v>106</v>
      </c>
      <c r="BS702" t="s">
        <v>13889</v>
      </c>
      <c r="BT702" t="str">
        <f>HYPERLINK("https%3A%2F%2Fwww.webofscience.com%2Fwos%2Fwoscc%2Ffull-record%2FWOS:000528256400026","View Full Record in Web of Science")</f>
        <v>View Full Record in Web of Science</v>
      </c>
    </row>
    <row r="703" spans="1:72" x14ac:dyDescent="0.15">
      <c r="A703" t="s">
        <v>72</v>
      </c>
      <c r="B703" t="s">
        <v>13890</v>
      </c>
      <c r="C703" t="s">
        <v>74</v>
      </c>
      <c r="D703" t="s">
        <v>74</v>
      </c>
      <c r="E703" t="s">
        <v>74</v>
      </c>
      <c r="F703" t="s">
        <v>13891</v>
      </c>
      <c r="G703" t="s">
        <v>74</v>
      </c>
      <c r="H703" t="s">
        <v>74</v>
      </c>
      <c r="I703" t="s">
        <v>13892</v>
      </c>
      <c r="J703" t="s">
        <v>591</v>
      </c>
      <c r="K703" t="s">
        <v>74</v>
      </c>
      <c r="L703" t="s">
        <v>74</v>
      </c>
      <c r="M703" t="s">
        <v>78</v>
      </c>
      <c r="N703" t="s">
        <v>79</v>
      </c>
      <c r="O703" t="s">
        <v>74</v>
      </c>
      <c r="P703" t="s">
        <v>74</v>
      </c>
      <c r="Q703" t="s">
        <v>74</v>
      </c>
      <c r="R703" t="s">
        <v>74</v>
      </c>
      <c r="S703" t="s">
        <v>74</v>
      </c>
      <c r="T703" t="s">
        <v>13893</v>
      </c>
      <c r="U703" t="s">
        <v>13894</v>
      </c>
      <c r="V703" t="s">
        <v>13895</v>
      </c>
      <c r="W703" t="s">
        <v>13896</v>
      </c>
      <c r="X703" t="s">
        <v>13897</v>
      </c>
      <c r="Y703" t="s">
        <v>13898</v>
      </c>
      <c r="Z703" t="s">
        <v>13899</v>
      </c>
      <c r="AA703" t="s">
        <v>74</v>
      </c>
      <c r="AB703" t="s">
        <v>74</v>
      </c>
      <c r="AC703" t="s">
        <v>74</v>
      </c>
      <c r="AD703" t="s">
        <v>74</v>
      </c>
      <c r="AE703" t="s">
        <v>74</v>
      </c>
      <c r="AF703" t="s">
        <v>74</v>
      </c>
      <c r="AG703">
        <v>48</v>
      </c>
      <c r="AH703">
        <v>11</v>
      </c>
      <c r="AI703">
        <v>12</v>
      </c>
      <c r="AJ703">
        <v>2</v>
      </c>
      <c r="AK703">
        <v>17</v>
      </c>
      <c r="AL703" t="s">
        <v>578</v>
      </c>
      <c r="AM703" t="s">
        <v>93</v>
      </c>
      <c r="AN703" t="s">
        <v>579</v>
      </c>
      <c r="AO703" t="s">
        <v>601</v>
      </c>
      <c r="AP703" t="s">
        <v>602</v>
      </c>
      <c r="AQ703" t="s">
        <v>74</v>
      </c>
      <c r="AR703" t="s">
        <v>603</v>
      </c>
      <c r="AS703" t="s">
        <v>604</v>
      </c>
      <c r="AT703" t="s">
        <v>11250</v>
      </c>
      <c r="AU703">
        <v>2020</v>
      </c>
      <c r="AV703">
        <v>115</v>
      </c>
      <c r="AW703" t="s">
        <v>74</v>
      </c>
      <c r="AX703" t="s">
        <v>74</v>
      </c>
      <c r="AY703" t="s">
        <v>74</v>
      </c>
      <c r="AZ703" t="s">
        <v>74</v>
      </c>
      <c r="BA703" t="s">
        <v>74</v>
      </c>
      <c r="BB703" t="s">
        <v>74</v>
      </c>
      <c r="BC703" t="s">
        <v>74</v>
      </c>
      <c r="BD703">
        <v>103859</v>
      </c>
      <c r="BE703" t="s">
        <v>13900</v>
      </c>
      <c r="BF703" t="str">
        <f>HYPERLINK("http://dx.doi.org/10.1016/j.marpol.2020.103859","http://dx.doi.org/10.1016/j.marpol.2020.103859")</f>
        <v>http://dx.doi.org/10.1016/j.marpol.2020.103859</v>
      </c>
      <c r="BG703" t="s">
        <v>74</v>
      </c>
      <c r="BH703" t="s">
        <v>74</v>
      </c>
      <c r="BI703">
        <v>13</v>
      </c>
      <c r="BJ703" t="s">
        <v>606</v>
      </c>
      <c r="BK703" t="s">
        <v>607</v>
      </c>
      <c r="BL703" t="s">
        <v>608</v>
      </c>
      <c r="BM703" t="s">
        <v>13888</v>
      </c>
      <c r="BN703" t="s">
        <v>74</v>
      </c>
      <c r="BO703" t="s">
        <v>74</v>
      </c>
      <c r="BP703" t="s">
        <v>74</v>
      </c>
      <c r="BQ703" t="s">
        <v>74</v>
      </c>
      <c r="BR703" t="s">
        <v>106</v>
      </c>
      <c r="BS703" t="s">
        <v>13901</v>
      </c>
      <c r="BT703" t="str">
        <f>HYPERLINK("https%3A%2F%2Fwww.webofscience.com%2Fwos%2Fwoscc%2Ffull-record%2FWOS:000528256400029","View Full Record in Web of Science")</f>
        <v>View Full Record in Web of Science</v>
      </c>
    </row>
    <row r="704" spans="1:72" x14ac:dyDescent="0.15">
      <c r="A704" t="s">
        <v>72</v>
      </c>
      <c r="B704" t="s">
        <v>13902</v>
      </c>
      <c r="C704" t="s">
        <v>74</v>
      </c>
      <c r="D704" t="s">
        <v>74</v>
      </c>
      <c r="E704" t="s">
        <v>74</v>
      </c>
      <c r="F704" t="s">
        <v>13903</v>
      </c>
      <c r="G704" t="s">
        <v>74</v>
      </c>
      <c r="H704" t="s">
        <v>74</v>
      </c>
      <c r="I704" t="s">
        <v>13904</v>
      </c>
      <c r="J704" t="s">
        <v>591</v>
      </c>
      <c r="K704" t="s">
        <v>74</v>
      </c>
      <c r="L704" t="s">
        <v>74</v>
      </c>
      <c r="M704" t="s">
        <v>78</v>
      </c>
      <c r="N704" t="s">
        <v>79</v>
      </c>
      <c r="O704" t="s">
        <v>74</v>
      </c>
      <c r="P704" t="s">
        <v>74</v>
      </c>
      <c r="Q704" t="s">
        <v>74</v>
      </c>
      <c r="R704" t="s">
        <v>74</v>
      </c>
      <c r="S704" t="s">
        <v>74</v>
      </c>
      <c r="T704" t="s">
        <v>13905</v>
      </c>
      <c r="U704" t="s">
        <v>13906</v>
      </c>
      <c r="V704" t="s">
        <v>13907</v>
      </c>
      <c r="W704" t="s">
        <v>13908</v>
      </c>
      <c r="X704" t="s">
        <v>13909</v>
      </c>
      <c r="Y704" t="s">
        <v>13910</v>
      </c>
      <c r="Z704" t="s">
        <v>13911</v>
      </c>
      <c r="AA704" t="s">
        <v>13912</v>
      </c>
      <c r="AB704" t="s">
        <v>13913</v>
      </c>
      <c r="AC704" t="s">
        <v>13914</v>
      </c>
      <c r="AD704" t="s">
        <v>13915</v>
      </c>
      <c r="AE704" t="s">
        <v>13916</v>
      </c>
      <c r="AF704" t="s">
        <v>74</v>
      </c>
      <c r="AG704">
        <v>60</v>
      </c>
      <c r="AH704">
        <v>28</v>
      </c>
      <c r="AI704">
        <v>28</v>
      </c>
      <c r="AJ704">
        <v>5</v>
      </c>
      <c r="AK704">
        <v>52</v>
      </c>
      <c r="AL704" t="s">
        <v>578</v>
      </c>
      <c r="AM704" t="s">
        <v>93</v>
      </c>
      <c r="AN704" t="s">
        <v>579</v>
      </c>
      <c r="AO704" t="s">
        <v>601</v>
      </c>
      <c r="AP704" t="s">
        <v>602</v>
      </c>
      <c r="AQ704" t="s">
        <v>74</v>
      </c>
      <c r="AR704" t="s">
        <v>603</v>
      </c>
      <c r="AS704" t="s">
        <v>604</v>
      </c>
      <c r="AT704" t="s">
        <v>11250</v>
      </c>
      <c r="AU704">
        <v>2020</v>
      </c>
      <c r="AV704">
        <v>115</v>
      </c>
      <c r="AW704" t="s">
        <v>74</v>
      </c>
      <c r="AX704" t="s">
        <v>74</v>
      </c>
      <c r="AY704" t="s">
        <v>74</v>
      </c>
      <c r="AZ704" t="s">
        <v>74</v>
      </c>
      <c r="BA704" t="s">
        <v>74</v>
      </c>
      <c r="BB704" t="s">
        <v>74</v>
      </c>
      <c r="BC704" t="s">
        <v>74</v>
      </c>
      <c r="BD704">
        <v>103832</v>
      </c>
      <c r="BE704" t="s">
        <v>13917</v>
      </c>
      <c r="BF704" t="str">
        <f>HYPERLINK("http://dx.doi.org/10.1016/j.marpol.2020.103832","http://dx.doi.org/10.1016/j.marpol.2020.103832")</f>
        <v>http://dx.doi.org/10.1016/j.marpol.2020.103832</v>
      </c>
      <c r="BG704" t="s">
        <v>74</v>
      </c>
      <c r="BH704" t="s">
        <v>74</v>
      </c>
      <c r="BI704">
        <v>7</v>
      </c>
      <c r="BJ704" t="s">
        <v>606</v>
      </c>
      <c r="BK704" t="s">
        <v>607</v>
      </c>
      <c r="BL704" t="s">
        <v>608</v>
      </c>
      <c r="BM704" t="s">
        <v>13888</v>
      </c>
      <c r="BN704" t="s">
        <v>74</v>
      </c>
      <c r="BO704" t="s">
        <v>74</v>
      </c>
      <c r="BP704" t="s">
        <v>74</v>
      </c>
      <c r="BQ704" t="s">
        <v>74</v>
      </c>
      <c r="BR704" t="s">
        <v>106</v>
      </c>
      <c r="BS704" t="s">
        <v>13918</v>
      </c>
      <c r="BT704" t="str">
        <f>HYPERLINK("https%3A%2F%2Fwww.webofscience.com%2Fwos%2Fwoscc%2Ffull-record%2FWOS:000528256400009","View Full Record in Web of Science")</f>
        <v>View Full Record in Web of Science</v>
      </c>
    </row>
    <row r="705" spans="1:72" x14ac:dyDescent="0.15">
      <c r="A705" t="s">
        <v>72</v>
      </c>
      <c r="B705" t="s">
        <v>13919</v>
      </c>
      <c r="C705" t="s">
        <v>74</v>
      </c>
      <c r="D705" t="s">
        <v>74</v>
      </c>
      <c r="E705" t="s">
        <v>74</v>
      </c>
      <c r="F705" t="s">
        <v>13920</v>
      </c>
      <c r="G705" t="s">
        <v>74</v>
      </c>
      <c r="H705" t="s">
        <v>74</v>
      </c>
      <c r="I705" t="s">
        <v>13921</v>
      </c>
      <c r="J705" t="s">
        <v>13922</v>
      </c>
      <c r="K705" t="s">
        <v>74</v>
      </c>
      <c r="L705" t="s">
        <v>74</v>
      </c>
      <c r="M705" t="s">
        <v>78</v>
      </c>
      <c r="N705" t="s">
        <v>79</v>
      </c>
      <c r="O705" t="s">
        <v>74</v>
      </c>
      <c r="P705" t="s">
        <v>74</v>
      </c>
      <c r="Q705" t="s">
        <v>74</v>
      </c>
      <c r="R705" t="s">
        <v>74</v>
      </c>
      <c r="S705" t="s">
        <v>74</v>
      </c>
      <c r="T705" t="s">
        <v>13923</v>
      </c>
      <c r="U705" t="s">
        <v>13924</v>
      </c>
      <c r="V705" t="s">
        <v>13925</v>
      </c>
      <c r="W705" t="s">
        <v>13926</v>
      </c>
      <c r="X705" t="s">
        <v>13927</v>
      </c>
      <c r="Y705" t="s">
        <v>13928</v>
      </c>
      <c r="Z705" t="s">
        <v>13634</v>
      </c>
      <c r="AA705" t="s">
        <v>13929</v>
      </c>
      <c r="AB705" t="s">
        <v>13930</v>
      </c>
      <c r="AC705" t="s">
        <v>13931</v>
      </c>
      <c r="AD705" t="s">
        <v>13932</v>
      </c>
      <c r="AE705" t="s">
        <v>13933</v>
      </c>
      <c r="AF705" t="s">
        <v>74</v>
      </c>
      <c r="AG705">
        <v>69</v>
      </c>
      <c r="AH705">
        <v>11</v>
      </c>
      <c r="AI705">
        <v>12</v>
      </c>
      <c r="AJ705">
        <v>5</v>
      </c>
      <c r="AK705">
        <v>36</v>
      </c>
      <c r="AL705" t="s">
        <v>10089</v>
      </c>
      <c r="AM705" t="s">
        <v>152</v>
      </c>
      <c r="AN705" t="s">
        <v>10090</v>
      </c>
      <c r="AO705" t="s">
        <v>13934</v>
      </c>
      <c r="AP705" t="s">
        <v>74</v>
      </c>
      <c r="AQ705" t="s">
        <v>74</v>
      </c>
      <c r="AR705" t="s">
        <v>13922</v>
      </c>
      <c r="AS705" t="s">
        <v>13935</v>
      </c>
      <c r="AT705" t="s">
        <v>13224</v>
      </c>
      <c r="AU705">
        <v>2020</v>
      </c>
      <c r="AV705">
        <v>5</v>
      </c>
      <c r="AW705">
        <v>3</v>
      </c>
      <c r="AX705" t="s">
        <v>74</v>
      </c>
      <c r="AY705" t="s">
        <v>74</v>
      </c>
      <c r="AZ705" t="s">
        <v>74</v>
      </c>
      <c r="BA705" t="s">
        <v>74</v>
      </c>
      <c r="BB705" t="s">
        <v>74</v>
      </c>
      <c r="BC705" t="s">
        <v>74</v>
      </c>
      <c r="BD705" t="s">
        <v>13936</v>
      </c>
      <c r="BE705" t="s">
        <v>13937</v>
      </c>
      <c r="BF705" t="str">
        <f>HYPERLINK("http://dx.doi.org/10.1128/mSystems.00234-20","http://dx.doi.org/10.1128/mSystems.00234-20")</f>
        <v>http://dx.doi.org/10.1128/mSystems.00234-20</v>
      </c>
      <c r="BG705" t="s">
        <v>74</v>
      </c>
      <c r="BH705" t="s">
        <v>74</v>
      </c>
      <c r="BI705">
        <v>12</v>
      </c>
      <c r="BJ705" t="s">
        <v>2045</v>
      </c>
      <c r="BK705" t="s">
        <v>102</v>
      </c>
      <c r="BL705" t="s">
        <v>2045</v>
      </c>
      <c r="BM705" t="s">
        <v>13938</v>
      </c>
      <c r="BN705">
        <v>32371471</v>
      </c>
      <c r="BO705" t="s">
        <v>3204</v>
      </c>
      <c r="BP705" t="s">
        <v>74</v>
      </c>
      <c r="BQ705" t="s">
        <v>74</v>
      </c>
      <c r="BR705" t="s">
        <v>106</v>
      </c>
      <c r="BS705" t="s">
        <v>13939</v>
      </c>
      <c r="BT705" t="str">
        <f>HYPERLINK("https%3A%2F%2Fwww.webofscience.com%2Fwos%2Fwoscc%2Ffull-record%2FWOS:000531078500001","View Full Record in Web of Science")</f>
        <v>View Full Record in Web of Science</v>
      </c>
    </row>
    <row r="706" spans="1:72" x14ac:dyDescent="0.15">
      <c r="A706" t="s">
        <v>72</v>
      </c>
      <c r="B706" t="s">
        <v>13940</v>
      </c>
      <c r="C706" t="s">
        <v>74</v>
      </c>
      <c r="D706" t="s">
        <v>74</v>
      </c>
      <c r="E706" t="s">
        <v>74</v>
      </c>
      <c r="F706" t="s">
        <v>13941</v>
      </c>
      <c r="G706" t="s">
        <v>74</v>
      </c>
      <c r="H706" t="s">
        <v>74</v>
      </c>
      <c r="I706" t="s">
        <v>13942</v>
      </c>
      <c r="J706" t="s">
        <v>13943</v>
      </c>
      <c r="K706" t="s">
        <v>74</v>
      </c>
      <c r="L706" t="s">
        <v>74</v>
      </c>
      <c r="M706" t="s">
        <v>78</v>
      </c>
      <c r="N706" t="s">
        <v>79</v>
      </c>
      <c r="O706" t="s">
        <v>74</v>
      </c>
      <c r="P706" t="s">
        <v>74</v>
      </c>
      <c r="Q706" t="s">
        <v>74</v>
      </c>
      <c r="R706" t="s">
        <v>74</v>
      </c>
      <c r="S706" t="s">
        <v>74</v>
      </c>
      <c r="T706" t="s">
        <v>13944</v>
      </c>
      <c r="U706" t="s">
        <v>13945</v>
      </c>
      <c r="V706" t="s">
        <v>13946</v>
      </c>
      <c r="W706" t="s">
        <v>13947</v>
      </c>
      <c r="X706" t="s">
        <v>13948</v>
      </c>
      <c r="Y706" t="s">
        <v>13949</v>
      </c>
      <c r="Z706" t="s">
        <v>13950</v>
      </c>
      <c r="AA706" t="s">
        <v>13951</v>
      </c>
      <c r="AB706" t="s">
        <v>13952</v>
      </c>
      <c r="AC706" t="s">
        <v>13953</v>
      </c>
      <c r="AD706" t="s">
        <v>13954</v>
      </c>
      <c r="AE706" t="s">
        <v>13955</v>
      </c>
      <c r="AF706" t="s">
        <v>74</v>
      </c>
      <c r="AG706">
        <v>68</v>
      </c>
      <c r="AH706">
        <v>37</v>
      </c>
      <c r="AI706">
        <v>37</v>
      </c>
      <c r="AJ706">
        <v>2</v>
      </c>
      <c r="AK706">
        <v>31</v>
      </c>
      <c r="AL706" t="s">
        <v>13956</v>
      </c>
      <c r="AM706" t="s">
        <v>13957</v>
      </c>
      <c r="AN706" t="s">
        <v>13958</v>
      </c>
      <c r="AO706" t="s">
        <v>13959</v>
      </c>
      <c r="AP706" t="s">
        <v>13960</v>
      </c>
      <c r="AQ706" t="s">
        <v>74</v>
      </c>
      <c r="AR706" t="s">
        <v>13961</v>
      </c>
      <c r="AS706" t="s">
        <v>13962</v>
      </c>
      <c r="AT706" t="s">
        <v>11250</v>
      </c>
      <c r="AU706">
        <v>2020</v>
      </c>
      <c r="AV706">
        <v>105</v>
      </c>
      <c r="AW706">
        <v>5</v>
      </c>
      <c r="AX706" t="s">
        <v>74</v>
      </c>
      <c r="AY706" t="s">
        <v>74</v>
      </c>
      <c r="AZ706" t="s">
        <v>74</v>
      </c>
      <c r="BA706" t="s">
        <v>74</v>
      </c>
      <c r="BB706">
        <v>674</v>
      </c>
      <c r="BC706">
        <v>686</v>
      </c>
      <c r="BD706" t="s">
        <v>74</v>
      </c>
      <c r="BE706" t="s">
        <v>13963</v>
      </c>
      <c r="BF706" t="str">
        <f>HYPERLINK("http://dx.doi.org/10.2138/am-2020-7341","http://dx.doi.org/10.2138/am-2020-7341")</f>
        <v>http://dx.doi.org/10.2138/am-2020-7341</v>
      </c>
      <c r="BG706" t="s">
        <v>74</v>
      </c>
      <c r="BH706" t="s">
        <v>74</v>
      </c>
      <c r="BI706">
        <v>13</v>
      </c>
      <c r="BJ706" t="s">
        <v>5961</v>
      </c>
      <c r="BK706" t="s">
        <v>102</v>
      </c>
      <c r="BL706" t="s">
        <v>5961</v>
      </c>
      <c r="BM706" t="s">
        <v>13964</v>
      </c>
      <c r="BN706" t="s">
        <v>74</v>
      </c>
      <c r="BO706" t="s">
        <v>74</v>
      </c>
      <c r="BP706" t="s">
        <v>74</v>
      </c>
      <c r="BQ706" t="s">
        <v>74</v>
      </c>
      <c r="BR706" t="s">
        <v>106</v>
      </c>
      <c r="BS706" t="s">
        <v>13965</v>
      </c>
      <c r="BT706" t="str">
        <f>HYPERLINK("https%3A%2F%2Fwww.webofscience.com%2Fwos%2Fwoscc%2Ffull-record%2FWOS:000530656700008","View Full Record in Web of Science")</f>
        <v>View Full Record in Web of Science</v>
      </c>
    </row>
    <row r="707" spans="1:72" x14ac:dyDescent="0.15">
      <c r="A707" t="s">
        <v>72</v>
      </c>
      <c r="B707" t="s">
        <v>13966</v>
      </c>
      <c r="C707" t="s">
        <v>74</v>
      </c>
      <c r="D707" t="s">
        <v>74</v>
      </c>
      <c r="E707" t="s">
        <v>74</v>
      </c>
      <c r="F707" t="s">
        <v>13967</v>
      </c>
      <c r="G707" t="s">
        <v>74</v>
      </c>
      <c r="H707" t="s">
        <v>74</v>
      </c>
      <c r="I707" t="s">
        <v>13968</v>
      </c>
      <c r="J707" t="s">
        <v>1783</v>
      </c>
      <c r="K707" t="s">
        <v>74</v>
      </c>
      <c r="L707" t="s">
        <v>74</v>
      </c>
      <c r="M707" t="s">
        <v>78</v>
      </c>
      <c r="N707" t="s">
        <v>79</v>
      </c>
      <c r="O707" t="s">
        <v>74</v>
      </c>
      <c r="P707" t="s">
        <v>74</v>
      </c>
      <c r="Q707" t="s">
        <v>74</v>
      </c>
      <c r="R707" t="s">
        <v>74</v>
      </c>
      <c r="S707" t="s">
        <v>74</v>
      </c>
      <c r="T707" t="s">
        <v>13969</v>
      </c>
      <c r="U707" t="s">
        <v>13970</v>
      </c>
      <c r="V707" t="s">
        <v>13971</v>
      </c>
      <c r="W707" t="s">
        <v>13972</v>
      </c>
      <c r="X707" t="s">
        <v>13973</v>
      </c>
      <c r="Y707" t="s">
        <v>13974</v>
      </c>
      <c r="Z707" t="s">
        <v>13975</v>
      </c>
      <c r="AA707" t="s">
        <v>13976</v>
      </c>
      <c r="AB707" t="s">
        <v>13977</v>
      </c>
      <c r="AC707" t="s">
        <v>74</v>
      </c>
      <c r="AD707" t="s">
        <v>74</v>
      </c>
      <c r="AE707" t="s">
        <v>74</v>
      </c>
      <c r="AF707" t="s">
        <v>74</v>
      </c>
      <c r="AG707">
        <v>62</v>
      </c>
      <c r="AH707">
        <v>4</v>
      </c>
      <c r="AI707">
        <v>4</v>
      </c>
      <c r="AJ707">
        <v>3</v>
      </c>
      <c r="AK707">
        <v>24</v>
      </c>
      <c r="AL707" t="s">
        <v>1440</v>
      </c>
      <c r="AM707" t="s">
        <v>399</v>
      </c>
      <c r="AN707" t="s">
        <v>1441</v>
      </c>
      <c r="AO707" t="s">
        <v>1796</v>
      </c>
      <c r="AP707" t="s">
        <v>1797</v>
      </c>
      <c r="AQ707" t="s">
        <v>74</v>
      </c>
      <c r="AR707" t="s">
        <v>1798</v>
      </c>
      <c r="AS707" t="s">
        <v>1799</v>
      </c>
      <c r="AT707" t="s">
        <v>11250</v>
      </c>
      <c r="AU707">
        <v>2020</v>
      </c>
      <c r="AV707">
        <v>43</v>
      </c>
      <c r="AW707">
        <v>5</v>
      </c>
      <c r="AX707" t="s">
        <v>74</v>
      </c>
      <c r="AY707" t="s">
        <v>74</v>
      </c>
      <c r="AZ707" t="s">
        <v>74</v>
      </c>
      <c r="BA707" t="s">
        <v>74</v>
      </c>
      <c r="BB707">
        <v>423</v>
      </c>
      <c r="BC707">
        <v>433</v>
      </c>
      <c r="BD707" t="s">
        <v>74</v>
      </c>
      <c r="BE707" t="s">
        <v>13978</v>
      </c>
      <c r="BF707" t="str">
        <f>HYPERLINK("http://dx.doi.org/10.1007/s00300-020-02644-z","http://dx.doi.org/10.1007/s00300-020-02644-z")</f>
        <v>http://dx.doi.org/10.1007/s00300-020-02644-z</v>
      </c>
      <c r="BG707" t="s">
        <v>74</v>
      </c>
      <c r="BH707" t="s">
        <v>74</v>
      </c>
      <c r="BI707">
        <v>11</v>
      </c>
      <c r="BJ707" t="s">
        <v>1004</v>
      </c>
      <c r="BK707" t="s">
        <v>102</v>
      </c>
      <c r="BL707" t="s">
        <v>1005</v>
      </c>
      <c r="BM707" t="s">
        <v>13979</v>
      </c>
      <c r="BN707" t="s">
        <v>74</v>
      </c>
      <c r="BO707" t="s">
        <v>294</v>
      </c>
      <c r="BP707" t="s">
        <v>74</v>
      </c>
      <c r="BQ707" t="s">
        <v>74</v>
      </c>
      <c r="BR707" t="s">
        <v>106</v>
      </c>
      <c r="BS707" t="s">
        <v>13980</v>
      </c>
      <c r="BT707" t="str">
        <f>HYPERLINK("https%3A%2F%2Fwww.webofscience.com%2Fwos%2Fwoscc%2Ffull-record%2FWOS:000530820100003","View Full Record in Web of Science")</f>
        <v>View Full Record in Web of Science</v>
      </c>
    </row>
    <row r="708" spans="1:72" x14ac:dyDescent="0.15">
      <c r="A708" t="s">
        <v>72</v>
      </c>
      <c r="B708" t="s">
        <v>13981</v>
      </c>
      <c r="C708" t="s">
        <v>74</v>
      </c>
      <c r="D708" t="s">
        <v>74</v>
      </c>
      <c r="E708" t="s">
        <v>74</v>
      </c>
      <c r="F708" t="s">
        <v>13982</v>
      </c>
      <c r="G708" t="s">
        <v>74</v>
      </c>
      <c r="H708" t="s">
        <v>74</v>
      </c>
      <c r="I708" t="s">
        <v>13983</v>
      </c>
      <c r="J708" t="s">
        <v>2807</v>
      </c>
      <c r="K708" t="s">
        <v>74</v>
      </c>
      <c r="L708" t="s">
        <v>74</v>
      </c>
      <c r="M708" t="s">
        <v>78</v>
      </c>
      <c r="N708" t="s">
        <v>79</v>
      </c>
      <c r="O708" t="s">
        <v>74</v>
      </c>
      <c r="P708" t="s">
        <v>74</v>
      </c>
      <c r="Q708" t="s">
        <v>74</v>
      </c>
      <c r="R708" t="s">
        <v>74</v>
      </c>
      <c r="S708" t="s">
        <v>74</v>
      </c>
      <c r="T708" t="s">
        <v>13984</v>
      </c>
      <c r="U708" t="s">
        <v>13985</v>
      </c>
      <c r="V708" t="s">
        <v>13986</v>
      </c>
      <c r="W708" t="s">
        <v>13987</v>
      </c>
      <c r="X708" t="s">
        <v>7487</v>
      </c>
      <c r="Y708" t="s">
        <v>13988</v>
      </c>
      <c r="Z708" t="s">
        <v>13989</v>
      </c>
      <c r="AA708" t="s">
        <v>13990</v>
      </c>
      <c r="AB708" t="s">
        <v>13991</v>
      </c>
      <c r="AC708" t="s">
        <v>13992</v>
      </c>
      <c r="AD708" t="s">
        <v>13993</v>
      </c>
      <c r="AE708" t="s">
        <v>13994</v>
      </c>
      <c r="AF708" t="s">
        <v>74</v>
      </c>
      <c r="AG708">
        <v>85</v>
      </c>
      <c r="AH708">
        <v>22</v>
      </c>
      <c r="AI708">
        <v>24</v>
      </c>
      <c r="AJ708">
        <v>5</v>
      </c>
      <c r="AK708">
        <v>40</v>
      </c>
      <c r="AL708" t="s">
        <v>92</v>
      </c>
      <c r="AM708" t="s">
        <v>93</v>
      </c>
      <c r="AN708" t="s">
        <v>94</v>
      </c>
      <c r="AO708" t="s">
        <v>2818</v>
      </c>
      <c r="AP708" t="s">
        <v>2819</v>
      </c>
      <c r="AQ708" t="s">
        <v>74</v>
      </c>
      <c r="AR708" t="s">
        <v>2820</v>
      </c>
      <c r="AS708" t="s">
        <v>2821</v>
      </c>
      <c r="AT708" t="s">
        <v>13776</v>
      </c>
      <c r="AU708">
        <v>2020</v>
      </c>
      <c r="AV708">
        <v>228</v>
      </c>
      <c r="AW708" t="s">
        <v>74</v>
      </c>
      <c r="AX708" t="s">
        <v>74</v>
      </c>
      <c r="AY708" t="s">
        <v>74</v>
      </c>
      <c r="AZ708" t="s">
        <v>74</v>
      </c>
      <c r="BA708" t="s">
        <v>74</v>
      </c>
      <c r="BB708" t="s">
        <v>74</v>
      </c>
      <c r="BC708" t="s">
        <v>74</v>
      </c>
      <c r="BD708">
        <v>117432</v>
      </c>
      <c r="BE708" t="s">
        <v>13995</v>
      </c>
      <c r="BF708" t="str">
        <f>HYPERLINK("http://dx.doi.org/10.1016/j.atmosenv.2020.117432","http://dx.doi.org/10.1016/j.atmosenv.2020.117432")</f>
        <v>http://dx.doi.org/10.1016/j.atmosenv.2020.117432</v>
      </c>
      <c r="BG708" t="s">
        <v>74</v>
      </c>
      <c r="BH708" t="s">
        <v>74</v>
      </c>
      <c r="BI708">
        <v>13</v>
      </c>
      <c r="BJ708" t="s">
        <v>2068</v>
      </c>
      <c r="BK708" t="s">
        <v>102</v>
      </c>
      <c r="BL708" t="s">
        <v>2069</v>
      </c>
      <c r="BM708" t="s">
        <v>13996</v>
      </c>
      <c r="BN708" t="s">
        <v>74</v>
      </c>
      <c r="BO708" t="s">
        <v>976</v>
      </c>
      <c r="BP708" t="s">
        <v>74</v>
      </c>
      <c r="BQ708" t="s">
        <v>74</v>
      </c>
      <c r="BR708" t="s">
        <v>106</v>
      </c>
      <c r="BS708" t="s">
        <v>13997</v>
      </c>
      <c r="BT708" t="str">
        <f>HYPERLINK("https%3A%2F%2Fwww.webofscience.com%2Fwos%2Fwoscc%2Ffull-record%2FWOS:000530031400010","View Full Record in Web of Science")</f>
        <v>View Full Record in Web of Science</v>
      </c>
    </row>
    <row r="709" spans="1:72" x14ac:dyDescent="0.15">
      <c r="A709" t="s">
        <v>72</v>
      </c>
      <c r="B709" t="s">
        <v>13998</v>
      </c>
      <c r="C709" t="s">
        <v>74</v>
      </c>
      <c r="D709" t="s">
        <v>74</v>
      </c>
      <c r="E709" t="s">
        <v>74</v>
      </c>
      <c r="F709" t="s">
        <v>13999</v>
      </c>
      <c r="G709" t="s">
        <v>74</v>
      </c>
      <c r="H709" t="s">
        <v>74</v>
      </c>
      <c r="I709" t="s">
        <v>14000</v>
      </c>
      <c r="J709" t="s">
        <v>14001</v>
      </c>
      <c r="K709" t="s">
        <v>74</v>
      </c>
      <c r="L709" t="s">
        <v>74</v>
      </c>
      <c r="M709" t="s">
        <v>78</v>
      </c>
      <c r="N709" t="s">
        <v>79</v>
      </c>
      <c r="O709" t="s">
        <v>74</v>
      </c>
      <c r="P709" t="s">
        <v>74</v>
      </c>
      <c r="Q709" t="s">
        <v>74</v>
      </c>
      <c r="R709" t="s">
        <v>74</v>
      </c>
      <c r="S709" t="s">
        <v>74</v>
      </c>
      <c r="T709" t="s">
        <v>74</v>
      </c>
      <c r="U709" t="s">
        <v>14002</v>
      </c>
      <c r="V709" t="s">
        <v>14003</v>
      </c>
      <c r="W709" t="s">
        <v>14004</v>
      </c>
      <c r="X709" t="s">
        <v>14005</v>
      </c>
      <c r="Y709" t="s">
        <v>14006</v>
      </c>
      <c r="Z709" t="s">
        <v>14007</v>
      </c>
      <c r="AA709" t="s">
        <v>14008</v>
      </c>
      <c r="AB709" t="s">
        <v>14009</v>
      </c>
      <c r="AC709" t="s">
        <v>74</v>
      </c>
      <c r="AD709" t="s">
        <v>74</v>
      </c>
      <c r="AE709" t="s">
        <v>74</v>
      </c>
      <c r="AF709" t="s">
        <v>74</v>
      </c>
      <c r="AG709">
        <v>29</v>
      </c>
      <c r="AH709">
        <v>3</v>
      </c>
      <c r="AI709">
        <v>3</v>
      </c>
      <c r="AJ709">
        <v>6</v>
      </c>
      <c r="AK709">
        <v>57</v>
      </c>
      <c r="AL709" t="s">
        <v>994</v>
      </c>
      <c r="AM709" t="s">
        <v>995</v>
      </c>
      <c r="AN709" t="s">
        <v>996</v>
      </c>
      <c r="AO709" t="s">
        <v>14010</v>
      </c>
      <c r="AP709" t="s">
        <v>14011</v>
      </c>
      <c r="AQ709" t="s">
        <v>74</v>
      </c>
      <c r="AR709" t="s">
        <v>14012</v>
      </c>
      <c r="AS709" t="s">
        <v>14013</v>
      </c>
      <c r="AT709" t="s">
        <v>11250</v>
      </c>
      <c r="AU709">
        <v>2020</v>
      </c>
      <c r="AV709">
        <v>44</v>
      </c>
      <c r="AW709">
        <v>5</v>
      </c>
      <c r="AX709" t="s">
        <v>74</v>
      </c>
      <c r="AY709" t="s">
        <v>74</v>
      </c>
      <c r="AZ709" t="s">
        <v>74</v>
      </c>
      <c r="BA709" t="s">
        <v>74</v>
      </c>
      <c r="BB709" t="s">
        <v>74</v>
      </c>
      <c r="BC709" t="s">
        <v>74</v>
      </c>
      <c r="BD709" t="s">
        <v>14014</v>
      </c>
      <c r="BE709" t="s">
        <v>14015</v>
      </c>
      <c r="BF709" t="str">
        <f>HYPERLINK("http://dx.doi.org/10.1111/jfpp.14437","http://dx.doi.org/10.1111/jfpp.14437")</f>
        <v>http://dx.doi.org/10.1111/jfpp.14437</v>
      </c>
      <c r="BG709" t="s">
        <v>74</v>
      </c>
      <c r="BH709" t="s">
        <v>74</v>
      </c>
      <c r="BI709">
        <v>9</v>
      </c>
      <c r="BJ709" t="s">
        <v>365</v>
      </c>
      <c r="BK709" t="s">
        <v>102</v>
      </c>
      <c r="BL709" t="s">
        <v>365</v>
      </c>
      <c r="BM709" t="s">
        <v>14016</v>
      </c>
      <c r="BN709" t="s">
        <v>74</v>
      </c>
      <c r="BO709" t="s">
        <v>105</v>
      </c>
      <c r="BP709" t="s">
        <v>74</v>
      </c>
      <c r="BQ709" t="s">
        <v>74</v>
      </c>
      <c r="BR709" t="s">
        <v>106</v>
      </c>
      <c r="BS709" t="s">
        <v>14017</v>
      </c>
      <c r="BT709" t="str">
        <f>HYPERLINK("https%3A%2F%2Fwww.webofscience.com%2Fwos%2Fwoscc%2Ffull-record%2FWOS:000529210800026","View Full Record in Web of Science")</f>
        <v>View Full Record in Web of Science</v>
      </c>
    </row>
    <row r="710" spans="1:72" x14ac:dyDescent="0.15">
      <c r="A710" t="s">
        <v>72</v>
      </c>
      <c r="B710" t="s">
        <v>14018</v>
      </c>
      <c r="C710" t="s">
        <v>74</v>
      </c>
      <c r="D710" t="s">
        <v>74</v>
      </c>
      <c r="E710" t="s">
        <v>74</v>
      </c>
      <c r="F710" t="s">
        <v>14019</v>
      </c>
      <c r="G710" t="s">
        <v>74</v>
      </c>
      <c r="H710" t="s">
        <v>74</v>
      </c>
      <c r="I710" t="s">
        <v>14020</v>
      </c>
      <c r="J710" t="s">
        <v>14021</v>
      </c>
      <c r="K710" t="s">
        <v>74</v>
      </c>
      <c r="L710" t="s">
        <v>74</v>
      </c>
      <c r="M710" t="s">
        <v>78</v>
      </c>
      <c r="N710" t="s">
        <v>79</v>
      </c>
      <c r="O710" t="s">
        <v>74</v>
      </c>
      <c r="P710" t="s">
        <v>74</v>
      </c>
      <c r="Q710" t="s">
        <v>74</v>
      </c>
      <c r="R710" t="s">
        <v>74</v>
      </c>
      <c r="S710" t="s">
        <v>74</v>
      </c>
      <c r="T710" t="s">
        <v>14022</v>
      </c>
      <c r="U710" t="s">
        <v>14023</v>
      </c>
      <c r="V710" t="s">
        <v>14024</v>
      </c>
      <c r="W710" t="s">
        <v>14025</v>
      </c>
      <c r="X710" t="s">
        <v>14026</v>
      </c>
      <c r="Y710" t="s">
        <v>14027</v>
      </c>
      <c r="Z710" t="s">
        <v>14028</v>
      </c>
      <c r="AA710" t="s">
        <v>14029</v>
      </c>
      <c r="AB710" t="s">
        <v>14030</v>
      </c>
      <c r="AC710" t="s">
        <v>14031</v>
      </c>
      <c r="AD710" t="s">
        <v>14032</v>
      </c>
      <c r="AE710" t="s">
        <v>14033</v>
      </c>
      <c r="AF710" t="s">
        <v>74</v>
      </c>
      <c r="AG710">
        <v>84</v>
      </c>
      <c r="AH710">
        <v>12</v>
      </c>
      <c r="AI710">
        <v>12</v>
      </c>
      <c r="AJ710">
        <v>0</v>
      </c>
      <c r="AK710">
        <v>8</v>
      </c>
      <c r="AL710" t="s">
        <v>284</v>
      </c>
      <c r="AM710" t="s">
        <v>285</v>
      </c>
      <c r="AN710" t="s">
        <v>286</v>
      </c>
      <c r="AO710" t="s">
        <v>14034</v>
      </c>
      <c r="AP710" t="s">
        <v>14035</v>
      </c>
      <c r="AQ710" t="s">
        <v>74</v>
      </c>
      <c r="AR710" t="s">
        <v>14036</v>
      </c>
      <c r="AS710" t="s">
        <v>14037</v>
      </c>
      <c r="AT710" t="s">
        <v>13776</v>
      </c>
      <c r="AU710">
        <v>2020</v>
      </c>
      <c r="AV710">
        <v>396</v>
      </c>
      <c r="AW710" t="s">
        <v>74</v>
      </c>
      <c r="AX710" t="s">
        <v>74</v>
      </c>
      <c r="AY710" t="s">
        <v>74</v>
      </c>
      <c r="AZ710" t="s">
        <v>74</v>
      </c>
      <c r="BA710" t="s">
        <v>74</v>
      </c>
      <c r="BB710" t="s">
        <v>74</v>
      </c>
      <c r="BC710" t="s">
        <v>74</v>
      </c>
      <c r="BD710">
        <v>106866</v>
      </c>
      <c r="BE710" t="s">
        <v>14038</v>
      </c>
      <c r="BF710" t="str">
        <f>HYPERLINK("http://dx.doi.org/10.1016/j.jvolgeores.2020.106866","http://dx.doi.org/10.1016/j.jvolgeores.2020.106866")</f>
        <v>http://dx.doi.org/10.1016/j.jvolgeores.2020.106866</v>
      </c>
      <c r="BG710" t="s">
        <v>74</v>
      </c>
      <c r="BH710" t="s">
        <v>74</v>
      </c>
      <c r="BI710">
        <v>20</v>
      </c>
      <c r="BJ710" t="s">
        <v>471</v>
      </c>
      <c r="BK710" t="s">
        <v>102</v>
      </c>
      <c r="BL710" t="s">
        <v>472</v>
      </c>
      <c r="BM710" t="s">
        <v>14039</v>
      </c>
      <c r="BN710" t="s">
        <v>74</v>
      </c>
      <c r="BO710" t="s">
        <v>294</v>
      </c>
      <c r="BP710" t="s">
        <v>74</v>
      </c>
      <c r="BQ710" t="s">
        <v>74</v>
      </c>
      <c r="BR710" t="s">
        <v>106</v>
      </c>
      <c r="BS710" t="s">
        <v>14040</v>
      </c>
      <c r="BT710" t="str">
        <f>HYPERLINK("https%3A%2F%2Fwww.webofscience.com%2Fwos%2Fwoscc%2Ffull-record%2FWOS:000529798300005","View Full Record in Web of Science")</f>
        <v>View Full Record in Web of Science</v>
      </c>
    </row>
    <row r="711" spans="1:72" x14ac:dyDescent="0.15">
      <c r="A711" t="s">
        <v>72</v>
      </c>
      <c r="B711" t="s">
        <v>14041</v>
      </c>
      <c r="C711" t="s">
        <v>74</v>
      </c>
      <c r="D711" t="s">
        <v>74</v>
      </c>
      <c r="E711" t="s">
        <v>74</v>
      </c>
      <c r="F711" t="s">
        <v>14042</v>
      </c>
      <c r="G711" t="s">
        <v>74</v>
      </c>
      <c r="H711" t="s">
        <v>74</v>
      </c>
      <c r="I711" t="s">
        <v>14043</v>
      </c>
      <c r="J711" t="s">
        <v>219</v>
      </c>
      <c r="K711" t="s">
        <v>74</v>
      </c>
      <c r="L711" t="s">
        <v>74</v>
      </c>
      <c r="M711" t="s">
        <v>78</v>
      </c>
      <c r="N711" t="s">
        <v>79</v>
      </c>
      <c r="O711" t="s">
        <v>74</v>
      </c>
      <c r="P711" t="s">
        <v>74</v>
      </c>
      <c r="Q711" t="s">
        <v>74</v>
      </c>
      <c r="R711" t="s">
        <v>74</v>
      </c>
      <c r="S711" t="s">
        <v>74</v>
      </c>
      <c r="T711" t="s">
        <v>14044</v>
      </c>
      <c r="U711" t="s">
        <v>14045</v>
      </c>
      <c r="V711" t="s">
        <v>14046</v>
      </c>
      <c r="W711" t="s">
        <v>14047</v>
      </c>
      <c r="X711" t="s">
        <v>14048</v>
      </c>
      <c r="Y711" t="s">
        <v>14049</v>
      </c>
      <c r="Z711" t="s">
        <v>14050</v>
      </c>
      <c r="AA711" t="s">
        <v>14051</v>
      </c>
      <c r="AB711" t="s">
        <v>74</v>
      </c>
      <c r="AC711" t="s">
        <v>14052</v>
      </c>
      <c r="AD711" t="s">
        <v>14053</v>
      </c>
      <c r="AE711" t="s">
        <v>14054</v>
      </c>
      <c r="AF711" t="s">
        <v>74</v>
      </c>
      <c r="AG711">
        <v>46</v>
      </c>
      <c r="AH711">
        <v>16</v>
      </c>
      <c r="AI711">
        <v>18</v>
      </c>
      <c r="AJ711">
        <v>7</v>
      </c>
      <c r="AK711">
        <v>49</v>
      </c>
      <c r="AL711" t="s">
        <v>92</v>
      </c>
      <c r="AM711" t="s">
        <v>93</v>
      </c>
      <c r="AN711" t="s">
        <v>94</v>
      </c>
      <c r="AO711" t="s">
        <v>232</v>
      </c>
      <c r="AP711" t="s">
        <v>233</v>
      </c>
      <c r="AQ711" t="s">
        <v>74</v>
      </c>
      <c r="AR711" t="s">
        <v>234</v>
      </c>
      <c r="AS711" t="s">
        <v>235</v>
      </c>
      <c r="AT711" t="s">
        <v>11250</v>
      </c>
      <c r="AU711">
        <v>2020</v>
      </c>
      <c r="AV711">
        <v>154</v>
      </c>
      <c r="AW711" t="s">
        <v>74</v>
      </c>
      <c r="AX711" t="s">
        <v>74</v>
      </c>
      <c r="AY711" t="s">
        <v>74</v>
      </c>
      <c r="AZ711" t="s">
        <v>74</v>
      </c>
      <c r="BA711" t="s">
        <v>74</v>
      </c>
      <c r="BB711" t="s">
        <v>74</v>
      </c>
      <c r="BC711" t="s">
        <v>74</v>
      </c>
      <c r="BD711">
        <v>111043</v>
      </c>
      <c r="BE711" t="s">
        <v>14055</v>
      </c>
      <c r="BF711" t="str">
        <f>HYPERLINK("http://dx.doi.org/10.1016/j.marpolbul.2020.111043","http://dx.doi.org/10.1016/j.marpolbul.2020.111043")</f>
        <v>http://dx.doi.org/10.1016/j.marpolbul.2020.111043</v>
      </c>
      <c r="BG711" t="s">
        <v>74</v>
      </c>
      <c r="BH711" t="s">
        <v>74</v>
      </c>
      <c r="BI711">
        <v>6</v>
      </c>
      <c r="BJ711" t="s">
        <v>237</v>
      </c>
      <c r="BK711" t="s">
        <v>102</v>
      </c>
      <c r="BL711" t="s">
        <v>238</v>
      </c>
      <c r="BM711" t="s">
        <v>14056</v>
      </c>
      <c r="BN711">
        <v>32174493</v>
      </c>
      <c r="BO711" t="s">
        <v>74</v>
      </c>
      <c r="BP711" t="s">
        <v>74</v>
      </c>
      <c r="BQ711" t="s">
        <v>74</v>
      </c>
      <c r="BR711" t="s">
        <v>106</v>
      </c>
      <c r="BS711" t="s">
        <v>14057</v>
      </c>
      <c r="BT711" t="str">
        <f>HYPERLINK("https%3A%2F%2Fwww.webofscience.com%2Fwos%2Fwoscc%2Ffull-record%2FWOS:000528205900018","View Full Record in Web of Science")</f>
        <v>View Full Record in Web of Science</v>
      </c>
    </row>
    <row r="712" spans="1:72" x14ac:dyDescent="0.15">
      <c r="A712" t="s">
        <v>72</v>
      </c>
      <c r="B712" t="s">
        <v>14058</v>
      </c>
      <c r="C712" t="s">
        <v>74</v>
      </c>
      <c r="D712" t="s">
        <v>74</v>
      </c>
      <c r="E712" t="s">
        <v>74</v>
      </c>
      <c r="F712" t="s">
        <v>14059</v>
      </c>
      <c r="G712" t="s">
        <v>74</v>
      </c>
      <c r="H712" t="s">
        <v>74</v>
      </c>
      <c r="I712" t="s">
        <v>14060</v>
      </c>
      <c r="J712" t="s">
        <v>219</v>
      </c>
      <c r="K712" t="s">
        <v>74</v>
      </c>
      <c r="L712" t="s">
        <v>74</v>
      </c>
      <c r="M712" t="s">
        <v>78</v>
      </c>
      <c r="N712" t="s">
        <v>79</v>
      </c>
      <c r="O712" t="s">
        <v>74</v>
      </c>
      <c r="P712" t="s">
        <v>74</v>
      </c>
      <c r="Q712" t="s">
        <v>74</v>
      </c>
      <c r="R712" t="s">
        <v>74</v>
      </c>
      <c r="S712" t="s">
        <v>74</v>
      </c>
      <c r="T712" t="s">
        <v>14061</v>
      </c>
      <c r="U712" t="s">
        <v>14062</v>
      </c>
      <c r="V712" t="s">
        <v>14063</v>
      </c>
      <c r="W712" t="s">
        <v>14064</v>
      </c>
      <c r="X712" t="s">
        <v>14065</v>
      </c>
      <c r="Y712" t="s">
        <v>14066</v>
      </c>
      <c r="Z712" t="s">
        <v>14067</v>
      </c>
      <c r="AA712" t="s">
        <v>14068</v>
      </c>
      <c r="AB712" t="s">
        <v>14069</v>
      </c>
      <c r="AC712" t="s">
        <v>14070</v>
      </c>
      <c r="AD712" t="s">
        <v>14071</v>
      </c>
      <c r="AE712" t="s">
        <v>14072</v>
      </c>
      <c r="AF712" t="s">
        <v>74</v>
      </c>
      <c r="AG712">
        <v>47</v>
      </c>
      <c r="AH712">
        <v>145</v>
      </c>
      <c r="AI712">
        <v>158</v>
      </c>
      <c r="AJ712">
        <v>19</v>
      </c>
      <c r="AK712">
        <v>152</v>
      </c>
      <c r="AL712" t="s">
        <v>92</v>
      </c>
      <c r="AM712" t="s">
        <v>93</v>
      </c>
      <c r="AN712" t="s">
        <v>94</v>
      </c>
      <c r="AO712" t="s">
        <v>232</v>
      </c>
      <c r="AP712" t="s">
        <v>233</v>
      </c>
      <c r="AQ712" t="s">
        <v>74</v>
      </c>
      <c r="AR712" t="s">
        <v>234</v>
      </c>
      <c r="AS712" t="s">
        <v>235</v>
      </c>
      <c r="AT712" t="s">
        <v>11250</v>
      </c>
      <c r="AU712">
        <v>2020</v>
      </c>
      <c r="AV712">
        <v>154</v>
      </c>
      <c r="AW712" t="s">
        <v>74</v>
      </c>
      <c r="AX712" t="s">
        <v>74</v>
      </c>
      <c r="AY712" t="s">
        <v>74</v>
      </c>
      <c r="AZ712" t="s">
        <v>74</v>
      </c>
      <c r="BA712" t="s">
        <v>74</v>
      </c>
      <c r="BB712" t="s">
        <v>74</v>
      </c>
      <c r="BC712" t="s">
        <v>74</v>
      </c>
      <c r="BD712">
        <v>111130</v>
      </c>
      <c r="BE712" t="s">
        <v>14073</v>
      </c>
      <c r="BF712" t="str">
        <f>HYPERLINK("http://dx.doi.org/10.1016/j.marpolbul.2020.111130","http://dx.doi.org/10.1016/j.marpolbul.2020.111130")</f>
        <v>http://dx.doi.org/10.1016/j.marpolbul.2020.111130</v>
      </c>
      <c r="BG712" t="s">
        <v>74</v>
      </c>
      <c r="BH712" t="s">
        <v>74</v>
      </c>
      <c r="BI712">
        <v>7</v>
      </c>
      <c r="BJ712" t="s">
        <v>237</v>
      </c>
      <c r="BK712" t="s">
        <v>102</v>
      </c>
      <c r="BL712" t="s">
        <v>238</v>
      </c>
      <c r="BM712" t="s">
        <v>14056</v>
      </c>
      <c r="BN712">
        <v>32319937</v>
      </c>
      <c r="BO712" t="s">
        <v>74</v>
      </c>
      <c r="BP712" t="s">
        <v>162</v>
      </c>
      <c r="BQ712" t="s">
        <v>163</v>
      </c>
      <c r="BR712" t="s">
        <v>106</v>
      </c>
      <c r="BS712" t="s">
        <v>14074</v>
      </c>
      <c r="BT712" t="str">
        <f>HYPERLINK("https%3A%2F%2Fwww.webofscience.com%2Fwos%2Fwoscc%2Ffull-record%2FWOS:000528205900077","View Full Record in Web of Science")</f>
        <v>View Full Record in Web of Science</v>
      </c>
    </row>
    <row r="713" spans="1:72" x14ac:dyDescent="0.15">
      <c r="A713" t="s">
        <v>72</v>
      </c>
      <c r="B713" t="s">
        <v>14075</v>
      </c>
      <c r="C713" t="s">
        <v>74</v>
      </c>
      <c r="D713" t="s">
        <v>74</v>
      </c>
      <c r="E713" t="s">
        <v>74</v>
      </c>
      <c r="F713" t="s">
        <v>14076</v>
      </c>
      <c r="G713" t="s">
        <v>74</v>
      </c>
      <c r="H713" t="s">
        <v>74</v>
      </c>
      <c r="I713" t="s">
        <v>14077</v>
      </c>
      <c r="J713" t="s">
        <v>219</v>
      </c>
      <c r="K713" t="s">
        <v>74</v>
      </c>
      <c r="L713" t="s">
        <v>74</v>
      </c>
      <c r="M713" t="s">
        <v>78</v>
      </c>
      <c r="N713" t="s">
        <v>79</v>
      </c>
      <c r="O713" t="s">
        <v>74</v>
      </c>
      <c r="P713" t="s">
        <v>74</v>
      </c>
      <c r="Q713" t="s">
        <v>74</v>
      </c>
      <c r="R713" t="s">
        <v>74</v>
      </c>
      <c r="S713" t="s">
        <v>74</v>
      </c>
      <c r="T713" t="s">
        <v>14078</v>
      </c>
      <c r="U713" t="s">
        <v>14079</v>
      </c>
      <c r="V713" t="s">
        <v>14080</v>
      </c>
      <c r="W713" t="s">
        <v>14081</v>
      </c>
      <c r="X713" t="s">
        <v>14082</v>
      </c>
      <c r="Y713" t="s">
        <v>14083</v>
      </c>
      <c r="Z713" t="s">
        <v>14084</v>
      </c>
      <c r="AA713" t="s">
        <v>14085</v>
      </c>
      <c r="AB713" t="s">
        <v>14086</v>
      </c>
      <c r="AC713" t="s">
        <v>14087</v>
      </c>
      <c r="AD713" t="s">
        <v>14088</v>
      </c>
      <c r="AE713" t="s">
        <v>14089</v>
      </c>
      <c r="AF713" t="s">
        <v>74</v>
      </c>
      <c r="AG713">
        <v>44</v>
      </c>
      <c r="AH713">
        <v>10</v>
      </c>
      <c r="AI713">
        <v>10</v>
      </c>
      <c r="AJ713">
        <v>1</v>
      </c>
      <c r="AK713">
        <v>29</v>
      </c>
      <c r="AL713" t="s">
        <v>92</v>
      </c>
      <c r="AM713" t="s">
        <v>93</v>
      </c>
      <c r="AN713" t="s">
        <v>94</v>
      </c>
      <c r="AO713" t="s">
        <v>232</v>
      </c>
      <c r="AP713" t="s">
        <v>233</v>
      </c>
      <c r="AQ713" t="s">
        <v>74</v>
      </c>
      <c r="AR713" t="s">
        <v>234</v>
      </c>
      <c r="AS713" t="s">
        <v>235</v>
      </c>
      <c r="AT713" t="s">
        <v>11250</v>
      </c>
      <c r="AU713">
        <v>2020</v>
      </c>
      <c r="AV713">
        <v>154</v>
      </c>
      <c r="AW713" t="s">
        <v>74</v>
      </c>
      <c r="AX713" t="s">
        <v>74</v>
      </c>
      <c r="AY713" t="s">
        <v>74</v>
      </c>
      <c r="AZ713" t="s">
        <v>74</v>
      </c>
      <c r="BA713" t="s">
        <v>74</v>
      </c>
      <c r="BB713" t="s">
        <v>74</v>
      </c>
      <c r="BC713" t="s">
        <v>74</v>
      </c>
      <c r="BD713">
        <v>111071</v>
      </c>
      <c r="BE713" t="s">
        <v>14090</v>
      </c>
      <c r="BF713" t="str">
        <f>HYPERLINK("http://dx.doi.org/10.1016/j.marpolbul.2020.111071","http://dx.doi.org/10.1016/j.marpolbul.2020.111071")</f>
        <v>http://dx.doi.org/10.1016/j.marpolbul.2020.111071</v>
      </c>
      <c r="BG713" t="s">
        <v>74</v>
      </c>
      <c r="BH713" t="s">
        <v>74</v>
      </c>
      <c r="BI713">
        <v>9</v>
      </c>
      <c r="BJ713" t="s">
        <v>237</v>
      </c>
      <c r="BK713" t="s">
        <v>102</v>
      </c>
      <c r="BL713" t="s">
        <v>238</v>
      </c>
      <c r="BM713" t="s">
        <v>14056</v>
      </c>
      <c r="BN713">
        <v>32319902</v>
      </c>
      <c r="BO713" t="s">
        <v>74</v>
      </c>
      <c r="BP713" t="s">
        <v>74</v>
      </c>
      <c r="BQ713" t="s">
        <v>74</v>
      </c>
      <c r="BR713" t="s">
        <v>106</v>
      </c>
      <c r="BS713" t="s">
        <v>14091</v>
      </c>
      <c r="BT713" t="str">
        <f>HYPERLINK("https%3A%2F%2Fwww.webofscience.com%2Fwos%2Fwoscc%2Ffull-record%2FWOS:000528205900042","View Full Record in Web of Science")</f>
        <v>View Full Record in Web of Science</v>
      </c>
    </row>
    <row r="714" spans="1:72" x14ac:dyDescent="0.15">
      <c r="A714" t="s">
        <v>72</v>
      </c>
      <c r="B714" t="s">
        <v>14092</v>
      </c>
      <c r="C714" t="s">
        <v>74</v>
      </c>
      <c r="D714" t="s">
        <v>74</v>
      </c>
      <c r="E714" t="s">
        <v>74</v>
      </c>
      <c r="F714" t="s">
        <v>14093</v>
      </c>
      <c r="G714" t="s">
        <v>74</v>
      </c>
      <c r="H714" t="s">
        <v>74</v>
      </c>
      <c r="I714" t="s">
        <v>14094</v>
      </c>
      <c r="J714" t="s">
        <v>219</v>
      </c>
      <c r="K714" t="s">
        <v>74</v>
      </c>
      <c r="L714" t="s">
        <v>74</v>
      </c>
      <c r="M714" t="s">
        <v>78</v>
      </c>
      <c r="N714" t="s">
        <v>79</v>
      </c>
      <c r="O714" t="s">
        <v>74</v>
      </c>
      <c r="P714" t="s">
        <v>74</v>
      </c>
      <c r="Q714" t="s">
        <v>74</v>
      </c>
      <c r="R714" t="s">
        <v>74</v>
      </c>
      <c r="S714" t="s">
        <v>74</v>
      </c>
      <c r="T714" t="s">
        <v>14095</v>
      </c>
      <c r="U714" t="s">
        <v>14096</v>
      </c>
      <c r="V714" t="s">
        <v>14097</v>
      </c>
      <c r="W714" t="s">
        <v>14098</v>
      </c>
      <c r="X714" t="s">
        <v>14099</v>
      </c>
      <c r="Y714" t="s">
        <v>14100</v>
      </c>
      <c r="Z714" t="s">
        <v>14101</v>
      </c>
      <c r="AA714" t="s">
        <v>14102</v>
      </c>
      <c r="AB714" t="s">
        <v>14103</v>
      </c>
      <c r="AC714" t="s">
        <v>14104</v>
      </c>
      <c r="AD714" t="s">
        <v>14104</v>
      </c>
      <c r="AE714" t="s">
        <v>14105</v>
      </c>
      <c r="AF714" t="s">
        <v>74</v>
      </c>
      <c r="AG714">
        <v>110</v>
      </c>
      <c r="AH714">
        <v>14</v>
      </c>
      <c r="AI714">
        <v>14</v>
      </c>
      <c r="AJ714">
        <v>3</v>
      </c>
      <c r="AK714">
        <v>19</v>
      </c>
      <c r="AL714" t="s">
        <v>92</v>
      </c>
      <c r="AM714" t="s">
        <v>93</v>
      </c>
      <c r="AN714" t="s">
        <v>94</v>
      </c>
      <c r="AO714" t="s">
        <v>232</v>
      </c>
      <c r="AP714" t="s">
        <v>233</v>
      </c>
      <c r="AQ714" t="s">
        <v>74</v>
      </c>
      <c r="AR714" t="s">
        <v>234</v>
      </c>
      <c r="AS714" t="s">
        <v>235</v>
      </c>
      <c r="AT714" t="s">
        <v>11250</v>
      </c>
      <c r="AU714">
        <v>2020</v>
      </c>
      <c r="AV714">
        <v>154</v>
      </c>
      <c r="AW714" t="s">
        <v>74</v>
      </c>
      <c r="AX714" t="s">
        <v>74</v>
      </c>
      <c r="AY714" t="s">
        <v>74</v>
      </c>
      <c r="AZ714" t="s">
        <v>74</v>
      </c>
      <c r="BA714" t="s">
        <v>74</v>
      </c>
      <c r="BB714" t="s">
        <v>74</v>
      </c>
      <c r="BC714" t="s">
        <v>74</v>
      </c>
      <c r="BD714">
        <v>111047</v>
      </c>
      <c r="BE714" t="s">
        <v>14106</v>
      </c>
      <c r="BF714" t="str">
        <f>HYPERLINK("http://dx.doi.org/10.1016/j.marpolbul.2020.111047","http://dx.doi.org/10.1016/j.marpolbul.2020.111047")</f>
        <v>http://dx.doi.org/10.1016/j.marpolbul.2020.111047</v>
      </c>
      <c r="BG714" t="s">
        <v>74</v>
      </c>
      <c r="BH714" t="s">
        <v>74</v>
      </c>
      <c r="BI714">
        <v>9</v>
      </c>
      <c r="BJ714" t="s">
        <v>237</v>
      </c>
      <c r="BK714" t="s">
        <v>102</v>
      </c>
      <c r="BL714" t="s">
        <v>238</v>
      </c>
      <c r="BM714" t="s">
        <v>14056</v>
      </c>
      <c r="BN714">
        <v>32319892</v>
      </c>
      <c r="BO714" t="s">
        <v>1474</v>
      </c>
      <c r="BP714" t="s">
        <v>74</v>
      </c>
      <c r="BQ714" t="s">
        <v>74</v>
      </c>
      <c r="BR714" t="s">
        <v>106</v>
      </c>
      <c r="BS714" t="s">
        <v>14107</v>
      </c>
      <c r="BT714" t="str">
        <f>HYPERLINK("https%3A%2F%2Fwww.webofscience.com%2Fwos%2Fwoscc%2Ffull-record%2FWOS:000528205900022","View Full Record in Web of Science")</f>
        <v>View Full Record in Web of Science</v>
      </c>
    </row>
    <row r="715" spans="1:72" x14ac:dyDescent="0.15">
      <c r="A715" t="s">
        <v>72</v>
      </c>
      <c r="B715" t="s">
        <v>14108</v>
      </c>
      <c r="C715" t="s">
        <v>74</v>
      </c>
      <c r="D715" t="s">
        <v>74</v>
      </c>
      <c r="E715" t="s">
        <v>74</v>
      </c>
      <c r="F715" t="s">
        <v>14109</v>
      </c>
      <c r="G715" t="s">
        <v>74</v>
      </c>
      <c r="H715" t="s">
        <v>74</v>
      </c>
      <c r="I715" t="s">
        <v>14110</v>
      </c>
      <c r="J715" t="s">
        <v>9664</v>
      </c>
      <c r="K715" t="s">
        <v>74</v>
      </c>
      <c r="L715" t="s">
        <v>74</v>
      </c>
      <c r="M715" t="s">
        <v>78</v>
      </c>
      <c r="N715" t="s">
        <v>79</v>
      </c>
      <c r="O715" t="s">
        <v>74</v>
      </c>
      <c r="P715" t="s">
        <v>74</v>
      </c>
      <c r="Q715" t="s">
        <v>74</v>
      </c>
      <c r="R715" t="s">
        <v>74</v>
      </c>
      <c r="S715" t="s">
        <v>74</v>
      </c>
      <c r="T715" t="s">
        <v>14111</v>
      </c>
      <c r="U715" t="s">
        <v>14112</v>
      </c>
      <c r="V715" t="s">
        <v>14113</v>
      </c>
      <c r="W715" t="s">
        <v>14114</v>
      </c>
      <c r="X715" t="s">
        <v>14115</v>
      </c>
      <c r="Y715" t="s">
        <v>14116</v>
      </c>
      <c r="Z715" t="s">
        <v>14117</v>
      </c>
      <c r="AA715" t="s">
        <v>14118</v>
      </c>
      <c r="AB715" t="s">
        <v>14119</v>
      </c>
      <c r="AC715" t="s">
        <v>14120</v>
      </c>
      <c r="AD715" t="s">
        <v>14121</v>
      </c>
      <c r="AE715" t="s">
        <v>14122</v>
      </c>
      <c r="AF715" t="s">
        <v>74</v>
      </c>
      <c r="AG715">
        <v>60</v>
      </c>
      <c r="AH715">
        <v>18</v>
      </c>
      <c r="AI715">
        <v>23</v>
      </c>
      <c r="AJ715">
        <v>4</v>
      </c>
      <c r="AK715">
        <v>30</v>
      </c>
      <c r="AL715" t="s">
        <v>284</v>
      </c>
      <c r="AM715" t="s">
        <v>285</v>
      </c>
      <c r="AN715" t="s">
        <v>286</v>
      </c>
      <c r="AO715" t="s">
        <v>9677</v>
      </c>
      <c r="AP715" t="s">
        <v>74</v>
      </c>
      <c r="AQ715" t="s">
        <v>74</v>
      </c>
      <c r="AR715" t="s">
        <v>9678</v>
      </c>
      <c r="AS715" t="s">
        <v>9679</v>
      </c>
      <c r="AT715" t="s">
        <v>11250</v>
      </c>
      <c r="AU715">
        <v>2020</v>
      </c>
      <c r="AV715">
        <v>47</v>
      </c>
      <c r="AW715" t="s">
        <v>74</v>
      </c>
      <c r="AX715" t="s">
        <v>74</v>
      </c>
      <c r="AY715" t="s">
        <v>74</v>
      </c>
      <c r="AZ715" t="s">
        <v>74</v>
      </c>
      <c r="BA715" t="s">
        <v>74</v>
      </c>
      <c r="BB715" t="s">
        <v>74</v>
      </c>
      <c r="BC715" t="s">
        <v>74</v>
      </c>
      <c r="BD715">
        <v>101895</v>
      </c>
      <c r="BE715" t="s">
        <v>14123</v>
      </c>
      <c r="BF715" t="str">
        <f>HYPERLINK("http://dx.doi.org/10.1016/j.algal.2020.101895","http://dx.doi.org/10.1016/j.algal.2020.101895")</f>
        <v>http://dx.doi.org/10.1016/j.algal.2020.101895</v>
      </c>
      <c r="BG715" t="s">
        <v>74</v>
      </c>
      <c r="BH715" t="s">
        <v>74</v>
      </c>
      <c r="BI715">
        <v>7</v>
      </c>
      <c r="BJ715" t="s">
        <v>2194</v>
      </c>
      <c r="BK715" t="s">
        <v>102</v>
      </c>
      <c r="BL715" t="s">
        <v>2194</v>
      </c>
      <c r="BM715" t="s">
        <v>14124</v>
      </c>
      <c r="BN715" t="s">
        <v>74</v>
      </c>
      <c r="BO715" t="s">
        <v>74</v>
      </c>
      <c r="BP715" t="s">
        <v>74</v>
      </c>
      <c r="BQ715" t="s">
        <v>74</v>
      </c>
      <c r="BR715" t="s">
        <v>106</v>
      </c>
      <c r="BS715" t="s">
        <v>14125</v>
      </c>
      <c r="BT715" t="str">
        <f>HYPERLINK("https%3A%2F%2Fwww.webofscience.com%2Fwos%2Fwoscc%2Ffull-record%2FWOS:000572122100013","View Full Record in Web of Science")</f>
        <v>View Full Record in Web of Science</v>
      </c>
    </row>
    <row r="716" spans="1:72" x14ac:dyDescent="0.15">
      <c r="A716" t="s">
        <v>72</v>
      </c>
      <c r="B716" t="s">
        <v>14126</v>
      </c>
      <c r="C716" t="s">
        <v>74</v>
      </c>
      <c r="D716" t="s">
        <v>74</v>
      </c>
      <c r="E716" t="s">
        <v>74</v>
      </c>
      <c r="F716" t="s">
        <v>14127</v>
      </c>
      <c r="G716" t="s">
        <v>74</v>
      </c>
      <c r="H716" t="s">
        <v>74</v>
      </c>
      <c r="I716" t="s">
        <v>14128</v>
      </c>
      <c r="J716" t="s">
        <v>14129</v>
      </c>
      <c r="K716" t="s">
        <v>74</v>
      </c>
      <c r="L716" t="s">
        <v>74</v>
      </c>
      <c r="M716" t="s">
        <v>78</v>
      </c>
      <c r="N716" t="s">
        <v>79</v>
      </c>
      <c r="O716" t="s">
        <v>74</v>
      </c>
      <c r="P716" t="s">
        <v>74</v>
      </c>
      <c r="Q716" t="s">
        <v>74</v>
      </c>
      <c r="R716" t="s">
        <v>74</v>
      </c>
      <c r="S716" t="s">
        <v>74</v>
      </c>
      <c r="T716" t="s">
        <v>14130</v>
      </c>
      <c r="U716" t="s">
        <v>14131</v>
      </c>
      <c r="V716" t="s">
        <v>14132</v>
      </c>
      <c r="W716" t="s">
        <v>14133</v>
      </c>
      <c r="X716" t="s">
        <v>14134</v>
      </c>
      <c r="Y716" t="s">
        <v>14135</v>
      </c>
      <c r="Z716" t="s">
        <v>14136</v>
      </c>
      <c r="AA716" t="s">
        <v>14137</v>
      </c>
      <c r="AB716" t="s">
        <v>14138</v>
      </c>
      <c r="AC716" t="s">
        <v>14139</v>
      </c>
      <c r="AD716" t="s">
        <v>14140</v>
      </c>
      <c r="AE716" t="s">
        <v>14141</v>
      </c>
      <c r="AF716" t="s">
        <v>74</v>
      </c>
      <c r="AG716">
        <v>105</v>
      </c>
      <c r="AH716">
        <v>10</v>
      </c>
      <c r="AI716">
        <v>11</v>
      </c>
      <c r="AJ716">
        <v>1</v>
      </c>
      <c r="AK716">
        <v>46</v>
      </c>
      <c r="AL716" t="s">
        <v>4283</v>
      </c>
      <c r="AM716" t="s">
        <v>4284</v>
      </c>
      <c r="AN716" t="s">
        <v>4285</v>
      </c>
      <c r="AO716" t="s">
        <v>74</v>
      </c>
      <c r="AP716" t="s">
        <v>14142</v>
      </c>
      <c r="AQ716" t="s">
        <v>74</v>
      </c>
      <c r="AR716" t="s">
        <v>14129</v>
      </c>
      <c r="AS716" t="s">
        <v>14143</v>
      </c>
      <c r="AT716" t="s">
        <v>11250</v>
      </c>
      <c r="AU716">
        <v>2020</v>
      </c>
      <c r="AV716">
        <v>10</v>
      </c>
      <c r="AW716">
        <v>5</v>
      </c>
      <c r="AX716" t="s">
        <v>74</v>
      </c>
      <c r="AY716" t="s">
        <v>74</v>
      </c>
      <c r="AZ716" t="s">
        <v>74</v>
      </c>
      <c r="BA716" t="s">
        <v>74</v>
      </c>
      <c r="BB716" t="s">
        <v>74</v>
      </c>
      <c r="BC716" t="s">
        <v>74</v>
      </c>
      <c r="BD716">
        <v>673</v>
      </c>
      <c r="BE716" t="s">
        <v>14144</v>
      </c>
      <c r="BF716" t="str">
        <f>HYPERLINK("http://dx.doi.org/10.3390/biom10050673","http://dx.doi.org/10.3390/biom10050673")</f>
        <v>http://dx.doi.org/10.3390/biom10050673</v>
      </c>
      <c r="BG716" t="s">
        <v>74</v>
      </c>
      <c r="BH716" t="s">
        <v>74</v>
      </c>
      <c r="BI716">
        <v>23</v>
      </c>
      <c r="BJ716" t="s">
        <v>7422</v>
      </c>
      <c r="BK716" t="s">
        <v>102</v>
      </c>
      <c r="BL716" t="s">
        <v>7422</v>
      </c>
      <c r="BM716" t="s">
        <v>14145</v>
      </c>
      <c r="BN716">
        <v>32349314</v>
      </c>
      <c r="BO716" t="s">
        <v>1778</v>
      </c>
      <c r="BP716" t="s">
        <v>74</v>
      </c>
      <c r="BQ716" t="s">
        <v>74</v>
      </c>
      <c r="BR716" t="s">
        <v>106</v>
      </c>
      <c r="BS716" t="s">
        <v>14146</v>
      </c>
      <c r="BT716" t="str">
        <f>HYPERLINK("https%3A%2F%2Fwww.webofscience.com%2Fwos%2Fwoscc%2Ffull-record%2FWOS:000545013700010","View Full Record in Web of Science")</f>
        <v>View Full Record in Web of Science</v>
      </c>
    </row>
    <row r="717" spans="1:72" x14ac:dyDescent="0.15">
      <c r="A717" t="s">
        <v>72</v>
      </c>
      <c r="B717" t="s">
        <v>14147</v>
      </c>
      <c r="C717" t="s">
        <v>74</v>
      </c>
      <c r="D717" t="s">
        <v>74</v>
      </c>
      <c r="E717" t="s">
        <v>74</v>
      </c>
      <c r="F717" t="s">
        <v>14148</v>
      </c>
      <c r="G717" t="s">
        <v>74</v>
      </c>
      <c r="H717" t="s">
        <v>74</v>
      </c>
      <c r="I717" t="s">
        <v>14149</v>
      </c>
      <c r="J717" t="s">
        <v>14129</v>
      </c>
      <c r="K717" t="s">
        <v>74</v>
      </c>
      <c r="L717" t="s">
        <v>74</v>
      </c>
      <c r="M717" t="s">
        <v>78</v>
      </c>
      <c r="N717" t="s">
        <v>79</v>
      </c>
      <c r="O717" t="s">
        <v>74</v>
      </c>
      <c r="P717" t="s">
        <v>74</v>
      </c>
      <c r="Q717" t="s">
        <v>74</v>
      </c>
      <c r="R717" t="s">
        <v>74</v>
      </c>
      <c r="S717" t="s">
        <v>74</v>
      </c>
      <c r="T717" t="s">
        <v>14150</v>
      </c>
      <c r="U717" t="s">
        <v>14151</v>
      </c>
      <c r="V717" t="s">
        <v>14152</v>
      </c>
      <c r="W717" t="s">
        <v>14153</v>
      </c>
      <c r="X717" t="s">
        <v>14154</v>
      </c>
      <c r="Y717" t="s">
        <v>14155</v>
      </c>
      <c r="Z717" t="s">
        <v>14156</v>
      </c>
      <c r="AA717" t="s">
        <v>14157</v>
      </c>
      <c r="AB717" t="s">
        <v>14158</v>
      </c>
      <c r="AC717" t="s">
        <v>14159</v>
      </c>
      <c r="AD717" t="s">
        <v>14160</v>
      </c>
      <c r="AE717" t="s">
        <v>14161</v>
      </c>
      <c r="AF717" t="s">
        <v>74</v>
      </c>
      <c r="AG717">
        <v>53</v>
      </c>
      <c r="AH717">
        <v>7</v>
      </c>
      <c r="AI717">
        <v>7</v>
      </c>
      <c r="AJ717">
        <v>3</v>
      </c>
      <c r="AK717">
        <v>11</v>
      </c>
      <c r="AL717" t="s">
        <v>4283</v>
      </c>
      <c r="AM717" t="s">
        <v>4284</v>
      </c>
      <c r="AN717" t="s">
        <v>4285</v>
      </c>
      <c r="AO717" t="s">
        <v>74</v>
      </c>
      <c r="AP717" t="s">
        <v>14142</v>
      </c>
      <c r="AQ717" t="s">
        <v>74</v>
      </c>
      <c r="AR717" t="s">
        <v>14129</v>
      </c>
      <c r="AS717" t="s">
        <v>14143</v>
      </c>
      <c r="AT717" t="s">
        <v>11250</v>
      </c>
      <c r="AU717">
        <v>2020</v>
      </c>
      <c r="AV717">
        <v>10</v>
      </c>
      <c r="AW717">
        <v>5</v>
      </c>
      <c r="AX717" t="s">
        <v>74</v>
      </c>
      <c r="AY717" t="s">
        <v>74</v>
      </c>
      <c r="AZ717" t="s">
        <v>74</v>
      </c>
      <c r="BA717" t="s">
        <v>74</v>
      </c>
      <c r="BB717" t="s">
        <v>74</v>
      </c>
      <c r="BC717" t="s">
        <v>74</v>
      </c>
      <c r="BD717">
        <v>759</v>
      </c>
      <c r="BE717" t="s">
        <v>14162</v>
      </c>
      <c r="BF717" t="str">
        <f>HYPERLINK("http://dx.doi.org/10.3390/biom10050759","http://dx.doi.org/10.3390/biom10050759")</f>
        <v>http://dx.doi.org/10.3390/biom10050759</v>
      </c>
      <c r="BG717" t="s">
        <v>74</v>
      </c>
      <c r="BH717" t="s">
        <v>74</v>
      </c>
      <c r="BI717">
        <v>15</v>
      </c>
      <c r="BJ717" t="s">
        <v>7422</v>
      </c>
      <c r="BK717" t="s">
        <v>102</v>
      </c>
      <c r="BL717" t="s">
        <v>7422</v>
      </c>
      <c r="BM717" t="s">
        <v>14145</v>
      </c>
      <c r="BN717">
        <v>32414092</v>
      </c>
      <c r="BO717" t="s">
        <v>1778</v>
      </c>
      <c r="BP717" t="s">
        <v>74</v>
      </c>
      <c r="BQ717" t="s">
        <v>74</v>
      </c>
      <c r="BR717" t="s">
        <v>106</v>
      </c>
      <c r="BS717" t="s">
        <v>14163</v>
      </c>
      <c r="BT717" t="str">
        <f>HYPERLINK("https%3A%2F%2Fwww.webofscience.com%2Fwos%2Fwoscc%2Ffull-record%2FWOS:000545013700096","View Full Record in Web of Science")</f>
        <v>View Full Record in Web of Science</v>
      </c>
    </row>
    <row r="718" spans="1:72" x14ac:dyDescent="0.15">
      <c r="A718" t="s">
        <v>72</v>
      </c>
      <c r="B718" t="s">
        <v>14164</v>
      </c>
      <c r="C718" t="s">
        <v>74</v>
      </c>
      <c r="D718" t="s">
        <v>74</v>
      </c>
      <c r="E718" t="s">
        <v>74</v>
      </c>
      <c r="F718" t="s">
        <v>14165</v>
      </c>
      <c r="G718" t="s">
        <v>74</v>
      </c>
      <c r="H718" t="s">
        <v>74</v>
      </c>
      <c r="I718" t="s">
        <v>14166</v>
      </c>
      <c r="J718" t="s">
        <v>13627</v>
      </c>
      <c r="K718" t="s">
        <v>74</v>
      </c>
      <c r="L718" t="s">
        <v>74</v>
      </c>
      <c r="M718" t="s">
        <v>78</v>
      </c>
      <c r="N718" t="s">
        <v>79</v>
      </c>
      <c r="O718" t="s">
        <v>74</v>
      </c>
      <c r="P718" t="s">
        <v>74</v>
      </c>
      <c r="Q718" t="s">
        <v>74</v>
      </c>
      <c r="R718" t="s">
        <v>74</v>
      </c>
      <c r="S718" t="s">
        <v>74</v>
      </c>
      <c r="T718" t="s">
        <v>14167</v>
      </c>
      <c r="U718" t="s">
        <v>14168</v>
      </c>
      <c r="V718" t="s">
        <v>14169</v>
      </c>
      <c r="W718" t="s">
        <v>14170</v>
      </c>
      <c r="X718" t="s">
        <v>14171</v>
      </c>
      <c r="Y718" t="s">
        <v>14172</v>
      </c>
      <c r="Z718" t="s">
        <v>14173</v>
      </c>
      <c r="AA718" t="s">
        <v>14174</v>
      </c>
      <c r="AB718" t="s">
        <v>14175</v>
      </c>
      <c r="AC718" t="s">
        <v>14176</v>
      </c>
      <c r="AD718" t="s">
        <v>14177</v>
      </c>
      <c r="AE718" t="s">
        <v>14178</v>
      </c>
      <c r="AF718" t="s">
        <v>74</v>
      </c>
      <c r="AG718">
        <v>78</v>
      </c>
      <c r="AH718">
        <v>19</v>
      </c>
      <c r="AI718">
        <v>23</v>
      </c>
      <c r="AJ718">
        <v>2</v>
      </c>
      <c r="AK718">
        <v>27</v>
      </c>
      <c r="AL718" t="s">
        <v>124</v>
      </c>
      <c r="AM718" t="s">
        <v>93</v>
      </c>
      <c r="AN718" t="s">
        <v>125</v>
      </c>
      <c r="AO718" t="s">
        <v>13640</v>
      </c>
      <c r="AP718" t="s">
        <v>13641</v>
      </c>
      <c r="AQ718" t="s">
        <v>74</v>
      </c>
      <c r="AR718" t="s">
        <v>13642</v>
      </c>
      <c r="AS718" t="s">
        <v>13643</v>
      </c>
      <c r="AT718" t="s">
        <v>11250</v>
      </c>
      <c r="AU718">
        <v>2020</v>
      </c>
      <c r="AV718">
        <v>96</v>
      </c>
      <c r="AW718">
        <v>5</v>
      </c>
      <c r="AX718" t="s">
        <v>74</v>
      </c>
      <c r="AY718" t="s">
        <v>74</v>
      </c>
      <c r="AZ718" t="s">
        <v>2622</v>
      </c>
      <c r="BA718" t="s">
        <v>74</v>
      </c>
      <c r="BB718" t="s">
        <v>74</v>
      </c>
      <c r="BC718" t="s">
        <v>74</v>
      </c>
      <c r="BD718" t="s">
        <v>14179</v>
      </c>
      <c r="BE718" t="s">
        <v>14180</v>
      </c>
      <c r="BF718" t="str">
        <f>HYPERLINK("http://dx.doi.org/10.1093/femsec/fiaa042","http://dx.doi.org/10.1093/femsec/fiaa042")</f>
        <v>http://dx.doi.org/10.1093/femsec/fiaa042</v>
      </c>
      <c r="BG718" t="s">
        <v>74</v>
      </c>
      <c r="BH718" t="s">
        <v>74</v>
      </c>
      <c r="BI718">
        <v>12</v>
      </c>
      <c r="BJ718" t="s">
        <v>2045</v>
      </c>
      <c r="BK718" t="s">
        <v>102</v>
      </c>
      <c r="BL718" t="s">
        <v>2045</v>
      </c>
      <c r="BM718" t="s">
        <v>13646</v>
      </c>
      <c r="BN718">
        <v>32239205</v>
      </c>
      <c r="BO718" t="s">
        <v>1657</v>
      </c>
      <c r="BP718" t="s">
        <v>74</v>
      </c>
      <c r="BQ718" t="s">
        <v>74</v>
      </c>
      <c r="BR718" t="s">
        <v>106</v>
      </c>
      <c r="BS718" t="s">
        <v>14181</v>
      </c>
      <c r="BT718" t="str">
        <f>HYPERLINK("https%3A%2F%2Fwww.webofscience.com%2Fwos%2Fwoscc%2Ffull-record%2FWOS:000537387400005","View Full Record in Web of Science")</f>
        <v>View Full Record in Web of Science</v>
      </c>
    </row>
    <row r="719" spans="1:72" x14ac:dyDescent="0.15">
      <c r="A719" t="s">
        <v>72</v>
      </c>
      <c r="B719" t="s">
        <v>14182</v>
      </c>
      <c r="C719" t="s">
        <v>74</v>
      </c>
      <c r="D719" t="s">
        <v>74</v>
      </c>
      <c r="E719" t="s">
        <v>74</v>
      </c>
      <c r="F719" t="s">
        <v>14183</v>
      </c>
      <c r="G719" t="s">
        <v>74</v>
      </c>
      <c r="H719" t="s">
        <v>74</v>
      </c>
      <c r="I719" t="s">
        <v>14184</v>
      </c>
      <c r="J719" t="s">
        <v>9925</v>
      </c>
      <c r="K719" t="s">
        <v>74</v>
      </c>
      <c r="L719" t="s">
        <v>74</v>
      </c>
      <c r="M719" t="s">
        <v>78</v>
      </c>
      <c r="N719" t="s">
        <v>79</v>
      </c>
      <c r="O719" t="s">
        <v>74</v>
      </c>
      <c r="P719" t="s">
        <v>74</v>
      </c>
      <c r="Q719" t="s">
        <v>74</v>
      </c>
      <c r="R719" t="s">
        <v>74</v>
      </c>
      <c r="S719" t="s">
        <v>74</v>
      </c>
      <c r="T719" t="s">
        <v>14185</v>
      </c>
      <c r="U719" t="s">
        <v>14186</v>
      </c>
      <c r="V719" t="s">
        <v>14187</v>
      </c>
      <c r="W719" t="s">
        <v>14188</v>
      </c>
      <c r="X719" t="s">
        <v>14189</v>
      </c>
      <c r="Y719" t="s">
        <v>14190</v>
      </c>
      <c r="Z719" t="s">
        <v>14191</v>
      </c>
      <c r="AA719" t="s">
        <v>14192</v>
      </c>
      <c r="AB719" t="s">
        <v>14193</v>
      </c>
      <c r="AC719" t="s">
        <v>14194</v>
      </c>
      <c r="AD719" t="s">
        <v>14195</v>
      </c>
      <c r="AE719" t="s">
        <v>14196</v>
      </c>
      <c r="AF719" t="s">
        <v>74</v>
      </c>
      <c r="AG719">
        <v>181</v>
      </c>
      <c r="AH719">
        <v>7</v>
      </c>
      <c r="AI719">
        <v>7</v>
      </c>
      <c r="AJ719">
        <v>2</v>
      </c>
      <c r="AK719">
        <v>13</v>
      </c>
      <c r="AL719" t="s">
        <v>578</v>
      </c>
      <c r="AM719" t="s">
        <v>93</v>
      </c>
      <c r="AN719" t="s">
        <v>579</v>
      </c>
      <c r="AO719" t="s">
        <v>9937</v>
      </c>
      <c r="AP719" t="s">
        <v>9938</v>
      </c>
      <c r="AQ719" t="s">
        <v>74</v>
      </c>
      <c r="AR719" t="s">
        <v>9939</v>
      </c>
      <c r="AS719" t="s">
        <v>9940</v>
      </c>
      <c r="AT719" t="s">
        <v>11250</v>
      </c>
      <c r="AU719">
        <v>2020</v>
      </c>
      <c r="AV719">
        <v>124</v>
      </c>
      <c r="AW719">
        <v>5</v>
      </c>
      <c r="AX719" t="s">
        <v>74</v>
      </c>
      <c r="AY719" t="s">
        <v>74</v>
      </c>
      <c r="AZ719" t="s">
        <v>74</v>
      </c>
      <c r="BA719" t="s">
        <v>74</v>
      </c>
      <c r="BB719">
        <v>235</v>
      </c>
      <c r="BC719">
        <v>252</v>
      </c>
      <c r="BD719" t="s">
        <v>74</v>
      </c>
      <c r="BE719" t="s">
        <v>14197</v>
      </c>
      <c r="BF719" t="str">
        <f>HYPERLINK("http://dx.doi.org/10.1016/j.funbio.2020.02.007","http://dx.doi.org/10.1016/j.funbio.2020.02.007")</f>
        <v>http://dx.doi.org/10.1016/j.funbio.2020.02.007</v>
      </c>
      <c r="BG719" t="s">
        <v>74</v>
      </c>
      <c r="BH719" t="s">
        <v>74</v>
      </c>
      <c r="BI719">
        <v>18</v>
      </c>
      <c r="BJ719" t="s">
        <v>4772</v>
      </c>
      <c r="BK719" t="s">
        <v>102</v>
      </c>
      <c r="BL719" t="s">
        <v>4772</v>
      </c>
      <c r="BM719" t="s">
        <v>13440</v>
      </c>
      <c r="BN719">
        <v>32389286</v>
      </c>
      <c r="BO719" t="s">
        <v>7078</v>
      </c>
      <c r="BP719" t="s">
        <v>74</v>
      </c>
      <c r="BQ719" t="s">
        <v>74</v>
      </c>
      <c r="BR719" t="s">
        <v>106</v>
      </c>
      <c r="BS719" t="s">
        <v>14198</v>
      </c>
      <c r="BT719" t="str">
        <f>HYPERLINK("https%3A%2F%2Fwww.webofscience.com%2Fwos%2Fwoscc%2Ffull-record%2FWOS:000532395600001","View Full Record in Web of Science")</f>
        <v>View Full Record in Web of Science</v>
      </c>
    </row>
    <row r="720" spans="1:72" x14ac:dyDescent="0.15">
      <c r="A720" t="s">
        <v>72</v>
      </c>
      <c r="B720" t="s">
        <v>14199</v>
      </c>
      <c r="C720" t="s">
        <v>74</v>
      </c>
      <c r="D720" t="s">
        <v>74</v>
      </c>
      <c r="E720" t="s">
        <v>74</v>
      </c>
      <c r="F720" t="s">
        <v>14200</v>
      </c>
      <c r="G720" t="s">
        <v>74</v>
      </c>
      <c r="H720" t="s">
        <v>74</v>
      </c>
      <c r="I720" t="s">
        <v>14201</v>
      </c>
      <c r="J720" t="s">
        <v>677</v>
      </c>
      <c r="K720" t="s">
        <v>74</v>
      </c>
      <c r="L720" t="s">
        <v>74</v>
      </c>
      <c r="M720" t="s">
        <v>78</v>
      </c>
      <c r="N720" t="s">
        <v>245</v>
      </c>
      <c r="O720" t="s">
        <v>74</v>
      </c>
      <c r="P720" t="s">
        <v>74</v>
      </c>
      <c r="Q720" t="s">
        <v>74</v>
      </c>
      <c r="R720" t="s">
        <v>74</v>
      </c>
      <c r="S720" t="s">
        <v>74</v>
      </c>
      <c r="T720" t="s">
        <v>14202</v>
      </c>
      <c r="U720" t="s">
        <v>14203</v>
      </c>
      <c r="V720" t="s">
        <v>14204</v>
      </c>
      <c r="W720" t="s">
        <v>14205</v>
      </c>
      <c r="X720" t="s">
        <v>14206</v>
      </c>
      <c r="Y720" t="s">
        <v>14207</v>
      </c>
      <c r="Z720" t="s">
        <v>14208</v>
      </c>
      <c r="AA720" t="s">
        <v>14209</v>
      </c>
      <c r="AB720" t="s">
        <v>14210</v>
      </c>
      <c r="AC720" t="s">
        <v>14211</v>
      </c>
      <c r="AD720" t="s">
        <v>14212</v>
      </c>
      <c r="AE720" t="s">
        <v>14213</v>
      </c>
      <c r="AF720" t="s">
        <v>74</v>
      </c>
      <c r="AG720">
        <v>281</v>
      </c>
      <c r="AH720">
        <v>17</v>
      </c>
      <c r="AI720">
        <v>17</v>
      </c>
      <c r="AJ720">
        <v>7</v>
      </c>
      <c r="AK720">
        <v>40</v>
      </c>
      <c r="AL720" t="s">
        <v>284</v>
      </c>
      <c r="AM720" t="s">
        <v>285</v>
      </c>
      <c r="AN720" t="s">
        <v>286</v>
      </c>
      <c r="AO720" t="s">
        <v>689</v>
      </c>
      <c r="AP720" t="s">
        <v>690</v>
      </c>
      <c r="AQ720" t="s">
        <v>74</v>
      </c>
      <c r="AR720" t="s">
        <v>691</v>
      </c>
      <c r="AS720" t="s">
        <v>692</v>
      </c>
      <c r="AT720" t="s">
        <v>11250</v>
      </c>
      <c r="AU720">
        <v>2020</v>
      </c>
      <c r="AV720">
        <v>188</v>
      </c>
      <c r="AW720" t="s">
        <v>74</v>
      </c>
      <c r="AX720" t="s">
        <v>74</v>
      </c>
      <c r="AY720" t="s">
        <v>74</v>
      </c>
      <c r="AZ720" t="s">
        <v>74</v>
      </c>
      <c r="BA720" t="s">
        <v>74</v>
      </c>
      <c r="BB720" t="s">
        <v>74</v>
      </c>
      <c r="BC720" t="s">
        <v>74</v>
      </c>
      <c r="BD720">
        <v>103149</v>
      </c>
      <c r="BE720" t="s">
        <v>14214</v>
      </c>
      <c r="BF720" t="str">
        <f>HYPERLINK("http://dx.doi.org/10.1016/j.gloplacha.2020.103149","http://dx.doi.org/10.1016/j.gloplacha.2020.103149")</f>
        <v>http://dx.doi.org/10.1016/j.gloplacha.2020.103149</v>
      </c>
      <c r="BG720" t="s">
        <v>74</v>
      </c>
      <c r="BH720" t="s">
        <v>74</v>
      </c>
      <c r="BI720">
        <v>21</v>
      </c>
      <c r="BJ720" t="s">
        <v>694</v>
      </c>
      <c r="BK720" t="s">
        <v>102</v>
      </c>
      <c r="BL720" t="s">
        <v>695</v>
      </c>
      <c r="BM720" t="s">
        <v>14215</v>
      </c>
      <c r="BN720" t="s">
        <v>74</v>
      </c>
      <c r="BO720" t="s">
        <v>189</v>
      </c>
      <c r="BP720" t="s">
        <v>74</v>
      </c>
      <c r="BQ720" t="s">
        <v>74</v>
      </c>
      <c r="BR720" t="s">
        <v>106</v>
      </c>
      <c r="BS720" t="s">
        <v>14216</v>
      </c>
      <c r="BT720" t="str">
        <f>HYPERLINK("https%3A%2F%2Fwww.webofscience.com%2Fwos%2Fwoscc%2Ffull-record%2FWOS:000526519000004","View Full Record in Web of Science")</f>
        <v>View Full Record in Web of Science</v>
      </c>
    </row>
    <row r="721" spans="1:72" x14ac:dyDescent="0.15">
      <c r="A721" t="s">
        <v>72</v>
      </c>
      <c r="B721" t="s">
        <v>14217</v>
      </c>
      <c r="C721" t="s">
        <v>74</v>
      </c>
      <c r="D721" t="s">
        <v>74</v>
      </c>
      <c r="E721" t="s">
        <v>74</v>
      </c>
      <c r="F721" t="s">
        <v>14218</v>
      </c>
      <c r="G721" t="s">
        <v>74</v>
      </c>
      <c r="H721" t="s">
        <v>74</v>
      </c>
      <c r="I721" t="s">
        <v>14219</v>
      </c>
      <c r="J721" t="s">
        <v>5023</v>
      </c>
      <c r="K721" t="s">
        <v>74</v>
      </c>
      <c r="L721" t="s">
        <v>74</v>
      </c>
      <c r="M721" t="s">
        <v>78</v>
      </c>
      <c r="N721" t="s">
        <v>79</v>
      </c>
      <c r="O721" t="s">
        <v>74</v>
      </c>
      <c r="P721" t="s">
        <v>74</v>
      </c>
      <c r="Q721" t="s">
        <v>74</v>
      </c>
      <c r="R721" t="s">
        <v>74</v>
      </c>
      <c r="S721" t="s">
        <v>74</v>
      </c>
      <c r="T721" t="s">
        <v>14220</v>
      </c>
      <c r="U721" t="s">
        <v>14221</v>
      </c>
      <c r="V721" t="s">
        <v>14222</v>
      </c>
      <c r="W721" t="s">
        <v>14223</v>
      </c>
      <c r="X721" t="s">
        <v>14224</v>
      </c>
      <c r="Y721" t="s">
        <v>13056</v>
      </c>
      <c r="Z721" t="s">
        <v>5051</v>
      </c>
      <c r="AA721" t="s">
        <v>14225</v>
      </c>
      <c r="AB721" t="s">
        <v>14226</v>
      </c>
      <c r="AC721" t="s">
        <v>14227</v>
      </c>
      <c r="AD721" t="s">
        <v>14228</v>
      </c>
      <c r="AE721" t="s">
        <v>14229</v>
      </c>
      <c r="AF721" t="s">
        <v>74</v>
      </c>
      <c r="AG721">
        <v>51</v>
      </c>
      <c r="AH721">
        <v>15</v>
      </c>
      <c r="AI721">
        <v>16</v>
      </c>
      <c r="AJ721">
        <v>1</v>
      </c>
      <c r="AK721">
        <v>16</v>
      </c>
      <c r="AL721" t="s">
        <v>178</v>
      </c>
      <c r="AM721" t="s">
        <v>179</v>
      </c>
      <c r="AN721" t="s">
        <v>5057</v>
      </c>
      <c r="AO721" t="s">
        <v>5035</v>
      </c>
      <c r="AP721" t="s">
        <v>5036</v>
      </c>
      <c r="AQ721" t="s">
        <v>74</v>
      </c>
      <c r="AR721" t="s">
        <v>5037</v>
      </c>
      <c r="AS721" t="s">
        <v>5038</v>
      </c>
      <c r="AT721" t="s">
        <v>11250</v>
      </c>
      <c r="AU721">
        <v>2020</v>
      </c>
      <c r="AV721">
        <v>33</v>
      </c>
      <c r="AW721">
        <v>10</v>
      </c>
      <c r="AX721" t="s">
        <v>74</v>
      </c>
      <c r="AY721" t="s">
        <v>74</v>
      </c>
      <c r="AZ721" t="s">
        <v>74</v>
      </c>
      <c r="BA721" t="s">
        <v>74</v>
      </c>
      <c r="BB721">
        <v>3921</v>
      </c>
      <c r="BC721">
        <v>3945</v>
      </c>
      <c r="BD721" t="s">
        <v>74</v>
      </c>
      <c r="BE721" t="s">
        <v>14230</v>
      </c>
      <c r="BF721" t="str">
        <f>HYPERLINK("http://dx.doi.org/10.1175/JCLI-D-19-0329.1","http://dx.doi.org/10.1175/JCLI-D-19-0329.1")</f>
        <v>http://dx.doi.org/10.1175/JCLI-D-19-0329.1</v>
      </c>
      <c r="BG721" t="s">
        <v>74</v>
      </c>
      <c r="BH721" t="s">
        <v>74</v>
      </c>
      <c r="BI721">
        <v>25</v>
      </c>
      <c r="BJ721" t="s">
        <v>159</v>
      </c>
      <c r="BK721" t="s">
        <v>102</v>
      </c>
      <c r="BL721" t="s">
        <v>159</v>
      </c>
      <c r="BM721" t="s">
        <v>14231</v>
      </c>
      <c r="BN721" t="s">
        <v>74</v>
      </c>
      <c r="BO721" t="s">
        <v>1657</v>
      </c>
      <c r="BP721" t="s">
        <v>74</v>
      </c>
      <c r="BQ721" t="s">
        <v>74</v>
      </c>
      <c r="BR721" t="s">
        <v>106</v>
      </c>
      <c r="BS721" t="s">
        <v>14232</v>
      </c>
      <c r="BT721" t="str">
        <f>HYPERLINK("https%3A%2F%2Fwww.webofscience.com%2Fwos%2Fwoscc%2Ffull-record%2FWOS:000531414600001","View Full Record in Web of Science")</f>
        <v>View Full Record in Web of Science</v>
      </c>
    </row>
    <row r="722" spans="1:72" x14ac:dyDescent="0.15">
      <c r="A722" t="s">
        <v>72</v>
      </c>
      <c r="B722" t="s">
        <v>14233</v>
      </c>
      <c r="C722" t="s">
        <v>74</v>
      </c>
      <c r="D722" t="s">
        <v>74</v>
      </c>
      <c r="E722" t="s">
        <v>74</v>
      </c>
      <c r="F722" t="s">
        <v>14234</v>
      </c>
      <c r="G722" t="s">
        <v>74</v>
      </c>
      <c r="H722" t="s">
        <v>74</v>
      </c>
      <c r="I722" t="s">
        <v>14235</v>
      </c>
      <c r="J722" t="s">
        <v>14236</v>
      </c>
      <c r="K722" t="s">
        <v>74</v>
      </c>
      <c r="L722" t="s">
        <v>74</v>
      </c>
      <c r="M722" t="s">
        <v>78</v>
      </c>
      <c r="N722" t="s">
        <v>79</v>
      </c>
      <c r="O722" t="s">
        <v>74</v>
      </c>
      <c r="P722" t="s">
        <v>74</v>
      </c>
      <c r="Q722" t="s">
        <v>74</v>
      </c>
      <c r="R722" t="s">
        <v>74</v>
      </c>
      <c r="S722" t="s">
        <v>74</v>
      </c>
      <c r="T722" t="s">
        <v>14237</v>
      </c>
      <c r="U722" t="s">
        <v>14238</v>
      </c>
      <c r="V722" t="s">
        <v>14239</v>
      </c>
      <c r="W722" t="s">
        <v>14240</v>
      </c>
      <c r="X722" t="s">
        <v>14241</v>
      </c>
      <c r="Y722" t="s">
        <v>14242</v>
      </c>
      <c r="Z722" t="s">
        <v>14243</v>
      </c>
      <c r="AA722" t="s">
        <v>14244</v>
      </c>
      <c r="AB722" t="s">
        <v>14245</v>
      </c>
      <c r="AC722" t="s">
        <v>14246</v>
      </c>
      <c r="AD722" t="s">
        <v>14247</v>
      </c>
      <c r="AE722" t="s">
        <v>14248</v>
      </c>
      <c r="AF722" t="s">
        <v>74</v>
      </c>
      <c r="AG722">
        <v>85</v>
      </c>
      <c r="AH722">
        <v>14</v>
      </c>
      <c r="AI722">
        <v>15</v>
      </c>
      <c r="AJ722">
        <v>2</v>
      </c>
      <c r="AK722">
        <v>13</v>
      </c>
      <c r="AL722" t="s">
        <v>4741</v>
      </c>
      <c r="AM722" t="s">
        <v>4742</v>
      </c>
      <c r="AN722" t="s">
        <v>4743</v>
      </c>
      <c r="AO722" t="s">
        <v>14249</v>
      </c>
      <c r="AP722" t="s">
        <v>14250</v>
      </c>
      <c r="AQ722" t="s">
        <v>74</v>
      </c>
      <c r="AR722" t="s">
        <v>14251</v>
      </c>
      <c r="AS722" t="s">
        <v>14252</v>
      </c>
      <c r="AT722" t="s">
        <v>11250</v>
      </c>
      <c r="AU722">
        <v>2020</v>
      </c>
      <c r="AV722">
        <v>111</v>
      </c>
      <c r="AW722">
        <v>3</v>
      </c>
      <c r="AX722" t="s">
        <v>74</v>
      </c>
      <c r="AY722" t="s">
        <v>74</v>
      </c>
      <c r="AZ722" t="s">
        <v>74</v>
      </c>
      <c r="BA722" t="s">
        <v>74</v>
      </c>
      <c r="BB722">
        <v>263</v>
      </c>
      <c r="BC722">
        <v>276</v>
      </c>
      <c r="BD722" t="s">
        <v>74</v>
      </c>
      <c r="BE722" t="s">
        <v>14253</v>
      </c>
      <c r="BF722" t="str">
        <f>HYPERLINK("http://dx.doi.org/10.1093/jhered/esaa010","http://dx.doi.org/10.1093/jhered/esaa010")</f>
        <v>http://dx.doi.org/10.1093/jhered/esaa010</v>
      </c>
      <c r="BG722" t="s">
        <v>74</v>
      </c>
      <c r="BH722" t="s">
        <v>74</v>
      </c>
      <c r="BI722">
        <v>14</v>
      </c>
      <c r="BJ722" t="s">
        <v>14254</v>
      </c>
      <c r="BK722" t="s">
        <v>102</v>
      </c>
      <c r="BL722" t="s">
        <v>14254</v>
      </c>
      <c r="BM722" t="s">
        <v>14255</v>
      </c>
      <c r="BN722">
        <v>32347944</v>
      </c>
      <c r="BO722" t="s">
        <v>14256</v>
      </c>
      <c r="BP722" t="s">
        <v>74</v>
      </c>
      <c r="BQ722" t="s">
        <v>74</v>
      </c>
      <c r="BR722" t="s">
        <v>106</v>
      </c>
      <c r="BS722" t="s">
        <v>14257</v>
      </c>
      <c r="BT722" t="str">
        <f>HYPERLINK("https%3A%2F%2Fwww.webofscience.com%2Fwos%2Fwoscc%2Ffull-record%2FWOS:000569054800002","View Full Record in Web of Science")</f>
        <v>View Full Record in Web of Science</v>
      </c>
    </row>
    <row r="723" spans="1:72" x14ac:dyDescent="0.15">
      <c r="A723" t="s">
        <v>72</v>
      </c>
      <c r="B723" t="s">
        <v>14258</v>
      </c>
      <c r="C723" t="s">
        <v>74</v>
      </c>
      <c r="D723" t="s">
        <v>74</v>
      </c>
      <c r="E723" t="s">
        <v>74</v>
      </c>
      <c r="F723" t="s">
        <v>14259</v>
      </c>
      <c r="G723" t="s">
        <v>74</v>
      </c>
      <c r="H723" t="s">
        <v>74</v>
      </c>
      <c r="I723" t="s">
        <v>14260</v>
      </c>
      <c r="J723" t="s">
        <v>14261</v>
      </c>
      <c r="K723" t="s">
        <v>74</v>
      </c>
      <c r="L723" t="s">
        <v>74</v>
      </c>
      <c r="M723" t="s">
        <v>78</v>
      </c>
      <c r="N723" t="s">
        <v>79</v>
      </c>
      <c r="O723" t="s">
        <v>74</v>
      </c>
      <c r="P723" t="s">
        <v>74</v>
      </c>
      <c r="Q723" t="s">
        <v>74</v>
      </c>
      <c r="R723" t="s">
        <v>74</v>
      </c>
      <c r="S723" t="s">
        <v>74</v>
      </c>
      <c r="T723" t="s">
        <v>74</v>
      </c>
      <c r="U723" t="s">
        <v>14262</v>
      </c>
      <c r="V723" t="s">
        <v>14263</v>
      </c>
      <c r="W723" t="s">
        <v>14264</v>
      </c>
      <c r="X723" t="s">
        <v>14265</v>
      </c>
      <c r="Y723" t="s">
        <v>14266</v>
      </c>
      <c r="Z723" t="s">
        <v>74</v>
      </c>
      <c r="AA723" t="s">
        <v>74</v>
      </c>
      <c r="AB723" t="s">
        <v>74</v>
      </c>
      <c r="AC723" t="s">
        <v>14267</v>
      </c>
      <c r="AD723" t="s">
        <v>14268</v>
      </c>
      <c r="AE723" t="s">
        <v>14269</v>
      </c>
      <c r="AF723" t="s">
        <v>74</v>
      </c>
      <c r="AG723">
        <v>133</v>
      </c>
      <c r="AH723">
        <v>5</v>
      </c>
      <c r="AI723">
        <v>6</v>
      </c>
      <c r="AJ723">
        <v>1</v>
      </c>
      <c r="AK723">
        <v>10</v>
      </c>
      <c r="AL723" t="s">
        <v>14270</v>
      </c>
      <c r="AM723" t="s">
        <v>14271</v>
      </c>
      <c r="AN723" t="s">
        <v>14272</v>
      </c>
      <c r="AO723" t="s">
        <v>14273</v>
      </c>
      <c r="AP723" t="s">
        <v>14274</v>
      </c>
      <c r="AQ723" t="s">
        <v>74</v>
      </c>
      <c r="AR723" t="s">
        <v>14275</v>
      </c>
      <c r="AS723" t="s">
        <v>14276</v>
      </c>
      <c r="AT723" t="s">
        <v>11250</v>
      </c>
      <c r="AU723">
        <v>2020</v>
      </c>
      <c r="AV723">
        <v>90</v>
      </c>
      <c r="AW723">
        <v>5</v>
      </c>
      <c r="AX723" t="s">
        <v>74</v>
      </c>
      <c r="AY723" t="s">
        <v>74</v>
      </c>
      <c r="AZ723" t="s">
        <v>74</v>
      </c>
      <c r="BA723" t="s">
        <v>74</v>
      </c>
      <c r="BB723">
        <v>449</v>
      </c>
      <c r="BC723">
        <v>467</v>
      </c>
      <c r="BD723" t="s">
        <v>74</v>
      </c>
      <c r="BE723" t="s">
        <v>14277</v>
      </c>
      <c r="BF723" t="str">
        <f>HYPERLINK("http://dx.doi.org/10.2110/jsr.2020.26","http://dx.doi.org/10.2110/jsr.2020.26")</f>
        <v>http://dx.doi.org/10.2110/jsr.2020.26</v>
      </c>
      <c r="BG723" t="s">
        <v>74</v>
      </c>
      <c r="BH723" t="s">
        <v>74</v>
      </c>
      <c r="BI723">
        <v>19</v>
      </c>
      <c r="BJ723" t="s">
        <v>472</v>
      </c>
      <c r="BK723" t="s">
        <v>102</v>
      </c>
      <c r="BL723" t="s">
        <v>472</v>
      </c>
      <c r="BM723" t="s">
        <v>14278</v>
      </c>
      <c r="BN723" t="s">
        <v>74</v>
      </c>
      <c r="BO723" t="s">
        <v>74</v>
      </c>
      <c r="BP723" t="s">
        <v>74</v>
      </c>
      <c r="BQ723" t="s">
        <v>74</v>
      </c>
      <c r="BR723" t="s">
        <v>106</v>
      </c>
      <c r="BS723" t="s">
        <v>14279</v>
      </c>
      <c r="BT723" t="str">
        <f>HYPERLINK("https%3A%2F%2Fwww.webofscience.com%2Fwos%2Fwoscc%2Ffull-record%2FWOS:000544233400001","View Full Record in Web of Science")</f>
        <v>View Full Record in Web of Science</v>
      </c>
    </row>
    <row r="724" spans="1:72" x14ac:dyDescent="0.15">
      <c r="A724" t="s">
        <v>72</v>
      </c>
      <c r="B724" t="s">
        <v>14280</v>
      </c>
      <c r="C724" t="s">
        <v>74</v>
      </c>
      <c r="D724" t="s">
        <v>74</v>
      </c>
      <c r="E724" t="s">
        <v>74</v>
      </c>
      <c r="F724" t="s">
        <v>14281</v>
      </c>
      <c r="G724" t="s">
        <v>74</v>
      </c>
      <c r="H724" t="s">
        <v>74</v>
      </c>
      <c r="I724" t="s">
        <v>14282</v>
      </c>
      <c r="J724" t="s">
        <v>10286</v>
      </c>
      <c r="K724" t="s">
        <v>74</v>
      </c>
      <c r="L724" t="s">
        <v>74</v>
      </c>
      <c r="M724" t="s">
        <v>78</v>
      </c>
      <c r="N724" t="s">
        <v>79</v>
      </c>
      <c r="O724" t="s">
        <v>74</v>
      </c>
      <c r="P724" t="s">
        <v>74</v>
      </c>
      <c r="Q724" t="s">
        <v>74</v>
      </c>
      <c r="R724" t="s">
        <v>74</v>
      </c>
      <c r="S724" t="s">
        <v>74</v>
      </c>
      <c r="T724" t="s">
        <v>14283</v>
      </c>
      <c r="U724" t="s">
        <v>14284</v>
      </c>
      <c r="V724" t="s">
        <v>14285</v>
      </c>
      <c r="W724" t="s">
        <v>14286</v>
      </c>
      <c r="X724" t="s">
        <v>14287</v>
      </c>
      <c r="Y724" t="s">
        <v>14288</v>
      </c>
      <c r="Z724" t="s">
        <v>14289</v>
      </c>
      <c r="AA724" t="s">
        <v>74</v>
      </c>
      <c r="AB724" t="s">
        <v>74</v>
      </c>
      <c r="AC724" t="s">
        <v>14290</v>
      </c>
      <c r="AD724" t="s">
        <v>14291</v>
      </c>
      <c r="AE724" t="s">
        <v>14292</v>
      </c>
      <c r="AF724" t="s">
        <v>74</v>
      </c>
      <c r="AG724">
        <v>31</v>
      </c>
      <c r="AH724">
        <v>20</v>
      </c>
      <c r="AI724">
        <v>22</v>
      </c>
      <c r="AJ724">
        <v>8</v>
      </c>
      <c r="AK724">
        <v>17</v>
      </c>
      <c r="AL724" t="s">
        <v>4283</v>
      </c>
      <c r="AM724" t="s">
        <v>4284</v>
      </c>
      <c r="AN724" t="s">
        <v>4285</v>
      </c>
      <c r="AO724" t="s">
        <v>74</v>
      </c>
      <c r="AP724" t="s">
        <v>10299</v>
      </c>
      <c r="AQ724" t="s">
        <v>74</v>
      </c>
      <c r="AR724" t="s">
        <v>10300</v>
      </c>
      <c r="AS724" t="s">
        <v>10301</v>
      </c>
      <c r="AT724" t="s">
        <v>11250</v>
      </c>
      <c r="AU724">
        <v>2020</v>
      </c>
      <c r="AV724">
        <v>18</v>
      </c>
      <c r="AW724">
        <v>5</v>
      </c>
      <c r="AX724" t="s">
        <v>74</v>
      </c>
      <c r="AY724" t="s">
        <v>74</v>
      </c>
      <c r="AZ724" t="s">
        <v>74</v>
      </c>
      <c r="BA724" t="s">
        <v>74</v>
      </c>
      <c r="BB724" t="s">
        <v>74</v>
      </c>
      <c r="BC724" t="s">
        <v>74</v>
      </c>
      <c r="BD724">
        <v>247</v>
      </c>
      <c r="BE724" t="s">
        <v>14293</v>
      </c>
      <c r="BF724" t="str">
        <f>HYPERLINK("http://dx.doi.org/10.3390/md18050247","http://dx.doi.org/10.3390/md18050247")</f>
        <v>http://dx.doi.org/10.3390/md18050247</v>
      </c>
      <c r="BG724" t="s">
        <v>74</v>
      </c>
      <c r="BH724" t="s">
        <v>74</v>
      </c>
      <c r="BI724">
        <v>15</v>
      </c>
      <c r="BJ724" t="s">
        <v>10303</v>
      </c>
      <c r="BK724" t="s">
        <v>102</v>
      </c>
      <c r="BL724" t="s">
        <v>1032</v>
      </c>
      <c r="BM724" t="s">
        <v>14294</v>
      </c>
      <c r="BN724">
        <v>32397523</v>
      </c>
      <c r="BO724" t="s">
        <v>1778</v>
      </c>
      <c r="BP724" t="s">
        <v>74</v>
      </c>
      <c r="BQ724" t="s">
        <v>74</v>
      </c>
      <c r="BR724" t="s">
        <v>106</v>
      </c>
      <c r="BS724" t="s">
        <v>14295</v>
      </c>
      <c r="BT724" t="str">
        <f>HYPERLINK("https%3A%2F%2Fwww.webofscience.com%2Fwos%2Fwoscc%2Ffull-record%2FWOS:000541031900039","View Full Record in Web of Science")</f>
        <v>View Full Record in Web of Science</v>
      </c>
    </row>
    <row r="725" spans="1:72" x14ac:dyDescent="0.15">
      <c r="A725" t="s">
        <v>72</v>
      </c>
      <c r="B725" t="s">
        <v>14296</v>
      </c>
      <c r="C725" t="s">
        <v>74</v>
      </c>
      <c r="D725" t="s">
        <v>74</v>
      </c>
      <c r="E725" t="s">
        <v>74</v>
      </c>
      <c r="F725" t="s">
        <v>14297</v>
      </c>
      <c r="G725" t="s">
        <v>74</v>
      </c>
      <c r="H725" t="s">
        <v>74</v>
      </c>
      <c r="I725" t="s">
        <v>14298</v>
      </c>
      <c r="J725" t="s">
        <v>8169</v>
      </c>
      <c r="K725" t="s">
        <v>74</v>
      </c>
      <c r="L725" t="s">
        <v>74</v>
      </c>
      <c r="M725" t="s">
        <v>78</v>
      </c>
      <c r="N725" t="s">
        <v>245</v>
      </c>
      <c r="O725" t="s">
        <v>74</v>
      </c>
      <c r="P725" t="s">
        <v>74</v>
      </c>
      <c r="Q725" t="s">
        <v>74</v>
      </c>
      <c r="R725" t="s">
        <v>74</v>
      </c>
      <c r="S725" t="s">
        <v>74</v>
      </c>
      <c r="T725" t="s">
        <v>74</v>
      </c>
      <c r="U725" t="s">
        <v>14299</v>
      </c>
      <c r="V725" t="s">
        <v>14300</v>
      </c>
      <c r="W725" t="s">
        <v>14301</v>
      </c>
      <c r="X725" t="s">
        <v>14302</v>
      </c>
      <c r="Y725" t="s">
        <v>14303</v>
      </c>
      <c r="Z725" t="s">
        <v>14304</v>
      </c>
      <c r="AA725" t="s">
        <v>14305</v>
      </c>
      <c r="AB725" t="s">
        <v>14306</v>
      </c>
      <c r="AC725" t="s">
        <v>14307</v>
      </c>
      <c r="AD725" t="s">
        <v>14308</v>
      </c>
      <c r="AE725" t="s">
        <v>14309</v>
      </c>
      <c r="AF725" t="s">
        <v>74</v>
      </c>
      <c r="AG725">
        <v>98</v>
      </c>
      <c r="AH725">
        <v>24</v>
      </c>
      <c r="AI725">
        <v>26</v>
      </c>
      <c r="AJ725">
        <v>16</v>
      </c>
      <c r="AK725">
        <v>62</v>
      </c>
      <c r="AL725" t="s">
        <v>7699</v>
      </c>
      <c r="AM725" t="s">
        <v>945</v>
      </c>
      <c r="AN725" t="s">
        <v>7700</v>
      </c>
      <c r="AO725" t="s">
        <v>74</v>
      </c>
      <c r="AP725" t="s">
        <v>8175</v>
      </c>
      <c r="AQ725" t="s">
        <v>74</v>
      </c>
      <c r="AR725" t="s">
        <v>8176</v>
      </c>
      <c r="AS725" t="s">
        <v>8177</v>
      </c>
      <c r="AT725" t="s">
        <v>11250</v>
      </c>
      <c r="AU725">
        <v>2020</v>
      </c>
      <c r="AV725">
        <v>1</v>
      </c>
      <c r="AW725">
        <v>5</v>
      </c>
      <c r="AX725" t="s">
        <v>74</v>
      </c>
      <c r="AY725" t="s">
        <v>74</v>
      </c>
      <c r="AZ725" t="s">
        <v>74</v>
      </c>
      <c r="BA725" t="s">
        <v>74</v>
      </c>
      <c r="BB725">
        <v>251</v>
      </c>
      <c r="BC725">
        <v>263</v>
      </c>
      <c r="BD725" t="s">
        <v>74</v>
      </c>
      <c r="BE725" t="s">
        <v>14310</v>
      </c>
      <c r="BF725" t="str">
        <f>HYPERLINK("http://dx.doi.org/10.1038/s43017-020-0048-8","http://dx.doi.org/10.1038/s43017-020-0048-8")</f>
        <v>http://dx.doi.org/10.1038/s43017-020-0048-8</v>
      </c>
      <c r="BG725" t="s">
        <v>74</v>
      </c>
      <c r="BH725" t="s">
        <v>74</v>
      </c>
      <c r="BI725">
        <v>13</v>
      </c>
      <c r="BJ725" t="s">
        <v>8179</v>
      </c>
      <c r="BK725" t="s">
        <v>102</v>
      </c>
      <c r="BL725" t="s">
        <v>1904</v>
      </c>
      <c r="BM725" t="s">
        <v>14311</v>
      </c>
      <c r="BN725" t="s">
        <v>74</v>
      </c>
      <c r="BO725" t="s">
        <v>491</v>
      </c>
      <c r="BP725" t="s">
        <v>74</v>
      </c>
      <c r="BQ725" t="s">
        <v>74</v>
      </c>
      <c r="BR725" t="s">
        <v>106</v>
      </c>
      <c r="BS725" t="s">
        <v>14312</v>
      </c>
      <c r="BT725" t="str">
        <f>HYPERLINK("https%3A%2F%2Fwww.webofscience.com%2Fwos%2Fwoscc%2Ffull-record%2FWOS:000649447300006","View Full Record in Web of Science")</f>
        <v>View Full Record in Web of Science</v>
      </c>
    </row>
    <row r="726" spans="1:72" x14ac:dyDescent="0.15">
      <c r="A726" t="s">
        <v>72</v>
      </c>
      <c r="B726" t="s">
        <v>14313</v>
      </c>
      <c r="C726" t="s">
        <v>74</v>
      </c>
      <c r="D726" t="s">
        <v>74</v>
      </c>
      <c r="E726" t="s">
        <v>74</v>
      </c>
      <c r="F726" t="s">
        <v>14314</v>
      </c>
      <c r="G726" t="s">
        <v>74</v>
      </c>
      <c r="H726" t="s">
        <v>74</v>
      </c>
      <c r="I726" t="s">
        <v>14315</v>
      </c>
      <c r="J726" t="s">
        <v>14316</v>
      </c>
      <c r="K726" t="s">
        <v>74</v>
      </c>
      <c r="L726" t="s">
        <v>74</v>
      </c>
      <c r="M726" t="s">
        <v>78</v>
      </c>
      <c r="N726" t="s">
        <v>79</v>
      </c>
      <c r="O726" t="s">
        <v>74</v>
      </c>
      <c r="P726" t="s">
        <v>74</v>
      </c>
      <c r="Q726" t="s">
        <v>74</v>
      </c>
      <c r="R726" t="s">
        <v>74</v>
      </c>
      <c r="S726" t="s">
        <v>74</v>
      </c>
      <c r="T726" t="s">
        <v>14317</v>
      </c>
      <c r="U726" t="s">
        <v>14318</v>
      </c>
      <c r="V726" t="s">
        <v>14319</v>
      </c>
      <c r="W726" t="s">
        <v>14320</v>
      </c>
      <c r="X726" t="s">
        <v>14321</v>
      </c>
      <c r="Y726" t="s">
        <v>14322</v>
      </c>
      <c r="Z726" t="s">
        <v>14323</v>
      </c>
      <c r="AA726" t="s">
        <v>14324</v>
      </c>
      <c r="AB726" t="s">
        <v>14325</v>
      </c>
      <c r="AC726" t="s">
        <v>14326</v>
      </c>
      <c r="AD726" t="s">
        <v>14327</v>
      </c>
      <c r="AE726" t="s">
        <v>14328</v>
      </c>
      <c r="AF726" t="s">
        <v>74</v>
      </c>
      <c r="AG726">
        <v>76</v>
      </c>
      <c r="AH726">
        <v>18</v>
      </c>
      <c r="AI726">
        <v>18</v>
      </c>
      <c r="AJ726">
        <v>1</v>
      </c>
      <c r="AK726">
        <v>1</v>
      </c>
      <c r="AL726" t="s">
        <v>284</v>
      </c>
      <c r="AM726" t="s">
        <v>285</v>
      </c>
      <c r="AN726" t="s">
        <v>286</v>
      </c>
      <c r="AO726" t="s">
        <v>14329</v>
      </c>
      <c r="AP726" t="s">
        <v>74</v>
      </c>
      <c r="AQ726" t="s">
        <v>74</v>
      </c>
      <c r="AR726" t="s">
        <v>14330</v>
      </c>
      <c r="AS726" t="s">
        <v>14331</v>
      </c>
      <c r="AT726" t="s">
        <v>13776</v>
      </c>
      <c r="AU726">
        <v>2020</v>
      </c>
      <c r="AV726">
        <v>1</v>
      </c>
      <c r="AW726" t="s">
        <v>74</v>
      </c>
      <c r="AX726" t="s">
        <v>74</v>
      </c>
      <c r="AY726" t="s">
        <v>74</v>
      </c>
      <c r="AZ726" t="s">
        <v>74</v>
      </c>
      <c r="BA726" t="s">
        <v>74</v>
      </c>
      <c r="BB726" t="s">
        <v>74</v>
      </c>
      <c r="BC726" t="s">
        <v>74</v>
      </c>
      <c r="BD726">
        <v>100002</v>
      </c>
      <c r="BE726" t="s">
        <v>14332</v>
      </c>
      <c r="BF726" t="str">
        <f>HYPERLINK("http://dx.doi.org/10.1016/j.qsa.2020.100002","http://dx.doi.org/10.1016/j.qsa.2020.100002")</f>
        <v>http://dx.doi.org/10.1016/j.qsa.2020.100002</v>
      </c>
      <c r="BG726" t="s">
        <v>74</v>
      </c>
      <c r="BH726" t="s">
        <v>74</v>
      </c>
      <c r="BI726">
        <v>17</v>
      </c>
      <c r="BJ726" t="s">
        <v>694</v>
      </c>
      <c r="BK726" t="s">
        <v>3838</v>
      </c>
      <c r="BL726" t="s">
        <v>695</v>
      </c>
      <c r="BM726" t="s">
        <v>14333</v>
      </c>
      <c r="BN726" t="s">
        <v>74</v>
      </c>
      <c r="BO726" t="s">
        <v>1128</v>
      </c>
      <c r="BP726" t="s">
        <v>74</v>
      </c>
      <c r="BQ726" t="s">
        <v>74</v>
      </c>
      <c r="BR726" t="s">
        <v>106</v>
      </c>
      <c r="BS726" t="s">
        <v>14334</v>
      </c>
      <c r="BT726" t="str">
        <f>HYPERLINK("https%3A%2F%2Fwww.webofscience.com%2Fwos%2Fwoscc%2Ffull-record%2FWOS:000903522900002","View Full Record in Web of Science")</f>
        <v>View Full Record in Web of Science</v>
      </c>
    </row>
    <row r="727" spans="1:72" x14ac:dyDescent="0.15">
      <c r="A727" t="s">
        <v>72</v>
      </c>
      <c r="B727" t="s">
        <v>14335</v>
      </c>
      <c r="C727" t="s">
        <v>74</v>
      </c>
      <c r="D727" t="s">
        <v>74</v>
      </c>
      <c r="E727" t="s">
        <v>74</v>
      </c>
      <c r="F727" t="s">
        <v>14336</v>
      </c>
      <c r="G727" t="s">
        <v>74</v>
      </c>
      <c r="H727" t="s">
        <v>74</v>
      </c>
      <c r="I727" t="s">
        <v>14337</v>
      </c>
      <c r="J727" t="s">
        <v>4343</v>
      </c>
      <c r="K727" t="s">
        <v>74</v>
      </c>
      <c r="L727" t="s">
        <v>74</v>
      </c>
      <c r="M727" t="s">
        <v>78</v>
      </c>
      <c r="N727" t="s">
        <v>79</v>
      </c>
      <c r="O727" t="s">
        <v>74</v>
      </c>
      <c r="P727" t="s">
        <v>74</v>
      </c>
      <c r="Q727" t="s">
        <v>74</v>
      </c>
      <c r="R727" t="s">
        <v>74</v>
      </c>
      <c r="S727" t="s">
        <v>74</v>
      </c>
      <c r="T727" t="s">
        <v>14338</v>
      </c>
      <c r="U727" t="s">
        <v>14339</v>
      </c>
      <c r="V727" t="s">
        <v>14340</v>
      </c>
      <c r="W727" t="s">
        <v>14341</v>
      </c>
      <c r="X727" t="s">
        <v>14342</v>
      </c>
      <c r="Y727" t="s">
        <v>14343</v>
      </c>
      <c r="Z727" t="s">
        <v>14344</v>
      </c>
      <c r="AA727" t="s">
        <v>74</v>
      </c>
      <c r="AB727" t="s">
        <v>14345</v>
      </c>
      <c r="AC727" t="s">
        <v>14346</v>
      </c>
      <c r="AD727" t="s">
        <v>14347</v>
      </c>
      <c r="AE727" t="s">
        <v>14348</v>
      </c>
      <c r="AF727" t="s">
        <v>74</v>
      </c>
      <c r="AG727">
        <v>61</v>
      </c>
      <c r="AH727">
        <v>0</v>
      </c>
      <c r="AI727">
        <v>1</v>
      </c>
      <c r="AJ727">
        <v>1</v>
      </c>
      <c r="AK727">
        <v>17</v>
      </c>
      <c r="AL727" t="s">
        <v>4283</v>
      </c>
      <c r="AM727" t="s">
        <v>4284</v>
      </c>
      <c r="AN727" t="s">
        <v>4285</v>
      </c>
      <c r="AO727" t="s">
        <v>74</v>
      </c>
      <c r="AP727" t="s">
        <v>4356</v>
      </c>
      <c r="AQ727" t="s">
        <v>74</v>
      </c>
      <c r="AR727" t="s">
        <v>4357</v>
      </c>
      <c r="AS727" t="s">
        <v>4358</v>
      </c>
      <c r="AT727" t="s">
        <v>11250</v>
      </c>
      <c r="AU727">
        <v>2020</v>
      </c>
      <c r="AV727">
        <v>12</v>
      </c>
      <c r="AW727">
        <v>9</v>
      </c>
      <c r="AX727" t="s">
        <v>74</v>
      </c>
      <c r="AY727" t="s">
        <v>74</v>
      </c>
      <c r="AZ727" t="s">
        <v>74</v>
      </c>
      <c r="BA727" t="s">
        <v>74</v>
      </c>
      <c r="BB727" t="s">
        <v>74</v>
      </c>
      <c r="BC727" t="s">
        <v>74</v>
      </c>
      <c r="BD727">
        <v>1494</v>
      </c>
      <c r="BE727" t="s">
        <v>14349</v>
      </c>
      <c r="BF727" t="str">
        <f>HYPERLINK("http://dx.doi.org/10.3390/rs12091494","http://dx.doi.org/10.3390/rs12091494")</f>
        <v>http://dx.doi.org/10.3390/rs12091494</v>
      </c>
      <c r="BG727" t="s">
        <v>74</v>
      </c>
      <c r="BH727" t="s">
        <v>74</v>
      </c>
      <c r="BI727">
        <v>22</v>
      </c>
      <c r="BJ727" t="s">
        <v>4360</v>
      </c>
      <c r="BK727" t="s">
        <v>102</v>
      </c>
      <c r="BL727" t="s">
        <v>4361</v>
      </c>
      <c r="BM727" t="s">
        <v>13245</v>
      </c>
      <c r="BN727" t="s">
        <v>74</v>
      </c>
      <c r="BO727" t="s">
        <v>1060</v>
      </c>
      <c r="BP727" t="s">
        <v>74</v>
      </c>
      <c r="BQ727" t="s">
        <v>74</v>
      </c>
      <c r="BR727" t="s">
        <v>106</v>
      </c>
      <c r="BS727" t="s">
        <v>14350</v>
      </c>
      <c r="BT727" t="str">
        <f>HYPERLINK("https%3A%2F%2Fwww.webofscience.com%2Fwos%2Fwoscc%2Ffull-record%2FWOS:000543394000141","View Full Record in Web of Science")</f>
        <v>View Full Record in Web of Science</v>
      </c>
    </row>
    <row r="728" spans="1:72" x14ac:dyDescent="0.15">
      <c r="A728" t="s">
        <v>72</v>
      </c>
      <c r="B728" t="s">
        <v>14351</v>
      </c>
      <c r="C728" t="s">
        <v>74</v>
      </c>
      <c r="D728" t="s">
        <v>74</v>
      </c>
      <c r="E728" t="s">
        <v>74</v>
      </c>
      <c r="F728" t="s">
        <v>14352</v>
      </c>
      <c r="G728" t="s">
        <v>74</v>
      </c>
      <c r="H728" t="s">
        <v>74</v>
      </c>
      <c r="I728" t="s">
        <v>14353</v>
      </c>
      <c r="J728" t="s">
        <v>4343</v>
      </c>
      <c r="K728" t="s">
        <v>74</v>
      </c>
      <c r="L728" t="s">
        <v>74</v>
      </c>
      <c r="M728" t="s">
        <v>78</v>
      </c>
      <c r="N728" t="s">
        <v>79</v>
      </c>
      <c r="O728" t="s">
        <v>74</v>
      </c>
      <c r="P728" t="s">
        <v>74</v>
      </c>
      <c r="Q728" t="s">
        <v>74</v>
      </c>
      <c r="R728" t="s">
        <v>74</v>
      </c>
      <c r="S728" t="s">
        <v>74</v>
      </c>
      <c r="T728" t="s">
        <v>14354</v>
      </c>
      <c r="U728" t="s">
        <v>14355</v>
      </c>
      <c r="V728" t="s">
        <v>14356</v>
      </c>
      <c r="W728" t="s">
        <v>14357</v>
      </c>
      <c r="X728" t="s">
        <v>14358</v>
      </c>
      <c r="Y728" t="s">
        <v>14359</v>
      </c>
      <c r="Z728" t="s">
        <v>14360</v>
      </c>
      <c r="AA728" t="s">
        <v>14361</v>
      </c>
      <c r="AB728" t="s">
        <v>74</v>
      </c>
      <c r="AC728" t="s">
        <v>14362</v>
      </c>
      <c r="AD728" t="s">
        <v>14362</v>
      </c>
      <c r="AE728" t="s">
        <v>14363</v>
      </c>
      <c r="AF728" t="s">
        <v>74</v>
      </c>
      <c r="AG728">
        <v>44</v>
      </c>
      <c r="AH728">
        <v>5</v>
      </c>
      <c r="AI728">
        <v>6</v>
      </c>
      <c r="AJ728">
        <v>0</v>
      </c>
      <c r="AK728">
        <v>15</v>
      </c>
      <c r="AL728" t="s">
        <v>4283</v>
      </c>
      <c r="AM728" t="s">
        <v>4284</v>
      </c>
      <c r="AN728" t="s">
        <v>4285</v>
      </c>
      <c r="AO728" t="s">
        <v>74</v>
      </c>
      <c r="AP728" t="s">
        <v>4356</v>
      </c>
      <c r="AQ728" t="s">
        <v>74</v>
      </c>
      <c r="AR728" t="s">
        <v>4357</v>
      </c>
      <c r="AS728" t="s">
        <v>4358</v>
      </c>
      <c r="AT728" t="s">
        <v>11250</v>
      </c>
      <c r="AU728">
        <v>2020</v>
      </c>
      <c r="AV728">
        <v>12</v>
      </c>
      <c r="AW728">
        <v>9</v>
      </c>
      <c r="AX728" t="s">
        <v>74</v>
      </c>
      <c r="AY728" t="s">
        <v>74</v>
      </c>
      <c r="AZ728" t="s">
        <v>74</v>
      </c>
      <c r="BA728" t="s">
        <v>74</v>
      </c>
      <c r="BB728" t="s">
        <v>74</v>
      </c>
      <c r="BC728" t="s">
        <v>74</v>
      </c>
      <c r="BD728">
        <v>1460</v>
      </c>
      <c r="BE728" t="s">
        <v>14364</v>
      </c>
      <c r="BF728" t="str">
        <f>HYPERLINK("http://dx.doi.org/10.3390/rs12091460","http://dx.doi.org/10.3390/rs12091460")</f>
        <v>http://dx.doi.org/10.3390/rs12091460</v>
      </c>
      <c r="BG728" t="s">
        <v>74</v>
      </c>
      <c r="BH728" t="s">
        <v>74</v>
      </c>
      <c r="BI728">
        <v>21</v>
      </c>
      <c r="BJ728" t="s">
        <v>4360</v>
      </c>
      <c r="BK728" t="s">
        <v>102</v>
      </c>
      <c r="BL728" t="s">
        <v>4361</v>
      </c>
      <c r="BM728" t="s">
        <v>13245</v>
      </c>
      <c r="BN728" t="s">
        <v>74</v>
      </c>
      <c r="BO728" t="s">
        <v>1778</v>
      </c>
      <c r="BP728" t="s">
        <v>74</v>
      </c>
      <c r="BQ728" t="s">
        <v>74</v>
      </c>
      <c r="BR728" t="s">
        <v>106</v>
      </c>
      <c r="BS728" t="s">
        <v>14365</v>
      </c>
      <c r="BT728" t="str">
        <f>HYPERLINK("https%3A%2F%2Fwww.webofscience.com%2Fwos%2Fwoscc%2Ffull-record%2FWOS:000543394000107","View Full Record in Web of Science")</f>
        <v>View Full Record in Web of Science</v>
      </c>
    </row>
    <row r="729" spans="1:72" x14ac:dyDescent="0.15">
      <c r="A729" t="s">
        <v>72</v>
      </c>
      <c r="B729" t="s">
        <v>14366</v>
      </c>
      <c r="C729" t="s">
        <v>74</v>
      </c>
      <c r="D729" t="s">
        <v>74</v>
      </c>
      <c r="E729" t="s">
        <v>74</v>
      </c>
      <c r="F729" t="s">
        <v>14367</v>
      </c>
      <c r="G729" t="s">
        <v>74</v>
      </c>
      <c r="H729" t="s">
        <v>74</v>
      </c>
      <c r="I729" t="s">
        <v>14368</v>
      </c>
      <c r="J729" t="s">
        <v>9297</v>
      </c>
      <c r="K729" t="s">
        <v>74</v>
      </c>
      <c r="L729" t="s">
        <v>74</v>
      </c>
      <c r="M729" t="s">
        <v>78</v>
      </c>
      <c r="N729" t="s">
        <v>245</v>
      </c>
      <c r="O729" t="s">
        <v>74</v>
      </c>
      <c r="P729" t="s">
        <v>74</v>
      </c>
      <c r="Q729" t="s">
        <v>74</v>
      </c>
      <c r="R729" t="s">
        <v>74</v>
      </c>
      <c r="S729" t="s">
        <v>74</v>
      </c>
      <c r="T729" t="s">
        <v>74</v>
      </c>
      <c r="U729" t="s">
        <v>14369</v>
      </c>
      <c r="V729" t="s">
        <v>14370</v>
      </c>
      <c r="W729" t="s">
        <v>14371</v>
      </c>
      <c r="X729" t="s">
        <v>2298</v>
      </c>
      <c r="Y729" t="s">
        <v>14372</v>
      </c>
      <c r="Z729" t="s">
        <v>8325</v>
      </c>
      <c r="AA729" t="s">
        <v>14373</v>
      </c>
      <c r="AB729" t="s">
        <v>14374</v>
      </c>
      <c r="AC729" t="s">
        <v>14375</v>
      </c>
      <c r="AD729" t="s">
        <v>2701</v>
      </c>
      <c r="AE729" t="s">
        <v>14376</v>
      </c>
      <c r="AF729" t="s">
        <v>74</v>
      </c>
      <c r="AG729">
        <v>101</v>
      </c>
      <c r="AH729">
        <v>397</v>
      </c>
      <c r="AI729">
        <v>428</v>
      </c>
      <c r="AJ729">
        <v>29</v>
      </c>
      <c r="AK729">
        <v>149</v>
      </c>
      <c r="AL729" t="s">
        <v>6607</v>
      </c>
      <c r="AM729" t="s">
        <v>152</v>
      </c>
      <c r="AN729" t="s">
        <v>6608</v>
      </c>
      <c r="AO729" t="s">
        <v>9308</v>
      </c>
      <c r="AP729" t="s">
        <v>74</v>
      </c>
      <c r="AQ729" t="s">
        <v>74</v>
      </c>
      <c r="AR729" t="s">
        <v>9309</v>
      </c>
      <c r="AS729" t="s">
        <v>9310</v>
      </c>
      <c r="AT729" t="s">
        <v>11250</v>
      </c>
      <c r="AU729">
        <v>2020</v>
      </c>
      <c r="AV729">
        <v>6</v>
      </c>
      <c r="AW729">
        <v>20</v>
      </c>
      <c r="AX729" t="s">
        <v>74</v>
      </c>
      <c r="AY729" t="s">
        <v>74</v>
      </c>
      <c r="AZ729" t="s">
        <v>74</v>
      </c>
      <c r="BA729" t="s">
        <v>74</v>
      </c>
      <c r="BB729" t="s">
        <v>74</v>
      </c>
      <c r="BC729" t="s">
        <v>74</v>
      </c>
      <c r="BD729" t="s">
        <v>14377</v>
      </c>
      <c r="BE729" t="s">
        <v>14378</v>
      </c>
      <c r="BF729" t="str">
        <f>HYPERLINK("http://dx.doi.org/10.1126/sciadv.aaz1346","http://dx.doi.org/10.1126/sciadv.aaz1346")</f>
        <v>http://dx.doi.org/10.1126/sciadv.aaz1346</v>
      </c>
      <c r="BG729" t="s">
        <v>74</v>
      </c>
      <c r="BH729" t="s">
        <v>74</v>
      </c>
      <c r="BI729">
        <v>15</v>
      </c>
      <c r="BJ729" t="s">
        <v>1125</v>
      </c>
      <c r="BK729" t="s">
        <v>102</v>
      </c>
      <c r="BL729" t="s">
        <v>1126</v>
      </c>
      <c r="BM729" t="s">
        <v>14379</v>
      </c>
      <c r="BN729">
        <v>32440543</v>
      </c>
      <c r="BO729" t="s">
        <v>1778</v>
      </c>
      <c r="BP729" t="s">
        <v>162</v>
      </c>
      <c r="BQ729" t="s">
        <v>163</v>
      </c>
      <c r="BR729" t="s">
        <v>106</v>
      </c>
      <c r="BS729" t="s">
        <v>14380</v>
      </c>
      <c r="BT729" t="str">
        <f>HYPERLINK("https%3A%2F%2Fwww.webofscience.com%2Fwos%2Fwoscc%2Ffull-record%2FWOS:000533573300019","View Full Record in Web of Science")</f>
        <v>View Full Record in Web of Science</v>
      </c>
    </row>
    <row r="730" spans="1:72" x14ac:dyDescent="0.15">
      <c r="A730" t="s">
        <v>72</v>
      </c>
      <c r="B730" t="s">
        <v>14381</v>
      </c>
      <c r="C730" t="s">
        <v>74</v>
      </c>
      <c r="D730" t="s">
        <v>74</v>
      </c>
      <c r="E730" t="s">
        <v>74</v>
      </c>
      <c r="F730" t="s">
        <v>14382</v>
      </c>
      <c r="G730" t="s">
        <v>74</v>
      </c>
      <c r="H730" t="s">
        <v>74</v>
      </c>
      <c r="I730" t="s">
        <v>14383</v>
      </c>
      <c r="J730" t="s">
        <v>14384</v>
      </c>
      <c r="K730" t="s">
        <v>74</v>
      </c>
      <c r="L730" t="s">
        <v>74</v>
      </c>
      <c r="M730" t="s">
        <v>78</v>
      </c>
      <c r="N730" t="s">
        <v>79</v>
      </c>
      <c r="O730" t="s">
        <v>74</v>
      </c>
      <c r="P730" t="s">
        <v>74</v>
      </c>
      <c r="Q730" t="s">
        <v>74</v>
      </c>
      <c r="R730" t="s">
        <v>74</v>
      </c>
      <c r="S730" t="s">
        <v>74</v>
      </c>
      <c r="T730" t="s">
        <v>14385</v>
      </c>
      <c r="U730" t="s">
        <v>14386</v>
      </c>
      <c r="V730" t="s">
        <v>14387</v>
      </c>
      <c r="W730" t="s">
        <v>14388</v>
      </c>
      <c r="X730" t="s">
        <v>14389</v>
      </c>
      <c r="Y730" t="s">
        <v>14390</v>
      </c>
      <c r="Z730" t="s">
        <v>14391</v>
      </c>
      <c r="AA730" t="s">
        <v>14392</v>
      </c>
      <c r="AB730" t="s">
        <v>14393</v>
      </c>
      <c r="AC730" t="s">
        <v>14394</v>
      </c>
      <c r="AD730" t="s">
        <v>14395</v>
      </c>
      <c r="AE730" t="s">
        <v>14396</v>
      </c>
      <c r="AF730" t="s">
        <v>74</v>
      </c>
      <c r="AG730">
        <v>131</v>
      </c>
      <c r="AH730">
        <v>119</v>
      </c>
      <c r="AI730">
        <v>129</v>
      </c>
      <c r="AJ730">
        <v>9</v>
      </c>
      <c r="AK730">
        <v>87</v>
      </c>
      <c r="AL730" t="s">
        <v>124</v>
      </c>
      <c r="AM730" t="s">
        <v>93</v>
      </c>
      <c r="AN730" t="s">
        <v>125</v>
      </c>
      <c r="AO730" t="s">
        <v>14397</v>
      </c>
      <c r="AP730" t="s">
        <v>14398</v>
      </c>
      <c r="AQ730" t="s">
        <v>74</v>
      </c>
      <c r="AR730" t="s">
        <v>14399</v>
      </c>
      <c r="AS730" t="s">
        <v>14400</v>
      </c>
      <c r="AT730" t="s">
        <v>11250</v>
      </c>
      <c r="AU730">
        <v>2020</v>
      </c>
      <c r="AV730">
        <v>69</v>
      </c>
      <c r="AW730">
        <v>3</v>
      </c>
      <c r="AX730" t="s">
        <v>74</v>
      </c>
      <c r="AY730" t="s">
        <v>74</v>
      </c>
      <c r="AZ730" t="s">
        <v>74</v>
      </c>
      <c r="BA730" t="s">
        <v>74</v>
      </c>
      <c r="BB730">
        <v>479</v>
      </c>
      <c r="BC730">
        <v>501</v>
      </c>
      <c r="BD730" t="s">
        <v>74</v>
      </c>
      <c r="BE730" t="s">
        <v>14401</v>
      </c>
      <c r="BF730" t="str">
        <f>HYPERLINK("http://dx.doi.org/10.1093/sysbio/syz068","http://dx.doi.org/10.1093/sysbio/syz068")</f>
        <v>http://dx.doi.org/10.1093/sysbio/syz068</v>
      </c>
      <c r="BG730" t="s">
        <v>74</v>
      </c>
      <c r="BH730" t="s">
        <v>74</v>
      </c>
      <c r="BI730">
        <v>23</v>
      </c>
      <c r="BJ730" t="s">
        <v>14402</v>
      </c>
      <c r="BK730" t="s">
        <v>102</v>
      </c>
      <c r="BL730" t="s">
        <v>14402</v>
      </c>
      <c r="BM730" t="s">
        <v>14403</v>
      </c>
      <c r="BN730">
        <v>31633766</v>
      </c>
      <c r="BO730" t="s">
        <v>448</v>
      </c>
      <c r="BP730" t="s">
        <v>74</v>
      </c>
      <c r="BQ730" t="s">
        <v>74</v>
      </c>
      <c r="BR730" t="s">
        <v>106</v>
      </c>
      <c r="BS730" t="s">
        <v>14404</v>
      </c>
      <c r="BT730" t="str">
        <f>HYPERLINK("https%3A%2F%2Fwww.webofscience.com%2Fwos%2Fwoscc%2Ffull-record%2FWOS:000537435800005","View Full Record in Web of Science")</f>
        <v>View Full Record in Web of Science</v>
      </c>
    </row>
    <row r="731" spans="1:72" x14ac:dyDescent="0.15">
      <c r="A731" t="s">
        <v>72</v>
      </c>
      <c r="B731" t="s">
        <v>14405</v>
      </c>
      <c r="C731" t="s">
        <v>74</v>
      </c>
      <c r="D731" t="s">
        <v>74</v>
      </c>
      <c r="E731" t="s">
        <v>74</v>
      </c>
      <c r="F731" t="s">
        <v>14406</v>
      </c>
      <c r="G731" t="s">
        <v>74</v>
      </c>
      <c r="H731" t="s">
        <v>74</v>
      </c>
      <c r="I731" t="s">
        <v>14407</v>
      </c>
      <c r="J731" t="s">
        <v>8953</v>
      </c>
      <c r="K731" t="s">
        <v>74</v>
      </c>
      <c r="L731" t="s">
        <v>74</v>
      </c>
      <c r="M731" t="s">
        <v>78</v>
      </c>
      <c r="N731" t="s">
        <v>79</v>
      </c>
      <c r="O731" t="s">
        <v>74</v>
      </c>
      <c r="P731" t="s">
        <v>74</v>
      </c>
      <c r="Q731" t="s">
        <v>74</v>
      </c>
      <c r="R731" t="s">
        <v>74</v>
      </c>
      <c r="S731" t="s">
        <v>74</v>
      </c>
      <c r="T731" t="s">
        <v>14408</v>
      </c>
      <c r="U731" t="s">
        <v>14409</v>
      </c>
      <c r="V731" t="s">
        <v>14410</v>
      </c>
      <c r="W731" t="s">
        <v>14411</v>
      </c>
      <c r="X731" t="s">
        <v>14412</v>
      </c>
      <c r="Y731" t="s">
        <v>14413</v>
      </c>
      <c r="Z731" t="s">
        <v>14414</v>
      </c>
      <c r="AA731" t="s">
        <v>14415</v>
      </c>
      <c r="AB731" t="s">
        <v>14416</v>
      </c>
      <c r="AC731" t="s">
        <v>14417</v>
      </c>
      <c r="AD731" t="s">
        <v>14418</v>
      </c>
      <c r="AE731" t="s">
        <v>14419</v>
      </c>
      <c r="AF731" t="s">
        <v>74</v>
      </c>
      <c r="AG731">
        <v>88</v>
      </c>
      <c r="AH731">
        <v>6</v>
      </c>
      <c r="AI731">
        <v>6</v>
      </c>
      <c r="AJ731">
        <v>2</v>
      </c>
      <c r="AK731">
        <v>12</v>
      </c>
      <c r="AL731" t="s">
        <v>4283</v>
      </c>
      <c r="AM731" t="s">
        <v>4284</v>
      </c>
      <c r="AN731" t="s">
        <v>4285</v>
      </c>
      <c r="AO731" t="s">
        <v>74</v>
      </c>
      <c r="AP731" t="s">
        <v>8966</v>
      </c>
      <c r="AQ731" t="s">
        <v>74</v>
      </c>
      <c r="AR731" t="s">
        <v>8967</v>
      </c>
      <c r="AS731" t="s">
        <v>8968</v>
      </c>
      <c r="AT731" t="s">
        <v>11250</v>
      </c>
      <c r="AU731">
        <v>2020</v>
      </c>
      <c r="AV731">
        <v>12</v>
      </c>
      <c r="AW731">
        <v>5</v>
      </c>
      <c r="AX731" t="s">
        <v>74</v>
      </c>
      <c r="AY731" t="s">
        <v>74</v>
      </c>
      <c r="AZ731" t="s">
        <v>74</v>
      </c>
      <c r="BA731" t="s">
        <v>74</v>
      </c>
      <c r="BB731" t="s">
        <v>74</v>
      </c>
      <c r="BC731" t="s">
        <v>74</v>
      </c>
      <c r="BD731">
        <v>1340</v>
      </c>
      <c r="BE731" t="s">
        <v>14420</v>
      </c>
      <c r="BF731" t="str">
        <f>HYPERLINK("http://dx.doi.org/10.3390/w12051340","http://dx.doi.org/10.3390/w12051340")</f>
        <v>http://dx.doi.org/10.3390/w12051340</v>
      </c>
      <c r="BG731" t="s">
        <v>74</v>
      </c>
      <c r="BH731" t="s">
        <v>74</v>
      </c>
      <c r="BI731">
        <v>21</v>
      </c>
      <c r="BJ731" t="s">
        <v>8970</v>
      </c>
      <c r="BK731" t="s">
        <v>102</v>
      </c>
      <c r="BL731" t="s">
        <v>8971</v>
      </c>
      <c r="BM731" t="s">
        <v>14421</v>
      </c>
      <c r="BN731" t="s">
        <v>74</v>
      </c>
      <c r="BO731" t="s">
        <v>105</v>
      </c>
      <c r="BP731" t="s">
        <v>74</v>
      </c>
      <c r="BQ731" t="s">
        <v>74</v>
      </c>
      <c r="BR731" t="s">
        <v>106</v>
      </c>
      <c r="BS731" t="s">
        <v>14422</v>
      </c>
      <c r="BT731" t="str">
        <f>HYPERLINK("https%3A%2F%2Fwww.webofscience.com%2Fwos%2Fwoscc%2Ffull-record%2FWOS:000555915200119","View Full Record in Web of Science")</f>
        <v>View Full Record in Web of Science</v>
      </c>
    </row>
    <row r="732" spans="1:72" x14ac:dyDescent="0.15">
      <c r="A732" t="s">
        <v>72</v>
      </c>
      <c r="B732" t="s">
        <v>14423</v>
      </c>
      <c r="C732" t="s">
        <v>74</v>
      </c>
      <c r="D732" t="s">
        <v>74</v>
      </c>
      <c r="E732" t="s">
        <v>74</v>
      </c>
      <c r="F732" t="s">
        <v>14424</v>
      </c>
      <c r="G732" t="s">
        <v>74</v>
      </c>
      <c r="H732" t="s">
        <v>74</v>
      </c>
      <c r="I732" t="s">
        <v>14425</v>
      </c>
      <c r="J732" t="s">
        <v>12936</v>
      </c>
      <c r="K732" t="s">
        <v>74</v>
      </c>
      <c r="L732" t="s">
        <v>74</v>
      </c>
      <c r="M732" t="s">
        <v>78</v>
      </c>
      <c r="N732" t="s">
        <v>79</v>
      </c>
      <c r="O732" t="s">
        <v>74</v>
      </c>
      <c r="P732" t="s">
        <v>74</v>
      </c>
      <c r="Q732" t="s">
        <v>74</v>
      </c>
      <c r="R732" t="s">
        <v>74</v>
      </c>
      <c r="S732" t="s">
        <v>74</v>
      </c>
      <c r="T732" t="s">
        <v>14426</v>
      </c>
      <c r="U732" t="s">
        <v>14427</v>
      </c>
      <c r="V732" t="s">
        <v>14428</v>
      </c>
      <c r="W732" t="s">
        <v>14429</v>
      </c>
      <c r="X732" t="s">
        <v>14430</v>
      </c>
      <c r="Y732" t="s">
        <v>14431</v>
      </c>
      <c r="Z732" t="s">
        <v>14432</v>
      </c>
      <c r="AA732" t="s">
        <v>14433</v>
      </c>
      <c r="AB732" t="s">
        <v>14434</v>
      </c>
      <c r="AC732" t="s">
        <v>74</v>
      </c>
      <c r="AD732" t="s">
        <v>74</v>
      </c>
      <c r="AE732" t="s">
        <v>74</v>
      </c>
      <c r="AF732" t="s">
        <v>74</v>
      </c>
      <c r="AG732">
        <v>78</v>
      </c>
      <c r="AH732">
        <v>32</v>
      </c>
      <c r="AI732">
        <v>32</v>
      </c>
      <c r="AJ732">
        <v>1</v>
      </c>
      <c r="AK732">
        <v>10</v>
      </c>
      <c r="AL732" t="s">
        <v>11741</v>
      </c>
      <c r="AM732" t="s">
        <v>11742</v>
      </c>
      <c r="AN732" t="s">
        <v>12945</v>
      </c>
      <c r="AO732" t="s">
        <v>12946</v>
      </c>
      <c r="AP732" t="s">
        <v>12947</v>
      </c>
      <c r="AQ732" t="s">
        <v>74</v>
      </c>
      <c r="AR732" t="s">
        <v>12948</v>
      </c>
      <c r="AS732" t="s">
        <v>12949</v>
      </c>
      <c r="AT732" t="s">
        <v>11250</v>
      </c>
      <c r="AU732">
        <v>2020</v>
      </c>
      <c r="AV732">
        <v>37</v>
      </c>
      <c r="AW732">
        <v>5</v>
      </c>
      <c r="AX732" t="s">
        <v>74</v>
      </c>
      <c r="AY732" t="s">
        <v>74</v>
      </c>
      <c r="AZ732" t="s">
        <v>2622</v>
      </c>
      <c r="BA732" t="s">
        <v>74</v>
      </c>
      <c r="BB732">
        <v>455</v>
      </c>
      <c r="BC732">
        <v>476</v>
      </c>
      <c r="BD732" t="s">
        <v>74</v>
      </c>
      <c r="BE732" t="s">
        <v>14435</v>
      </c>
      <c r="BF732" t="str">
        <f>HYPERLINK("http://dx.doi.org/10.1007/s00376-020-9221-8","http://dx.doi.org/10.1007/s00376-020-9221-8")</f>
        <v>http://dx.doi.org/10.1007/s00376-020-9221-8</v>
      </c>
      <c r="BG732" t="s">
        <v>74</v>
      </c>
      <c r="BH732" t="s">
        <v>74</v>
      </c>
      <c r="BI732">
        <v>22</v>
      </c>
      <c r="BJ732" t="s">
        <v>159</v>
      </c>
      <c r="BK732" t="s">
        <v>102</v>
      </c>
      <c r="BL732" t="s">
        <v>159</v>
      </c>
      <c r="BM732" t="s">
        <v>12951</v>
      </c>
      <c r="BN732" t="s">
        <v>74</v>
      </c>
      <c r="BO732" t="s">
        <v>189</v>
      </c>
      <c r="BP732" t="s">
        <v>74</v>
      </c>
      <c r="BQ732" t="s">
        <v>74</v>
      </c>
      <c r="BR732" t="s">
        <v>106</v>
      </c>
      <c r="BS732" t="s">
        <v>14436</v>
      </c>
      <c r="BT732" t="str">
        <f>HYPERLINK("https%3A%2F%2Fwww.webofscience.com%2Fwos%2Fwoscc%2Ffull-record%2FWOS:000526544900005","View Full Record in Web of Science")</f>
        <v>View Full Record in Web of Science</v>
      </c>
    </row>
    <row r="733" spans="1:72" x14ac:dyDescent="0.15">
      <c r="A733" t="s">
        <v>72</v>
      </c>
      <c r="B733" t="s">
        <v>14437</v>
      </c>
      <c r="C733" t="s">
        <v>74</v>
      </c>
      <c r="D733" t="s">
        <v>74</v>
      </c>
      <c r="E733" t="s">
        <v>74</v>
      </c>
      <c r="F733" t="s">
        <v>14438</v>
      </c>
      <c r="G733" t="s">
        <v>74</v>
      </c>
      <c r="H733" t="s">
        <v>74</v>
      </c>
      <c r="I733" t="s">
        <v>14439</v>
      </c>
      <c r="J733" t="s">
        <v>12936</v>
      </c>
      <c r="K733" t="s">
        <v>74</v>
      </c>
      <c r="L733" t="s">
        <v>74</v>
      </c>
      <c r="M733" t="s">
        <v>78</v>
      </c>
      <c r="N733" t="s">
        <v>79</v>
      </c>
      <c r="O733" t="s">
        <v>74</v>
      </c>
      <c r="P733" t="s">
        <v>74</v>
      </c>
      <c r="Q733" t="s">
        <v>74</v>
      </c>
      <c r="R733" t="s">
        <v>74</v>
      </c>
      <c r="S733" t="s">
        <v>74</v>
      </c>
      <c r="T733" t="s">
        <v>14440</v>
      </c>
      <c r="U733" t="s">
        <v>14441</v>
      </c>
      <c r="V733" t="s">
        <v>14442</v>
      </c>
      <c r="W733" t="s">
        <v>14443</v>
      </c>
      <c r="X733" t="s">
        <v>14444</v>
      </c>
      <c r="Y733" t="s">
        <v>14445</v>
      </c>
      <c r="Z733" t="s">
        <v>14446</v>
      </c>
      <c r="AA733" t="s">
        <v>14447</v>
      </c>
      <c r="AB733" t="s">
        <v>14448</v>
      </c>
      <c r="AC733" t="s">
        <v>74</v>
      </c>
      <c r="AD733" t="s">
        <v>74</v>
      </c>
      <c r="AE733" t="s">
        <v>74</v>
      </c>
      <c r="AF733" t="s">
        <v>74</v>
      </c>
      <c r="AG733">
        <v>29</v>
      </c>
      <c r="AH733">
        <v>18</v>
      </c>
      <c r="AI733">
        <v>21</v>
      </c>
      <c r="AJ733">
        <v>9</v>
      </c>
      <c r="AK733">
        <v>38</v>
      </c>
      <c r="AL733" t="s">
        <v>11741</v>
      </c>
      <c r="AM733" t="s">
        <v>11742</v>
      </c>
      <c r="AN733" t="s">
        <v>12945</v>
      </c>
      <c r="AO733" t="s">
        <v>12946</v>
      </c>
      <c r="AP733" t="s">
        <v>12947</v>
      </c>
      <c r="AQ733" t="s">
        <v>74</v>
      </c>
      <c r="AR733" t="s">
        <v>12948</v>
      </c>
      <c r="AS733" t="s">
        <v>12949</v>
      </c>
      <c r="AT733" t="s">
        <v>11250</v>
      </c>
      <c r="AU733">
        <v>2020</v>
      </c>
      <c r="AV733">
        <v>37</v>
      </c>
      <c r="AW733">
        <v>5</v>
      </c>
      <c r="AX733" t="s">
        <v>74</v>
      </c>
      <c r="AY733" t="s">
        <v>74</v>
      </c>
      <c r="AZ733" t="s">
        <v>2622</v>
      </c>
      <c r="BA733" t="s">
        <v>74</v>
      </c>
      <c r="BB733">
        <v>505</v>
      </c>
      <c r="BC733">
        <v>514</v>
      </c>
      <c r="BD733" t="s">
        <v>74</v>
      </c>
      <c r="BE733" t="s">
        <v>14449</v>
      </c>
      <c r="BF733" t="str">
        <f>HYPERLINK("http://dx.doi.org/10.1007/s00376-019-8251-6","http://dx.doi.org/10.1007/s00376-019-8251-6")</f>
        <v>http://dx.doi.org/10.1007/s00376-019-8251-6</v>
      </c>
      <c r="BG733" t="s">
        <v>74</v>
      </c>
      <c r="BH733" t="s">
        <v>74</v>
      </c>
      <c r="BI733">
        <v>10</v>
      </c>
      <c r="BJ733" t="s">
        <v>159</v>
      </c>
      <c r="BK733" t="s">
        <v>102</v>
      </c>
      <c r="BL733" t="s">
        <v>159</v>
      </c>
      <c r="BM733" t="s">
        <v>12951</v>
      </c>
      <c r="BN733" t="s">
        <v>74</v>
      </c>
      <c r="BO733" t="s">
        <v>1474</v>
      </c>
      <c r="BP733" t="s">
        <v>74</v>
      </c>
      <c r="BQ733" t="s">
        <v>74</v>
      </c>
      <c r="BR733" t="s">
        <v>106</v>
      </c>
      <c r="BS733" t="s">
        <v>14450</v>
      </c>
      <c r="BT733" t="str">
        <f>HYPERLINK("https%3A%2F%2Fwww.webofscience.com%2Fwos%2Fwoscc%2Ffull-record%2FWOS:000526544900008","View Full Record in Web of Science")</f>
        <v>View Full Record in Web of Science</v>
      </c>
    </row>
    <row r="734" spans="1:72" x14ac:dyDescent="0.15">
      <c r="A734" t="s">
        <v>72</v>
      </c>
      <c r="B734" t="s">
        <v>14451</v>
      </c>
      <c r="C734" t="s">
        <v>74</v>
      </c>
      <c r="D734" t="s">
        <v>74</v>
      </c>
      <c r="E734" t="s">
        <v>74</v>
      </c>
      <c r="F734" t="s">
        <v>14452</v>
      </c>
      <c r="G734" t="s">
        <v>74</v>
      </c>
      <c r="H734" t="s">
        <v>74</v>
      </c>
      <c r="I734" t="s">
        <v>14453</v>
      </c>
      <c r="J734" t="s">
        <v>12936</v>
      </c>
      <c r="K734" t="s">
        <v>74</v>
      </c>
      <c r="L734" t="s">
        <v>74</v>
      </c>
      <c r="M734" t="s">
        <v>78</v>
      </c>
      <c r="N734" t="s">
        <v>79</v>
      </c>
      <c r="O734" t="s">
        <v>74</v>
      </c>
      <c r="P734" t="s">
        <v>74</v>
      </c>
      <c r="Q734" t="s">
        <v>74</v>
      </c>
      <c r="R734" t="s">
        <v>74</v>
      </c>
      <c r="S734" t="s">
        <v>74</v>
      </c>
      <c r="T734" t="s">
        <v>14454</v>
      </c>
      <c r="U734" t="s">
        <v>14455</v>
      </c>
      <c r="V734" t="s">
        <v>14456</v>
      </c>
      <c r="W734" t="s">
        <v>14457</v>
      </c>
      <c r="X734" t="s">
        <v>14458</v>
      </c>
      <c r="Y734" t="s">
        <v>14459</v>
      </c>
      <c r="Z734" t="s">
        <v>14460</v>
      </c>
      <c r="AA734" t="s">
        <v>14461</v>
      </c>
      <c r="AB734" t="s">
        <v>14462</v>
      </c>
      <c r="AC734" t="s">
        <v>74</v>
      </c>
      <c r="AD734" t="s">
        <v>74</v>
      </c>
      <c r="AE734" t="s">
        <v>74</v>
      </c>
      <c r="AF734" t="s">
        <v>74</v>
      </c>
      <c r="AG734">
        <v>68</v>
      </c>
      <c r="AH734">
        <v>16</v>
      </c>
      <c r="AI734">
        <v>16</v>
      </c>
      <c r="AJ734">
        <v>0</v>
      </c>
      <c r="AK734">
        <v>29</v>
      </c>
      <c r="AL734" t="s">
        <v>11741</v>
      </c>
      <c r="AM734" t="s">
        <v>11742</v>
      </c>
      <c r="AN734" t="s">
        <v>12945</v>
      </c>
      <c r="AO734" t="s">
        <v>12946</v>
      </c>
      <c r="AP734" t="s">
        <v>12947</v>
      </c>
      <c r="AQ734" t="s">
        <v>74</v>
      </c>
      <c r="AR734" t="s">
        <v>12948</v>
      </c>
      <c r="AS734" t="s">
        <v>12949</v>
      </c>
      <c r="AT734" t="s">
        <v>11250</v>
      </c>
      <c r="AU734">
        <v>2020</v>
      </c>
      <c r="AV734">
        <v>37</v>
      </c>
      <c r="AW734">
        <v>5</v>
      </c>
      <c r="AX734" t="s">
        <v>74</v>
      </c>
      <c r="AY734" t="s">
        <v>74</v>
      </c>
      <c r="AZ734" t="s">
        <v>2622</v>
      </c>
      <c r="BA734" t="s">
        <v>74</v>
      </c>
      <c r="BB734">
        <v>515</v>
      </c>
      <c r="BC734">
        <v>531</v>
      </c>
      <c r="BD734" t="s">
        <v>74</v>
      </c>
      <c r="BE734" t="s">
        <v>14463</v>
      </c>
      <c r="BF734" t="str">
        <f>HYPERLINK("http://dx.doi.org/10.1007/s00376-020-9203-x","http://dx.doi.org/10.1007/s00376-020-9203-x")</f>
        <v>http://dx.doi.org/10.1007/s00376-020-9203-x</v>
      </c>
      <c r="BG734" t="s">
        <v>74</v>
      </c>
      <c r="BH734" t="s">
        <v>74</v>
      </c>
      <c r="BI734">
        <v>17</v>
      </c>
      <c r="BJ734" t="s">
        <v>159</v>
      </c>
      <c r="BK734" t="s">
        <v>102</v>
      </c>
      <c r="BL734" t="s">
        <v>159</v>
      </c>
      <c r="BM734" t="s">
        <v>12951</v>
      </c>
      <c r="BN734" t="s">
        <v>74</v>
      </c>
      <c r="BO734" t="s">
        <v>74</v>
      </c>
      <c r="BP734" t="s">
        <v>74</v>
      </c>
      <c r="BQ734" t="s">
        <v>74</v>
      </c>
      <c r="BR734" t="s">
        <v>106</v>
      </c>
      <c r="BS734" t="s">
        <v>14464</v>
      </c>
      <c r="BT734" t="str">
        <f>HYPERLINK("https%3A%2F%2Fwww.webofscience.com%2Fwos%2Fwoscc%2Ffull-record%2FWOS:000526544900009","View Full Record in Web of Science")</f>
        <v>View Full Record in Web of Science</v>
      </c>
    </row>
    <row r="735" spans="1:72" x14ac:dyDescent="0.15">
      <c r="A735" t="s">
        <v>72</v>
      </c>
      <c r="B735" t="s">
        <v>14465</v>
      </c>
      <c r="C735" t="s">
        <v>74</v>
      </c>
      <c r="D735" t="s">
        <v>74</v>
      </c>
      <c r="E735" t="s">
        <v>74</v>
      </c>
      <c r="F735" t="s">
        <v>14466</v>
      </c>
      <c r="G735" t="s">
        <v>74</v>
      </c>
      <c r="H735" t="s">
        <v>74</v>
      </c>
      <c r="I735" t="s">
        <v>14467</v>
      </c>
      <c r="J735" t="s">
        <v>271</v>
      </c>
      <c r="K735" t="s">
        <v>74</v>
      </c>
      <c r="L735" t="s">
        <v>74</v>
      </c>
      <c r="M735" t="s">
        <v>78</v>
      </c>
      <c r="N735" t="s">
        <v>79</v>
      </c>
      <c r="O735" t="s">
        <v>74</v>
      </c>
      <c r="P735" t="s">
        <v>74</v>
      </c>
      <c r="Q735" t="s">
        <v>74</v>
      </c>
      <c r="R735" t="s">
        <v>74</v>
      </c>
      <c r="S735" t="s">
        <v>74</v>
      </c>
      <c r="T735" t="s">
        <v>14468</v>
      </c>
      <c r="U735" t="s">
        <v>14469</v>
      </c>
      <c r="V735" t="s">
        <v>14470</v>
      </c>
      <c r="W735" t="s">
        <v>14471</v>
      </c>
      <c r="X735" t="s">
        <v>14472</v>
      </c>
      <c r="Y735" t="s">
        <v>14473</v>
      </c>
      <c r="Z735" t="s">
        <v>14474</v>
      </c>
      <c r="AA735" t="s">
        <v>14475</v>
      </c>
      <c r="AB735" t="s">
        <v>14476</v>
      </c>
      <c r="AC735" t="s">
        <v>14477</v>
      </c>
      <c r="AD735" t="s">
        <v>14478</v>
      </c>
      <c r="AE735" t="s">
        <v>14479</v>
      </c>
      <c r="AF735" t="s">
        <v>74</v>
      </c>
      <c r="AG735">
        <v>108</v>
      </c>
      <c r="AH735">
        <v>10</v>
      </c>
      <c r="AI735">
        <v>11</v>
      </c>
      <c r="AJ735">
        <v>0</v>
      </c>
      <c r="AK735">
        <v>3</v>
      </c>
      <c r="AL735" t="s">
        <v>284</v>
      </c>
      <c r="AM735" t="s">
        <v>285</v>
      </c>
      <c r="AN735" t="s">
        <v>286</v>
      </c>
      <c r="AO735" t="s">
        <v>287</v>
      </c>
      <c r="AP735" t="s">
        <v>288</v>
      </c>
      <c r="AQ735" t="s">
        <v>74</v>
      </c>
      <c r="AR735" t="s">
        <v>289</v>
      </c>
      <c r="AS735" t="s">
        <v>290</v>
      </c>
      <c r="AT735" t="s">
        <v>11250</v>
      </c>
      <c r="AU735">
        <v>2020</v>
      </c>
      <c r="AV735">
        <v>276</v>
      </c>
      <c r="AW735" t="s">
        <v>74</v>
      </c>
      <c r="AX735" t="s">
        <v>74</v>
      </c>
      <c r="AY735" t="s">
        <v>74</v>
      </c>
      <c r="AZ735" t="s">
        <v>74</v>
      </c>
      <c r="BA735" t="s">
        <v>74</v>
      </c>
      <c r="BB735" t="s">
        <v>74</v>
      </c>
      <c r="BC735" t="s">
        <v>74</v>
      </c>
      <c r="BD735">
        <v>104202</v>
      </c>
      <c r="BE735" t="s">
        <v>14480</v>
      </c>
      <c r="BF735" t="str">
        <f>HYPERLINK("http://dx.doi.org/10.1016/j.revpalbo.2020.104202","http://dx.doi.org/10.1016/j.revpalbo.2020.104202")</f>
        <v>http://dx.doi.org/10.1016/j.revpalbo.2020.104202</v>
      </c>
      <c r="BG735" t="s">
        <v>74</v>
      </c>
      <c r="BH735" t="s">
        <v>74</v>
      </c>
      <c r="BI735">
        <v>12</v>
      </c>
      <c r="BJ735" t="s">
        <v>292</v>
      </c>
      <c r="BK735" t="s">
        <v>102</v>
      </c>
      <c r="BL735" t="s">
        <v>292</v>
      </c>
      <c r="BM735" t="s">
        <v>14481</v>
      </c>
      <c r="BN735" t="s">
        <v>74</v>
      </c>
      <c r="BO735" t="s">
        <v>74</v>
      </c>
      <c r="BP735" t="s">
        <v>74</v>
      </c>
      <c r="BQ735" t="s">
        <v>74</v>
      </c>
      <c r="BR735" t="s">
        <v>106</v>
      </c>
      <c r="BS735" t="s">
        <v>14482</v>
      </c>
      <c r="BT735" t="str">
        <f>HYPERLINK("https%3A%2F%2Fwww.webofscience.com%2Fwos%2Fwoscc%2Ffull-record%2FWOS:000527103200004","View Full Record in Web of Science")</f>
        <v>View Full Record in Web of Science</v>
      </c>
    </row>
    <row r="736" spans="1:72" x14ac:dyDescent="0.15">
      <c r="A736" t="s">
        <v>72</v>
      </c>
      <c r="B736" t="s">
        <v>14483</v>
      </c>
      <c r="C736" t="s">
        <v>74</v>
      </c>
      <c r="D736" t="s">
        <v>74</v>
      </c>
      <c r="E736" t="s">
        <v>74</v>
      </c>
      <c r="F736" t="s">
        <v>14484</v>
      </c>
      <c r="G736" t="s">
        <v>74</v>
      </c>
      <c r="H736" t="s">
        <v>74</v>
      </c>
      <c r="I736" t="s">
        <v>14485</v>
      </c>
      <c r="J736" t="s">
        <v>1357</v>
      </c>
      <c r="K736" t="s">
        <v>74</v>
      </c>
      <c r="L736" t="s">
        <v>74</v>
      </c>
      <c r="M736" t="s">
        <v>78</v>
      </c>
      <c r="N736" t="s">
        <v>79</v>
      </c>
      <c r="O736" t="s">
        <v>74</v>
      </c>
      <c r="P736" t="s">
        <v>74</v>
      </c>
      <c r="Q736" t="s">
        <v>74</v>
      </c>
      <c r="R736" t="s">
        <v>74</v>
      </c>
      <c r="S736" t="s">
        <v>74</v>
      </c>
      <c r="T736" t="s">
        <v>14486</v>
      </c>
      <c r="U736" t="s">
        <v>14487</v>
      </c>
      <c r="V736" t="s">
        <v>14488</v>
      </c>
      <c r="W736" t="s">
        <v>14489</v>
      </c>
      <c r="X736" t="s">
        <v>14490</v>
      </c>
      <c r="Y736" t="s">
        <v>14491</v>
      </c>
      <c r="Z736" t="s">
        <v>14492</v>
      </c>
      <c r="AA736" t="s">
        <v>14493</v>
      </c>
      <c r="AB736" t="s">
        <v>14494</v>
      </c>
      <c r="AC736" t="s">
        <v>14495</v>
      </c>
      <c r="AD736" t="s">
        <v>14496</v>
      </c>
      <c r="AE736" t="s">
        <v>74</v>
      </c>
      <c r="AF736" t="s">
        <v>74</v>
      </c>
      <c r="AG736">
        <v>14</v>
      </c>
      <c r="AH736">
        <v>25</v>
      </c>
      <c r="AI736">
        <v>25</v>
      </c>
      <c r="AJ736">
        <v>5</v>
      </c>
      <c r="AK736">
        <v>43</v>
      </c>
      <c r="AL736" t="s">
        <v>994</v>
      </c>
      <c r="AM736" t="s">
        <v>995</v>
      </c>
      <c r="AN736" t="s">
        <v>996</v>
      </c>
      <c r="AO736" t="s">
        <v>1370</v>
      </c>
      <c r="AP736" t="s">
        <v>1371</v>
      </c>
      <c r="AQ736" t="s">
        <v>74</v>
      </c>
      <c r="AR736" t="s">
        <v>1372</v>
      </c>
      <c r="AS736" t="s">
        <v>1373</v>
      </c>
      <c r="AT736" t="s">
        <v>11250</v>
      </c>
      <c r="AU736">
        <v>2020</v>
      </c>
      <c r="AV736">
        <v>26</v>
      </c>
      <c r="AW736">
        <v>5</v>
      </c>
      <c r="AX736" t="s">
        <v>74</v>
      </c>
      <c r="AY736" t="s">
        <v>74</v>
      </c>
      <c r="AZ736" t="s">
        <v>74</v>
      </c>
      <c r="BA736" t="s">
        <v>74</v>
      </c>
      <c r="BB736">
        <v>2750</v>
      </c>
      <c r="BC736">
        <v>2755</v>
      </c>
      <c r="BD736" t="s">
        <v>74</v>
      </c>
      <c r="BE736" t="s">
        <v>14497</v>
      </c>
      <c r="BF736" t="str">
        <f>HYPERLINK("http://dx.doi.org/10.1111/gcb.15055","http://dx.doi.org/10.1111/gcb.15055")</f>
        <v>http://dx.doi.org/10.1111/gcb.15055</v>
      </c>
      <c r="BG736" t="s">
        <v>74</v>
      </c>
      <c r="BH736" t="s">
        <v>74</v>
      </c>
      <c r="BI736">
        <v>6</v>
      </c>
      <c r="BJ736" t="s">
        <v>1375</v>
      </c>
      <c r="BK736" t="s">
        <v>102</v>
      </c>
      <c r="BL736" t="s">
        <v>1005</v>
      </c>
      <c r="BM736" t="s">
        <v>14498</v>
      </c>
      <c r="BN736">
        <v>32108972</v>
      </c>
      <c r="BO736" t="s">
        <v>4515</v>
      </c>
      <c r="BP736" t="s">
        <v>74</v>
      </c>
      <c r="BQ736" t="s">
        <v>74</v>
      </c>
      <c r="BR736" t="s">
        <v>106</v>
      </c>
      <c r="BS736" t="s">
        <v>14499</v>
      </c>
      <c r="BT736" t="str">
        <f>HYPERLINK("https%3A%2F%2Fwww.webofscience.com%2Fwos%2Fwoscc%2Ffull-record%2FWOS:000526102300005","View Full Record in Web of Science")</f>
        <v>View Full Record in Web of Science</v>
      </c>
    </row>
    <row r="737" spans="1:72" x14ac:dyDescent="0.15">
      <c r="A737" t="s">
        <v>72</v>
      </c>
      <c r="B737" t="s">
        <v>14500</v>
      </c>
      <c r="C737" t="s">
        <v>74</v>
      </c>
      <c r="D737" t="s">
        <v>74</v>
      </c>
      <c r="E737" t="s">
        <v>74</v>
      </c>
      <c r="F737" t="s">
        <v>14501</v>
      </c>
      <c r="G737" t="s">
        <v>74</v>
      </c>
      <c r="H737" t="s">
        <v>74</v>
      </c>
      <c r="I737" t="s">
        <v>14502</v>
      </c>
      <c r="J737" t="s">
        <v>14503</v>
      </c>
      <c r="K737" t="s">
        <v>74</v>
      </c>
      <c r="L737" t="s">
        <v>74</v>
      </c>
      <c r="M737" t="s">
        <v>78</v>
      </c>
      <c r="N737" t="s">
        <v>79</v>
      </c>
      <c r="O737" t="s">
        <v>74</v>
      </c>
      <c r="P737" t="s">
        <v>74</v>
      </c>
      <c r="Q737" t="s">
        <v>74</v>
      </c>
      <c r="R737" t="s">
        <v>74</v>
      </c>
      <c r="S737" t="s">
        <v>74</v>
      </c>
      <c r="T737" t="s">
        <v>14504</v>
      </c>
      <c r="U737" t="s">
        <v>14505</v>
      </c>
      <c r="V737" t="s">
        <v>14506</v>
      </c>
      <c r="W737" t="s">
        <v>14507</v>
      </c>
      <c r="X737" t="s">
        <v>14508</v>
      </c>
      <c r="Y737" t="s">
        <v>14509</v>
      </c>
      <c r="Z737" t="s">
        <v>14510</v>
      </c>
      <c r="AA737" t="s">
        <v>14511</v>
      </c>
      <c r="AB737" t="s">
        <v>14512</v>
      </c>
      <c r="AC737" t="s">
        <v>14513</v>
      </c>
      <c r="AD737" t="s">
        <v>14514</v>
      </c>
      <c r="AE737" t="s">
        <v>14515</v>
      </c>
      <c r="AF737" t="s">
        <v>74</v>
      </c>
      <c r="AG737">
        <v>43</v>
      </c>
      <c r="AH737">
        <v>11</v>
      </c>
      <c r="AI737">
        <v>11</v>
      </c>
      <c r="AJ737">
        <v>0</v>
      </c>
      <c r="AK737">
        <v>7</v>
      </c>
      <c r="AL737" t="s">
        <v>92</v>
      </c>
      <c r="AM737" t="s">
        <v>93</v>
      </c>
      <c r="AN737" t="s">
        <v>94</v>
      </c>
      <c r="AO737" t="s">
        <v>14516</v>
      </c>
      <c r="AP737" t="s">
        <v>14517</v>
      </c>
      <c r="AQ737" t="s">
        <v>74</v>
      </c>
      <c r="AR737" t="s">
        <v>14518</v>
      </c>
      <c r="AS737" t="s">
        <v>14519</v>
      </c>
      <c r="AT737" t="s">
        <v>11250</v>
      </c>
      <c r="AU737">
        <v>2020</v>
      </c>
      <c r="AV737">
        <v>201</v>
      </c>
      <c r="AW737" t="s">
        <v>74</v>
      </c>
      <c r="AX737" t="s">
        <v>74</v>
      </c>
      <c r="AY737" t="s">
        <v>74</v>
      </c>
      <c r="AZ737" t="s">
        <v>74</v>
      </c>
      <c r="BA737" t="s">
        <v>74</v>
      </c>
      <c r="BB737" t="s">
        <v>74</v>
      </c>
      <c r="BC737" t="s">
        <v>74</v>
      </c>
      <c r="BD737">
        <v>105231</v>
      </c>
      <c r="BE737" t="s">
        <v>14520</v>
      </c>
      <c r="BF737" t="str">
        <f>HYPERLINK("http://dx.doi.org/10.1016/j.jastp.2020.105231","http://dx.doi.org/10.1016/j.jastp.2020.105231")</f>
        <v>http://dx.doi.org/10.1016/j.jastp.2020.105231</v>
      </c>
      <c r="BG737" t="s">
        <v>74</v>
      </c>
      <c r="BH737" t="s">
        <v>74</v>
      </c>
      <c r="BI737">
        <v>11</v>
      </c>
      <c r="BJ737" t="s">
        <v>3424</v>
      </c>
      <c r="BK737" t="s">
        <v>102</v>
      </c>
      <c r="BL737" t="s">
        <v>3424</v>
      </c>
      <c r="BM737" t="s">
        <v>14521</v>
      </c>
      <c r="BN737" t="s">
        <v>74</v>
      </c>
      <c r="BO737" t="s">
        <v>74</v>
      </c>
      <c r="BP737" t="s">
        <v>74</v>
      </c>
      <c r="BQ737" t="s">
        <v>74</v>
      </c>
      <c r="BR737" t="s">
        <v>106</v>
      </c>
      <c r="BS737" t="s">
        <v>14522</v>
      </c>
      <c r="BT737" t="str">
        <f>HYPERLINK("https%3A%2F%2Fwww.webofscience.com%2Fwos%2Fwoscc%2Ffull-record%2FWOS:000525858900007","View Full Record in Web of Science")</f>
        <v>View Full Record in Web of Science</v>
      </c>
    </row>
    <row r="738" spans="1:72" x14ac:dyDescent="0.15">
      <c r="A738" t="s">
        <v>72</v>
      </c>
      <c r="B738" t="s">
        <v>14523</v>
      </c>
      <c r="C738" t="s">
        <v>74</v>
      </c>
      <c r="D738" t="s">
        <v>74</v>
      </c>
      <c r="E738" t="s">
        <v>74</v>
      </c>
      <c r="F738" t="s">
        <v>14524</v>
      </c>
      <c r="G738" t="s">
        <v>74</v>
      </c>
      <c r="H738" t="s">
        <v>74</v>
      </c>
      <c r="I738" t="s">
        <v>14525</v>
      </c>
      <c r="J738" t="s">
        <v>14526</v>
      </c>
      <c r="K738" t="s">
        <v>74</v>
      </c>
      <c r="L738" t="s">
        <v>74</v>
      </c>
      <c r="M738" t="s">
        <v>78</v>
      </c>
      <c r="N738" t="s">
        <v>245</v>
      </c>
      <c r="O738" t="s">
        <v>74</v>
      </c>
      <c r="P738" t="s">
        <v>74</v>
      </c>
      <c r="Q738" t="s">
        <v>74</v>
      </c>
      <c r="R738" t="s">
        <v>74</v>
      </c>
      <c r="S738" t="s">
        <v>74</v>
      </c>
      <c r="T738" t="s">
        <v>14527</v>
      </c>
      <c r="U738" t="s">
        <v>14528</v>
      </c>
      <c r="V738" t="s">
        <v>14529</v>
      </c>
      <c r="W738" t="s">
        <v>14530</v>
      </c>
      <c r="X738" t="s">
        <v>14531</v>
      </c>
      <c r="Y738" t="s">
        <v>14532</v>
      </c>
      <c r="Z738" t="s">
        <v>14533</v>
      </c>
      <c r="AA738" t="s">
        <v>14534</v>
      </c>
      <c r="AB738" t="s">
        <v>14535</v>
      </c>
      <c r="AC738" t="s">
        <v>14536</v>
      </c>
      <c r="AD738" t="s">
        <v>14537</v>
      </c>
      <c r="AE738" t="s">
        <v>14538</v>
      </c>
      <c r="AF738" t="s">
        <v>74</v>
      </c>
      <c r="AG738">
        <v>54</v>
      </c>
      <c r="AH738">
        <v>8</v>
      </c>
      <c r="AI738">
        <v>8</v>
      </c>
      <c r="AJ738">
        <v>1</v>
      </c>
      <c r="AK738">
        <v>14</v>
      </c>
      <c r="AL738" t="s">
        <v>92</v>
      </c>
      <c r="AM738" t="s">
        <v>93</v>
      </c>
      <c r="AN738" t="s">
        <v>94</v>
      </c>
      <c r="AO738" t="s">
        <v>14539</v>
      </c>
      <c r="AP738" t="s">
        <v>14540</v>
      </c>
      <c r="AQ738" t="s">
        <v>74</v>
      </c>
      <c r="AR738" t="s">
        <v>14541</v>
      </c>
      <c r="AS738" t="s">
        <v>14542</v>
      </c>
      <c r="AT738" t="s">
        <v>11250</v>
      </c>
      <c r="AU738">
        <v>2020</v>
      </c>
      <c r="AV738">
        <v>246</v>
      </c>
      <c r="AW738" t="s">
        <v>74</v>
      </c>
      <c r="AX738" t="s">
        <v>74</v>
      </c>
      <c r="AY738" t="s">
        <v>74</v>
      </c>
      <c r="AZ738" t="s">
        <v>74</v>
      </c>
      <c r="BA738" t="s">
        <v>74</v>
      </c>
      <c r="BB738" t="s">
        <v>74</v>
      </c>
      <c r="BC738" t="s">
        <v>74</v>
      </c>
      <c r="BD738">
        <v>106927</v>
      </c>
      <c r="BE738" t="s">
        <v>14543</v>
      </c>
      <c r="BF738" t="str">
        <f>HYPERLINK("http://dx.doi.org/10.1016/j.jqsrt.2020.106927","http://dx.doi.org/10.1016/j.jqsrt.2020.106927")</f>
        <v>http://dx.doi.org/10.1016/j.jqsrt.2020.106927</v>
      </c>
      <c r="BG738" t="s">
        <v>74</v>
      </c>
      <c r="BH738" t="s">
        <v>74</v>
      </c>
      <c r="BI738">
        <v>11</v>
      </c>
      <c r="BJ738" t="s">
        <v>14544</v>
      </c>
      <c r="BK738" t="s">
        <v>102</v>
      </c>
      <c r="BL738" t="s">
        <v>14544</v>
      </c>
      <c r="BM738" t="s">
        <v>14545</v>
      </c>
      <c r="BN738" t="s">
        <v>74</v>
      </c>
      <c r="BO738" t="s">
        <v>74</v>
      </c>
      <c r="BP738" t="s">
        <v>74</v>
      </c>
      <c r="BQ738" t="s">
        <v>74</v>
      </c>
      <c r="BR738" t="s">
        <v>106</v>
      </c>
      <c r="BS738" t="s">
        <v>14546</v>
      </c>
      <c r="BT738" t="str">
        <f>HYPERLINK("https%3A%2F%2Fwww.webofscience.com%2Fwos%2Fwoscc%2Ffull-record%2FWOS:000525420800021","View Full Record in Web of Science")</f>
        <v>View Full Record in Web of Science</v>
      </c>
    </row>
    <row r="739" spans="1:72" x14ac:dyDescent="0.15">
      <c r="A739" t="s">
        <v>72</v>
      </c>
      <c r="B739" t="s">
        <v>14547</v>
      </c>
      <c r="C739" t="s">
        <v>74</v>
      </c>
      <c r="D739" t="s">
        <v>74</v>
      </c>
      <c r="E739" t="s">
        <v>74</v>
      </c>
      <c r="F739" t="s">
        <v>14548</v>
      </c>
      <c r="G739" t="s">
        <v>74</v>
      </c>
      <c r="H739" t="s">
        <v>74</v>
      </c>
      <c r="I739" t="s">
        <v>14549</v>
      </c>
      <c r="J739" t="s">
        <v>14550</v>
      </c>
      <c r="K739" t="s">
        <v>74</v>
      </c>
      <c r="L739" t="s">
        <v>74</v>
      </c>
      <c r="M739" t="s">
        <v>78</v>
      </c>
      <c r="N739" t="s">
        <v>79</v>
      </c>
      <c r="O739" t="s">
        <v>74</v>
      </c>
      <c r="P739" t="s">
        <v>74</v>
      </c>
      <c r="Q739" t="s">
        <v>74</v>
      </c>
      <c r="R739" t="s">
        <v>74</v>
      </c>
      <c r="S739" t="s">
        <v>74</v>
      </c>
      <c r="T739" t="s">
        <v>14551</v>
      </c>
      <c r="U739" t="s">
        <v>14552</v>
      </c>
      <c r="V739" t="s">
        <v>14553</v>
      </c>
      <c r="W739" t="s">
        <v>14554</v>
      </c>
      <c r="X739" t="s">
        <v>14555</v>
      </c>
      <c r="Y739" t="s">
        <v>14556</v>
      </c>
      <c r="Z739" t="s">
        <v>14557</v>
      </c>
      <c r="AA739" t="s">
        <v>14558</v>
      </c>
      <c r="AB739" t="s">
        <v>14559</v>
      </c>
      <c r="AC739" t="s">
        <v>14560</v>
      </c>
      <c r="AD739" t="s">
        <v>14561</v>
      </c>
      <c r="AE739" t="s">
        <v>14562</v>
      </c>
      <c r="AF739" t="s">
        <v>74</v>
      </c>
      <c r="AG739">
        <v>75</v>
      </c>
      <c r="AH739">
        <v>4</v>
      </c>
      <c r="AI739">
        <v>6</v>
      </c>
      <c r="AJ739">
        <v>1</v>
      </c>
      <c r="AK739">
        <v>17</v>
      </c>
      <c r="AL739" t="s">
        <v>14563</v>
      </c>
      <c r="AM739" t="s">
        <v>4719</v>
      </c>
      <c r="AN739" t="s">
        <v>4720</v>
      </c>
      <c r="AO739" t="s">
        <v>14564</v>
      </c>
      <c r="AP739" t="s">
        <v>14565</v>
      </c>
      <c r="AQ739" t="s">
        <v>74</v>
      </c>
      <c r="AR739" t="s">
        <v>14566</v>
      </c>
      <c r="AS739" t="s">
        <v>14567</v>
      </c>
      <c r="AT739" t="s">
        <v>11250</v>
      </c>
      <c r="AU739">
        <v>2020</v>
      </c>
      <c r="AV739">
        <v>159</v>
      </c>
      <c r="AW739">
        <v>5</v>
      </c>
      <c r="AX739" t="s">
        <v>74</v>
      </c>
      <c r="AY739" t="s">
        <v>74</v>
      </c>
      <c r="AZ739" t="s">
        <v>74</v>
      </c>
      <c r="BA739" t="s">
        <v>74</v>
      </c>
      <c r="BB739" t="s">
        <v>74</v>
      </c>
      <c r="BC739" t="s">
        <v>74</v>
      </c>
      <c r="BD739">
        <v>201</v>
      </c>
      <c r="BE739" t="s">
        <v>14568</v>
      </c>
      <c r="BF739" t="str">
        <f>HYPERLINK("http://dx.doi.org/10.3847/1538-3881/ab7ea8","http://dx.doi.org/10.3847/1538-3881/ab7ea8")</f>
        <v>http://dx.doi.org/10.3847/1538-3881/ab7ea8</v>
      </c>
      <c r="BG739" t="s">
        <v>74</v>
      </c>
      <c r="BH739" t="s">
        <v>74</v>
      </c>
      <c r="BI739">
        <v>12</v>
      </c>
      <c r="BJ739" t="s">
        <v>774</v>
      </c>
      <c r="BK739" t="s">
        <v>102</v>
      </c>
      <c r="BL739" t="s">
        <v>774</v>
      </c>
      <c r="BM739" t="s">
        <v>14569</v>
      </c>
      <c r="BN739" t="s">
        <v>74</v>
      </c>
      <c r="BO739" t="s">
        <v>1657</v>
      </c>
      <c r="BP739" t="s">
        <v>74</v>
      </c>
      <c r="BQ739" t="s">
        <v>74</v>
      </c>
      <c r="BR739" t="s">
        <v>106</v>
      </c>
      <c r="BS739" t="s">
        <v>14570</v>
      </c>
      <c r="BT739" t="str">
        <f>HYPERLINK("https%3A%2F%2Fwww.webofscience.com%2Fwos%2Fwoscc%2Ffull-record%2FWOS:000525678000001","View Full Record in Web of Science")</f>
        <v>View Full Record in Web of Science</v>
      </c>
    </row>
    <row r="740" spans="1:72" x14ac:dyDescent="0.15">
      <c r="A740" t="s">
        <v>72</v>
      </c>
      <c r="B740" t="s">
        <v>14571</v>
      </c>
      <c r="C740" t="s">
        <v>74</v>
      </c>
      <c r="D740" t="s">
        <v>74</v>
      </c>
      <c r="E740" t="s">
        <v>74</v>
      </c>
      <c r="F740" t="s">
        <v>14572</v>
      </c>
      <c r="G740" t="s">
        <v>74</v>
      </c>
      <c r="H740" t="s">
        <v>74</v>
      </c>
      <c r="I740" t="s">
        <v>14573</v>
      </c>
      <c r="J740" t="s">
        <v>412</v>
      </c>
      <c r="K740" t="s">
        <v>74</v>
      </c>
      <c r="L740" t="s">
        <v>74</v>
      </c>
      <c r="M740" t="s">
        <v>78</v>
      </c>
      <c r="N740" t="s">
        <v>79</v>
      </c>
      <c r="O740" t="s">
        <v>74</v>
      </c>
      <c r="P740" t="s">
        <v>74</v>
      </c>
      <c r="Q740" t="s">
        <v>74</v>
      </c>
      <c r="R740" t="s">
        <v>74</v>
      </c>
      <c r="S740" t="s">
        <v>74</v>
      </c>
      <c r="T740" t="s">
        <v>14574</v>
      </c>
      <c r="U740" t="s">
        <v>14575</v>
      </c>
      <c r="V740" t="s">
        <v>14576</v>
      </c>
      <c r="W740" t="s">
        <v>14577</v>
      </c>
      <c r="X740" t="s">
        <v>14578</v>
      </c>
      <c r="Y740" t="s">
        <v>14579</v>
      </c>
      <c r="Z740" t="s">
        <v>14580</v>
      </c>
      <c r="AA740" t="s">
        <v>14581</v>
      </c>
      <c r="AB740" t="s">
        <v>14582</v>
      </c>
      <c r="AC740" t="s">
        <v>14583</v>
      </c>
      <c r="AD740" t="s">
        <v>14584</v>
      </c>
      <c r="AE740" t="s">
        <v>14585</v>
      </c>
      <c r="AF740" t="s">
        <v>74</v>
      </c>
      <c r="AG740">
        <v>76</v>
      </c>
      <c r="AH740">
        <v>19</v>
      </c>
      <c r="AI740">
        <v>19</v>
      </c>
      <c r="AJ740">
        <v>0</v>
      </c>
      <c r="AK740">
        <v>8</v>
      </c>
      <c r="AL740" t="s">
        <v>92</v>
      </c>
      <c r="AM740" t="s">
        <v>93</v>
      </c>
      <c r="AN740" t="s">
        <v>94</v>
      </c>
      <c r="AO740" t="s">
        <v>425</v>
      </c>
      <c r="AP740" t="s">
        <v>426</v>
      </c>
      <c r="AQ740" t="s">
        <v>74</v>
      </c>
      <c r="AR740" t="s">
        <v>427</v>
      </c>
      <c r="AS740" t="s">
        <v>428</v>
      </c>
      <c r="AT740" t="s">
        <v>13776</v>
      </c>
      <c r="AU740">
        <v>2020</v>
      </c>
      <c r="AV740">
        <v>276</v>
      </c>
      <c r="AW740" t="s">
        <v>74</v>
      </c>
      <c r="AX740" t="s">
        <v>74</v>
      </c>
      <c r="AY740" t="s">
        <v>74</v>
      </c>
      <c r="AZ740" t="s">
        <v>74</v>
      </c>
      <c r="BA740" t="s">
        <v>74</v>
      </c>
      <c r="BB740">
        <v>363</v>
      </c>
      <c r="BC740">
        <v>383</v>
      </c>
      <c r="BD740" t="s">
        <v>74</v>
      </c>
      <c r="BE740" t="s">
        <v>14586</v>
      </c>
      <c r="BF740" t="str">
        <f>HYPERLINK("http://dx.doi.org/10.1016/j.gca.2020.03.009","http://dx.doi.org/10.1016/j.gca.2020.03.009")</f>
        <v>http://dx.doi.org/10.1016/j.gca.2020.03.009</v>
      </c>
      <c r="BG740" t="s">
        <v>74</v>
      </c>
      <c r="BH740" t="s">
        <v>74</v>
      </c>
      <c r="BI740">
        <v>21</v>
      </c>
      <c r="BJ740" t="s">
        <v>131</v>
      </c>
      <c r="BK740" t="s">
        <v>102</v>
      </c>
      <c r="BL740" t="s">
        <v>131</v>
      </c>
      <c r="BM740" t="s">
        <v>14587</v>
      </c>
      <c r="BN740" t="s">
        <v>74</v>
      </c>
      <c r="BO740" t="s">
        <v>14588</v>
      </c>
      <c r="BP740" t="s">
        <v>74</v>
      </c>
      <c r="BQ740" t="s">
        <v>74</v>
      </c>
      <c r="BR740" t="s">
        <v>106</v>
      </c>
      <c r="BS740" t="s">
        <v>14589</v>
      </c>
      <c r="BT740" t="str">
        <f>HYPERLINK("https%3A%2F%2Fwww.webofscience.com%2Fwos%2Fwoscc%2Ffull-record%2FWOS:000525416100022","View Full Record in Web of Science")</f>
        <v>View Full Record in Web of Science</v>
      </c>
    </row>
    <row r="741" spans="1:72" x14ac:dyDescent="0.15">
      <c r="A741" t="s">
        <v>72</v>
      </c>
      <c r="B741" t="s">
        <v>14590</v>
      </c>
      <c r="C741" t="s">
        <v>74</v>
      </c>
      <c r="D741" t="s">
        <v>74</v>
      </c>
      <c r="E741" t="s">
        <v>74</v>
      </c>
      <c r="F741" t="s">
        <v>14591</v>
      </c>
      <c r="G741" t="s">
        <v>74</v>
      </c>
      <c r="H741" t="s">
        <v>74</v>
      </c>
      <c r="I741" t="s">
        <v>14592</v>
      </c>
      <c r="J741" t="s">
        <v>14593</v>
      </c>
      <c r="K741" t="s">
        <v>74</v>
      </c>
      <c r="L741" t="s">
        <v>74</v>
      </c>
      <c r="M741" t="s">
        <v>78</v>
      </c>
      <c r="N741" t="s">
        <v>79</v>
      </c>
      <c r="O741" t="s">
        <v>74</v>
      </c>
      <c r="P741" t="s">
        <v>74</v>
      </c>
      <c r="Q741" t="s">
        <v>74</v>
      </c>
      <c r="R741" t="s">
        <v>74</v>
      </c>
      <c r="S741" t="s">
        <v>74</v>
      </c>
      <c r="T741" t="s">
        <v>14594</v>
      </c>
      <c r="U741" t="s">
        <v>14595</v>
      </c>
      <c r="V741" t="s">
        <v>14596</v>
      </c>
      <c r="W741" t="s">
        <v>14597</v>
      </c>
      <c r="X741" t="s">
        <v>14598</v>
      </c>
      <c r="Y741" t="s">
        <v>14599</v>
      </c>
      <c r="Z741" t="s">
        <v>14600</v>
      </c>
      <c r="AA741" t="s">
        <v>14601</v>
      </c>
      <c r="AB741" t="s">
        <v>14602</v>
      </c>
      <c r="AC741" t="s">
        <v>14603</v>
      </c>
      <c r="AD741" t="s">
        <v>14604</v>
      </c>
      <c r="AE741" t="s">
        <v>14605</v>
      </c>
      <c r="AF741" t="s">
        <v>74</v>
      </c>
      <c r="AG741">
        <v>35</v>
      </c>
      <c r="AH741">
        <v>1</v>
      </c>
      <c r="AI741">
        <v>1</v>
      </c>
      <c r="AJ741">
        <v>0</v>
      </c>
      <c r="AK741">
        <v>13</v>
      </c>
      <c r="AL741" t="s">
        <v>549</v>
      </c>
      <c r="AM741" t="s">
        <v>550</v>
      </c>
      <c r="AN741" t="s">
        <v>551</v>
      </c>
      <c r="AO741" t="s">
        <v>14606</v>
      </c>
      <c r="AP741" t="s">
        <v>14607</v>
      </c>
      <c r="AQ741" t="s">
        <v>74</v>
      </c>
      <c r="AR741" t="s">
        <v>14608</v>
      </c>
      <c r="AS741" t="s">
        <v>14609</v>
      </c>
      <c r="AT741" t="s">
        <v>11250</v>
      </c>
      <c r="AU741">
        <v>2020</v>
      </c>
      <c r="AV741">
        <v>88</v>
      </c>
      <c r="AW741" t="s">
        <v>74</v>
      </c>
      <c r="AX741" t="s">
        <v>74</v>
      </c>
      <c r="AY741" t="s">
        <v>74</v>
      </c>
      <c r="AZ741" t="s">
        <v>74</v>
      </c>
      <c r="BA741" t="s">
        <v>74</v>
      </c>
      <c r="BB741" t="s">
        <v>74</v>
      </c>
      <c r="BC741" t="s">
        <v>74</v>
      </c>
      <c r="BD741">
        <v>103430</v>
      </c>
      <c r="BE741" t="s">
        <v>14610</v>
      </c>
      <c r="BF741" t="str">
        <f>HYPERLINK("http://dx.doi.org/10.1016/j.jfca.2020.103430","http://dx.doi.org/10.1016/j.jfca.2020.103430")</f>
        <v>http://dx.doi.org/10.1016/j.jfca.2020.103430</v>
      </c>
      <c r="BG741" t="s">
        <v>74</v>
      </c>
      <c r="BH741" t="s">
        <v>74</v>
      </c>
      <c r="BI741">
        <v>7</v>
      </c>
      <c r="BJ741" t="s">
        <v>11664</v>
      </c>
      <c r="BK741" t="s">
        <v>102</v>
      </c>
      <c r="BL741" t="s">
        <v>11665</v>
      </c>
      <c r="BM741" t="s">
        <v>14611</v>
      </c>
      <c r="BN741" t="s">
        <v>74</v>
      </c>
      <c r="BO741" t="s">
        <v>74</v>
      </c>
      <c r="BP741" t="s">
        <v>74</v>
      </c>
      <c r="BQ741" t="s">
        <v>74</v>
      </c>
      <c r="BR741" t="s">
        <v>106</v>
      </c>
      <c r="BS741" t="s">
        <v>14612</v>
      </c>
      <c r="BT741" t="str">
        <f>HYPERLINK("https%3A%2F%2Fwww.webofscience.com%2Fwos%2Fwoscc%2Ffull-record%2FWOS:000525346100020","View Full Record in Web of Science")</f>
        <v>View Full Record in Web of Science</v>
      </c>
    </row>
    <row r="742" spans="1:72" x14ac:dyDescent="0.15">
      <c r="A742" t="s">
        <v>72</v>
      </c>
      <c r="B742" t="s">
        <v>14613</v>
      </c>
      <c r="C742" t="s">
        <v>74</v>
      </c>
      <c r="D742" t="s">
        <v>74</v>
      </c>
      <c r="E742" t="s">
        <v>74</v>
      </c>
      <c r="F742" t="s">
        <v>14614</v>
      </c>
      <c r="G742" t="s">
        <v>74</v>
      </c>
      <c r="H742" t="s">
        <v>74</v>
      </c>
      <c r="I742" t="s">
        <v>14615</v>
      </c>
      <c r="J742" t="s">
        <v>14616</v>
      </c>
      <c r="K742" t="s">
        <v>74</v>
      </c>
      <c r="L742" t="s">
        <v>74</v>
      </c>
      <c r="M742" t="s">
        <v>78</v>
      </c>
      <c r="N742" t="s">
        <v>79</v>
      </c>
      <c r="O742" t="s">
        <v>74</v>
      </c>
      <c r="P742" t="s">
        <v>74</v>
      </c>
      <c r="Q742" t="s">
        <v>74</v>
      </c>
      <c r="R742" t="s">
        <v>74</v>
      </c>
      <c r="S742" t="s">
        <v>74</v>
      </c>
      <c r="T742" t="s">
        <v>14617</v>
      </c>
      <c r="U742" t="s">
        <v>14618</v>
      </c>
      <c r="V742" t="s">
        <v>14619</v>
      </c>
      <c r="W742" t="s">
        <v>14620</v>
      </c>
      <c r="X742" t="s">
        <v>14621</v>
      </c>
      <c r="Y742" t="s">
        <v>14622</v>
      </c>
      <c r="Z742" t="s">
        <v>14623</v>
      </c>
      <c r="AA742" t="s">
        <v>14624</v>
      </c>
      <c r="AB742" t="s">
        <v>14625</v>
      </c>
      <c r="AC742" t="s">
        <v>14626</v>
      </c>
      <c r="AD742" t="s">
        <v>14627</v>
      </c>
      <c r="AE742" t="s">
        <v>14628</v>
      </c>
      <c r="AF742" t="s">
        <v>74</v>
      </c>
      <c r="AG742">
        <v>59</v>
      </c>
      <c r="AH742">
        <v>19</v>
      </c>
      <c r="AI742">
        <v>19</v>
      </c>
      <c r="AJ742">
        <v>1</v>
      </c>
      <c r="AK742">
        <v>24</v>
      </c>
      <c r="AL742" t="s">
        <v>944</v>
      </c>
      <c r="AM742" t="s">
        <v>945</v>
      </c>
      <c r="AN742" t="s">
        <v>946</v>
      </c>
      <c r="AO742" t="s">
        <v>14629</v>
      </c>
      <c r="AP742" t="s">
        <v>14630</v>
      </c>
      <c r="AQ742" t="s">
        <v>74</v>
      </c>
      <c r="AR742" t="s">
        <v>14631</v>
      </c>
      <c r="AS742" t="s">
        <v>14632</v>
      </c>
      <c r="AT742" t="s">
        <v>11250</v>
      </c>
      <c r="AU742">
        <v>2020</v>
      </c>
      <c r="AV742">
        <v>100</v>
      </c>
      <c r="AW742" t="s">
        <v>74</v>
      </c>
      <c r="AX742" t="s">
        <v>74</v>
      </c>
      <c r="AY742" t="s">
        <v>74</v>
      </c>
      <c r="AZ742" t="s">
        <v>74</v>
      </c>
      <c r="BA742" t="s">
        <v>74</v>
      </c>
      <c r="BB742">
        <v>334</v>
      </c>
      <c r="BC742">
        <v>344</v>
      </c>
      <c r="BD742" t="s">
        <v>74</v>
      </c>
      <c r="BE742" t="s">
        <v>14633</v>
      </c>
      <c r="BF742" t="str">
        <f>HYPERLINK("http://dx.doi.org/10.1016/j.fsi.2020.03.020","http://dx.doi.org/10.1016/j.fsi.2020.03.020")</f>
        <v>http://dx.doi.org/10.1016/j.fsi.2020.03.020</v>
      </c>
      <c r="BG742" t="s">
        <v>74</v>
      </c>
      <c r="BH742" t="s">
        <v>74</v>
      </c>
      <c r="BI742">
        <v>11</v>
      </c>
      <c r="BJ742" t="s">
        <v>14634</v>
      </c>
      <c r="BK742" t="s">
        <v>102</v>
      </c>
      <c r="BL742" t="s">
        <v>14634</v>
      </c>
      <c r="BM742" t="s">
        <v>14635</v>
      </c>
      <c r="BN742">
        <v>32173449</v>
      </c>
      <c r="BO742" t="s">
        <v>74</v>
      </c>
      <c r="BP742" t="s">
        <v>74</v>
      </c>
      <c r="BQ742" t="s">
        <v>74</v>
      </c>
      <c r="BR742" t="s">
        <v>106</v>
      </c>
      <c r="BS742" t="s">
        <v>14636</v>
      </c>
      <c r="BT742" t="str">
        <f>HYPERLINK("https%3A%2F%2Fwww.webofscience.com%2Fwos%2Fwoscc%2Ffull-record%2FWOS:000523603600036","View Full Record in Web of Science")</f>
        <v>View Full Record in Web of Science</v>
      </c>
    </row>
    <row r="743" spans="1:72" x14ac:dyDescent="0.15">
      <c r="A743" t="s">
        <v>72</v>
      </c>
      <c r="B743" t="s">
        <v>14637</v>
      </c>
      <c r="C743" t="s">
        <v>74</v>
      </c>
      <c r="D743" t="s">
        <v>74</v>
      </c>
      <c r="E743" t="s">
        <v>74</v>
      </c>
      <c r="F743" t="s">
        <v>14638</v>
      </c>
      <c r="G743" t="s">
        <v>74</v>
      </c>
      <c r="H743" t="s">
        <v>74</v>
      </c>
      <c r="I743" t="s">
        <v>14639</v>
      </c>
      <c r="J743" t="s">
        <v>453</v>
      </c>
      <c r="K743" t="s">
        <v>74</v>
      </c>
      <c r="L743" t="s">
        <v>74</v>
      </c>
      <c r="M743" t="s">
        <v>78</v>
      </c>
      <c r="N743" t="s">
        <v>79</v>
      </c>
      <c r="O743" t="s">
        <v>74</v>
      </c>
      <c r="P743" t="s">
        <v>74</v>
      </c>
      <c r="Q743" t="s">
        <v>74</v>
      </c>
      <c r="R743" t="s">
        <v>74</v>
      </c>
      <c r="S743" t="s">
        <v>74</v>
      </c>
      <c r="T743" t="s">
        <v>74</v>
      </c>
      <c r="U743" t="s">
        <v>14640</v>
      </c>
      <c r="V743" t="s">
        <v>14641</v>
      </c>
      <c r="W743" t="s">
        <v>14642</v>
      </c>
      <c r="X743" t="s">
        <v>14643</v>
      </c>
      <c r="Y743" t="s">
        <v>14644</v>
      </c>
      <c r="Z743" t="s">
        <v>14645</v>
      </c>
      <c r="AA743" t="s">
        <v>14646</v>
      </c>
      <c r="AB743" t="s">
        <v>14647</v>
      </c>
      <c r="AC743" t="s">
        <v>14648</v>
      </c>
      <c r="AD743" t="s">
        <v>14649</v>
      </c>
      <c r="AE743" t="s">
        <v>14650</v>
      </c>
      <c r="AF743" t="s">
        <v>74</v>
      </c>
      <c r="AG743">
        <v>150</v>
      </c>
      <c r="AH743">
        <v>22</v>
      </c>
      <c r="AI743">
        <v>22</v>
      </c>
      <c r="AJ743">
        <v>0</v>
      </c>
      <c r="AK743">
        <v>11</v>
      </c>
      <c r="AL743" t="s">
        <v>284</v>
      </c>
      <c r="AM743" t="s">
        <v>285</v>
      </c>
      <c r="AN743" t="s">
        <v>286</v>
      </c>
      <c r="AO743" t="s">
        <v>466</v>
      </c>
      <c r="AP743" t="s">
        <v>467</v>
      </c>
      <c r="AQ743" t="s">
        <v>74</v>
      </c>
      <c r="AR743" t="s">
        <v>468</v>
      </c>
      <c r="AS743" t="s">
        <v>469</v>
      </c>
      <c r="AT743" t="s">
        <v>11250</v>
      </c>
      <c r="AU743">
        <v>2020</v>
      </c>
      <c r="AV743">
        <v>81</v>
      </c>
      <c r="AW743" t="s">
        <v>74</v>
      </c>
      <c r="AX743" t="s">
        <v>74</v>
      </c>
      <c r="AY743" t="s">
        <v>74</v>
      </c>
      <c r="AZ743" t="s">
        <v>74</v>
      </c>
      <c r="BA743" t="s">
        <v>74</v>
      </c>
      <c r="BB743">
        <v>1</v>
      </c>
      <c r="BC743">
        <v>20</v>
      </c>
      <c r="BD743" t="s">
        <v>74</v>
      </c>
      <c r="BE743" t="s">
        <v>14651</v>
      </c>
      <c r="BF743" t="str">
        <f>HYPERLINK("http://dx.doi.org/10.1016/j.gr.2019.10.018","http://dx.doi.org/10.1016/j.gr.2019.10.018")</f>
        <v>http://dx.doi.org/10.1016/j.gr.2019.10.018</v>
      </c>
      <c r="BG743" t="s">
        <v>74</v>
      </c>
      <c r="BH743" t="s">
        <v>74</v>
      </c>
      <c r="BI743">
        <v>20</v>
      </c>
      <c r="BJ743" t="s">
        <v>471</v>
      </c>
      <c r="BK743" t="s">
        <v>102</v>
      </c>
      <c r="BL743" t="s">
        <v>472</v>
      </c>
      <c r="BM743" t="s">
        <v>14652</v>
      </c>
      <c r="BN743" t="s">
        <v>74</v>
      </c>
      <c r="BO743" t="s">
        <v>976</v>
      </c>
      <c r="BP743" t="s">
        <v>74</v>
      </c>
      <c r="BQ743" t="s">
        <v>74</v>
      </c>
      <c r="BR743" t="s">
        <v>106</v>
      </c>
      <c r="BS743" t="s">
        <v>14653</v>
      </c>
      <c r="BT743" t="str">
        <f>HYPERLINK("https%3A%2F%2Fwww.webofscience.com%2Fwos%2Fwoscc%2Ffull-record%2FWOS:000523559700001","View Full Record in Web of Science")</f>
        <v>View Full Record in Web of Science</v>
      </c>
    </row>
    <row r="744" spans="1:72" x14ac:dyDescent="0.15">
      <c r="A744" t="s">
        <v>72</v>
      </c>
      <c r="B744" t="s">
        <v>14654</v>
      </c>
      <c r="C744" t="s">
        <v>74</v>
      </c>
      <c r="D744" t="s">
        <v>74</v>
      </c>
      <c r="E744" t="s">
        <v>74</v>
      </c>
      <c r="F744" t="s">
        <v>14655</v>
      </c>
      <c r="G744" t="s">
        <v>74</v>
      </c>
      <c r="H744" t="s">
        <v>74</v>
      </c>
      <c r="I744" t="s">
        <v>14656</v>
      </c>
      <c r="J744" t="s">
        <v>7212</v>
      </c>
      <c r="K744" t="s">
        <v>74</v>
      </c>
      <c r="L744" t="s">
        <v>74</v>
      </c>
      <c r="M744" t="s">
        <v>78</v>
      </c>
      <c r="N744" t="s">
        <v>79</v>
      </c>
      <c r="O744" t="s">
        <v>74</v>
      </c>
      <c r="P744" t="s">
        <v>74</v>
      </c>
      <c r="Q744" t="s">
        <v>74</v>
      </c>
      <c r="R744" t="s">
        <v>74</v>
      </c>
      <c r="S744" t="s">
        <v>74</v>
      </c>
      <c r="T744" t="s">
        <v>14657</v>
      </c>
      <c r="U744" t="s">
        <v>14658</v>
      </c>
      <c r="V744" t="s">
        <v>14659</v>
      </c>
      <c r="W744" t="s">
        <v>14660</v>
      </c>
      <c r="X744" t="s">
        <v>14661</v>
      </c>
      <c r="Y744" t="s">
        <v>14662</v>
      </c>
      <c r="Z744" t="s">
        <v>14663</v>
      </c>
      <c r="AA744" t="s">
        <v>14664</v>
      </c>
      <c r="AB744" t="s">
        <v>14665</v>
      </c>
      <c r="AC744" t="s">
        <v>14666</v>
      </c>
      <c r="AD744" t="s">
        <v>14667</v>
      </c>
      <c r="AE744" t="s">
        <v>14668</v>
      </c>
      <c r="AF744" t="s">
        <v>74</v>
      </c>
      <c r="AG744">
        <v>139</v>
      </c>
      <c r="AH744">
        <v>10</v>
      </c>
      <c r="AI744">
        <v>12</v>
      </c>
      <c r="AJ744">
        <v>0</v>
      </c>
      <c r="AK744">
        <v>2</v>
      </c>
      <c r="AL744" t="s">
        <v>284</v>
      </c>
      <c r="AM744" t="s">
        <v>285</v>
      </c>
      <c r="AN744" t="s">
        <v>286</v>
      </c>
      <c r="AO744" t="s">
        <v>7225</v>
      </c>
      <c r="AP744" t="s">
        <v>7226</v>
      </c>
      <c r="AQ744" t="s">
        <v>74</v>
      </c>
      <c r="AR744" t="s">
        <v>7227</v>
      </c>
      <c r="AS744" t="s">
        <v>7228</v>
      </c>
      <c r="AT744" t="s">
        <v>11250</v>
      </c>
      <c r="AU744">
        <v>2020</v>
      </c>
      <c r="AV744">
        <v>340</v>
      </c>
      <c r="AW744" t="s">
        <v>74</v>
      </c>
      <c r="AX744" t="s">
        <v>74</v>
      </c>
      <c r="AY744" t="s">
        <v>74</v>
      </c>
      <c r="AZ744" t="s">
        <v>74</v>
      </c>
      <c r="BA744" t="s">
        <v>74</v>
      </c>
      <c r="BB744" t="s">
        <v>74</v>
      </c>
      <c r="BC744" t="s">
        <v>74</v>
      </c>
      <c r="BD744">
        <v>105646</v>
      </c>
      <c r="BE744" t="s">
        <v>14669</v>
      </c>
      <c r="BF744" t="str">
        <f>HYPERLINK("http://dx.doi.org/10.1016/j.precamres.2020.105646","http://dx.doi.org/10.1016/j.precamres.2020.105646")</f>
        <v>http://dx.doi.org/10.1016/j.precamres.2020.105646</v>
      </c>
      <c r="BG744" t="s">
        <v>74</v>
      </c>
      <c r="BH744" t="s">
        <v>74</v>
      </c>
      <c r="BI744">
        <v>19</v>
      </c>
      <c r="BJ744" t="s">
        <v>471</v>
      </c>
      <c r="BK744" t="s">
        <v>102</v>
      </c>
      <c r="BL744" t="s">
        <v>472</v>
      </c>
      <c r="BM744" t="s">
        <v>14670</v>
      </c>
      <c r="BN744" t="s">
        <v>74</v>
      </c>
      <c r="BO744" t="s">
        <v>74</v>
      </c>
      <c r="BP744" t="s">
        <v>74</v>
      </c>
      <c r="BQ744" t="s">
        <v>74</v>
      </c>
      <c r="BR744" t="s">
        <v>106</v>
      </c>
      <c r="BS744" t="s">
        <v>14671</v>
      </c>
      <c r="BT744" t="str">
        <f>HYPERLINK("https%3A%2F%2Fwww.webofscience.com%2Fwos%2Fwoscc%2Ffull-record%2FWOS:000521507700010","View Full Record in Web of Science")</f>
        <v>View Full Record in Web of Science</v>
      </c>
    </row>
    <row r="745" spans="1:72" x14ac:dyDescent="0.15">
      <c r="A745" t="s">
        <v>72</v>
      </c>
      <c r="B745" t="s">
        <v>14672</v>
      </c>
      <c r="C745" t="s">
        <v>74</v>
      </c>
      <c r="D745" t="s">
        <v>74</v>
      </c>
      <c r="E745" t="s">
        <v>74</v>
      </c>
      <c r="F745" t="s">
        <v>14673</v>
      </c>
      <c r="G745" t="s">
        <v>74</v>
      </c>
      <c r="H745" t="s">
        <v>74</v>
      </c>
      <c r="I745" t="s">
        <v>14674</v>
      </c>
      <c r="J745" t="s">
        <v>14675</v>
      </c>
      <c r="K745" t="s">
        <v>74</v>
      </c>
      <c r="L745" t="s">
        <v>74</v>
      </c>
      <c r="M745" t="s">
        <v>78</v>
      </c>
      <c r="N745" t="s">
        <v>79</v>
      </c>
      <c r="O745" t="s">
        <v>74</v>
      </c>
      <c r="P745" t="s">
        <v>74</v>
      </c>
      <c r="Q745" t="s">
        <v>74</v>
      </c>
      <c r="R745" t="s">
        <v>74</v>
      </c>
      <c r="S745" t="s">
        <v>74</v>
      </c>
      <c r="T745" t="s">
        <v>14676</v>
      </c>
      <c r="U745" t="s">
        <v>14677</v>
      </c>
      <c r="V745" t="s">
        <v>14678</v>
      </c>
      <c r="W745" t="s">
        <v>14679</v>
      </c>
      <c r="X745" t="s">
        <v>14680</v>
      </c>
      <c r="Y745" t="s">
        <v>14681</v>
      </c>
      <c r="Z745" t="s">
        <v>14682</v>
      </c>
      <c r="AA745" t="s">
        <v>14683</v>
      </c>
      <c r="AB745" t="s">
        <v>14684</v>
      </c>
      <c r="AC745" t="s">
        <v>14685</v>
      </c>
      <c r="AD745" t="s">
        <v>14686</v>
      </c>
      <c r="AE745" t="s">
        <v>14687</v>
      </c>
      <c r="AF745" t="s">
        <v>74</v>
      </c>
      <c r="AG745">
        <v>29</v>
      </c>
      <c r="AH745">
        <v>2</v>
      </c>
      <c r="AI745">
        <v>3</v>
      </c>
      <c r="AJ745">
        <v>0</v>
      </c>
      <c r="AK745">
        <v>7</v>
      </c>
      <c r="AL745" t="s">
        <v>10634</v>
      </c>
      <c r="AM745" t="s">
        <v>10635</v>
      </c>
      <c r="AN745" t="s">
        <v>10636</v>
      </c>
      <c r="AO745" t="s">
        <v>14688</v>
      </c>
      <c r="AP745" t="s">
        <v>14689</v>
      </c>
      <c r="AQ745" t="s">
        <v>74</v>
      </c>
      <c r="AR745" t="s">
        <v>14690</v>
      </c>
      <c r="AS745" t="s">
        <v>14691</v>
      </c>
      <c r="AT745" t="s">
        <v>13776</v>
      </c>
      <c r="AU745">
        <v>2020</v>
      </c>
      <c r="AV745">
        <v>146</v>
      </c>
      <c r="AW745">
        <v>2</v>
      </c>
      <c r="AX745" t="s">
        <v>74</v>
      </c>
      <c r="AY745" t="s">
        <v>74</v>
      </c>
      <c r="AZ745" t="s">
        <v>74</v>
      </c>
      <c r="BA745" t="s">
        <v>74</v>
      </c>
      <c r="BB745" t="s">
        <v>74</v>
      </c>
      <c r="BC745" t="s">
        <v>74</v>
      </c>
      <c r="BD745">
        <v>5020003</v>
      </c>
      <c r="BE745" t="s">
        <v>14692</v>
      </c>
      <c r="BF745" t="str">
        <f>HYPERLINK("http://dx.doi.org/10.1061/(ASCE)SU.1943-5428.0000312","http://dx.doi.org/10.1061/(ASCE)SU.1943-5428.0000312")</f>
        <v>http://dx.doi.org/10.1061/(ASCE)SU.1943-5428.0000312</v>
      </c>
      <c r="BG745" t="s">
        <v>74</v>
      </c>
      <c r="BH745" t="s">
        <v>74</v>
      </c>
      <c r="BI745">
        <v>12</v>
      </c>
      <c r="BJ745" t="s">
        <v>14693</v>
      </c>
      <c r="BK745" t="s">
        <v>102</v>
      </c>
      <c r="BL745" t="s">
        <v>6515</v>
      </c>
      <c r="BM745" t="s">
        <v>14694</v>
      </c>
      <c r="BN745" t="s">
        <v>74</v>
      </c>
      <c r="BO745" t="s">
        <v>491</v>
      </c>
      <c r="BP745" t="s">
        <v>74</v>
      </c>
      <c r="BQ745" t="s">
        <v>74</v>
      </c>
      <c r="BR745" t="s">
        <v>106</v>
      </c>
      <c r="BS745" t="s">
        <v>14695</v>
      </c>
      <c r="BT745" t="str">
        <f>HYPERLINK("https%3A%2F%2Fwww.webofscience.com%2Fwos%2Fwoscc%2Ffull-record%2FWOS:000521187100002","View Full Record in Web of Science")</f>
        <v>View Full Record in Web of Science</v>
      </c>
    </row>
    <row r="746" spans="1:72" x14ac:dyDescent="0.15">
      <c r="A746" t="s">
        <v>72</v>
      </c>
      <c r="B746" t="s">
        <v>14696</v>
      </c>
      <c r="C746" t="s">
        <v>74</v>
      </c>
      <c r="D746" t="s">
        <v>74</v>
      </c>
      <c r="E746" t="s">
        <v>74</v>
      </c>
      <c r="F746" t="s">
        <v>14697</v>
      </c>
      <c r="G746" t="s">
        <v>74</v>
      </c>
      <c r="H746" t="s">
        <v>74</v>
      </c>
      <c r="I746" t="s">
        <v>14698</v>
      </c>
      <c r="J746" t="s">
        <v>14699</v>
      </c>
      <c r="K746" t="s">
        <v>74</v>
      </c>
      <c r="L746" t="s">
        <v>74</v>
      </c>
      <c r="M746" t="s">
        <v>78</v>
      </c>
      <c r="N746" t="s">
        <v>79</v>
      </c>
      <c r="O746" t="s">
        <v>74</v>
      </c>
      <c r="P746" t="s">
        <v>74</v>
      </c>
      <c r="Q746" t="s">
        <v>74</v>
      </c>
      <c r="R746" t="s">
        <v>74</v>
      </c>
      <c r="S746" t="s">
        <v>74</v>
      </c>
      <c r="T746" t="s">
        <v>14700</v>
      </c>
      <c r="U746" t="s">
        <v>14701</v>
      </c>
      <c r="V746" t="s">
        <v>14702</v>
      </c>
      <c r="W746" t="s">
        <v>14703</v>
      </c>
      <c r="X746" t="s">
        <v>14704</v>
      </c>
      <c r="Y746" t="s">
        <v>14705</v>
      </c>
      <c r="Z746" t="s">
        <v>14706</v>
      </c>
      <c r="AA746" t="s">
        <v>74</v>
      </c>
      <c r="AB746" t="s">
        <v>14707</v>
      </c>
      <c r="AC746" t="s">
        <v>14708</v>
      </c>
      <c r="AD746" t="s">
        <v>14709</v>
      </c>
      <c r="AE746" t="s">
        <v>14710</v>
      </c>
      <c r="AF746" t="s">
        <v>74</v>
      </c>
      <c r="AG746">
        <v>142</v>
      </c>
      <c r="AH746">
        <v>8</v>
      </c>
      <c r="AI746">
        <v>8</v>
      </c>
      <c r="AJ746">
        <v>0</v>
      </c>
      <c r="AK746">
        <v>5</v>
      </c>
      <c r="AL746" t="s">
        <v>944</v>
      </c>
      <c r="AM746" t="s">
        <v>945</v>
      </c>
      <c r="AN746" t="s">
        <v>946</v>
      </c>
      <c r="AO746" t="s">
        <v>14711</v>
      </c>
      <c r="AP746" t="s">
        <v>14712</v>
      </c>
      <c r="AQ746" t="s">
        <v>74</v>
      </c>
      <c r="AR746" t="s">
        <v>14713</v>
      </c>
      <c r="AS746" t="s">
        <v>14714</v>
      </c>
      <c r="AT746" t="s">
        <v>11250</v>
      </c>
      <c r="AU746">
        <v>2020</v>
      </c>
      <c r="AV746">
        <v>109</v>
      </c>
      <c r="AW746" t="s">
        <v>74</v>
      </c>
      <c r="AX746" t="s">
        <v>74</v>
      </c>
      <c r="AY746" t="s">
        <v>74</v>
      </c>
      <c r="AZ746" t="s">
        <v>74</v>
      </c>
      <c r="BA746" t="s">
        <v>74</v>
      </c>
      <c r="BB746" t="s">
        <v>74</v>
      </c>
      <c r="BC746" t="s">
        <v>74</v>
      </c>
      <c r="BD746">
        <v>104354</v>
      </c>
      <c r="BE746" t="s">
        <v>14715</v>
      </c>
      <c r="BF746" t="str">
        <f>HYPERLINK("http://dx.doi.org/10.1016/j.cretres.2019.104354","http://dx.doi.org/10.1016/j.cretres.2019.104354")</f>
        <v>http://dx.doi.org/10.1016/j.cretres.2019.104354</v>
      </c>
      <c r="BG746" t="s">
        <v>74</v>
      </c>
      <c r="BH746" t="s">
        <v>74</v>
      </c>
      <c r="BI746">
        <v>17</v>
      </c>
      <c r="BJ746" t="s">
        <v>14716</v>
      </c>
      <c r="BK746" t="s">
        <v>102</v>
      </c>
      <c r="BL746" t="s">
        <v>14716</v>
      </c>
      <c r="BM746" t="s">
        <v>14717</v>
      </c>
      <c r="BN746" t="s">
        <v>74</v>
      </c>
      <c r="BO746" t="s">
        <v>74</v>
      </c>
      <c r="BP746" t="s">
        <v>74</v>
      </c>
      <c r="BQ746" t="s">
        <v>74</v>
      </c>
      <c r="BR746" t="s">
        <v>106</v>
      </c>
      <c r="BS746" t="s">
        <v>14718</v>
      </c>
      <c r="BT746" t="str">
        <f>HYPERLINK("https%3A%2F%2Fwww.webofscience.com%2Fwos%2Fwoscc%2Ffull-record%2FWOS:000518872500003","View Full Record in Web of Science")</f>
        <v>View Full Record in Web of Science</v>
      </c>
    </row>
    <row r="747" spans="1:72" x14ac:dyDescent="0.15">
      <c r="A747" t="s">
        <v>72</v>
      </c>
      <c r="B747" t="s">
        <v>14719</v>
      </c>
      <c r="C747" t="s">
        <v>74</v>
      </c>
      <c r="D747" t="s">
        <v>74</v>
      </c>
      <c r="E747" t="s">
        <v>74</v>
      </c>
      <c r="F747" t="s">
        <v>14720</v>
      </c>
      <c r="G747" t="s">
        <v>74</v>
      </c>
      <c r="H747" t="s">
        <v>74</v>
      </c>
      <c r="I747" t="s">
        <v>14721</v>
      </c>
      <c r="J747" t="s">
        <v>2111</v>
      </c>
      <c r="K747" t="s">
        <v>74</v>
      </c>
      <c r="L747" t="s">
        <v>74</v>
      </c>
      <c r="M747" t="s">
        <v>78</v>
      </c>
      <c r="N747" t="s">
        <v>79</v>
      </c>
      <c r="O747" t="s">
        <v>74</v>
      </c>
      <c r="P747" t="s">
        <v>74</v>
      </c>
      <c r="Q747" t="s">
        <v>74</v>
      </c>
      <c r="R747" t="s">
        <v>74</v>
      </c>
      <c r="S747" t="s">
        <v>74</v>
      </c>
      <c r="T747" t="s">
        <v>74</v>
      </c>
      <c r="U747" t="s">
        <v>14722</v>
      </c>
      <c r="V747" t="s">
        <v>14723</v>
      </c>
      <c r="W747" t="s">
        <v>14724</v>
      </c>
      <c r="X747" t="s">
        <v>14725</v>
      </c>
      <c r="Y747" t="s">
        <v>14726</v>
      </c>
      <c r="Z747" t="s">
        <v>14727</v>
      </c>
      <c r="AA747" t="s">
        <v>74</v>
      </c>
      <c r="AB747" t="s">
        <v>14728</v>
      </c>
      <c r="AC747" t="s">
        <v>14729</v>
      </c>
      <c r="AD747" t="s">
        <v>14730</v>
      </c>
      <c r="AE747" t="s">
        <v>14731</v>
      </c>
      <c r="AF747" t="s">
        <v>74</v>
      </c>
      <c r="AG747">
        <v>90</v>
      </c>
      <c r="AH747">
        <v>13</v>
      </c>
      <c r="AI747">
        <v>13</v>
      </c>
      <c r="AJ747">
        <v>4</v>
      </c>
      <c r="AK747">
        <v>31</v>
      </c>
      <c r="AL747" t="s">
        <v>2121</v>
      </c>
      <c r="AM747" t="s">
        <v>2122</v>
      </c>
      <c r="AN747" t="s">
        <v>2123</v>
      </c>
      <c r="AO747" t="s">
        <v>2124</v>
      </c>
      <c r="AP747" t="s">
        <v>74</v>
      </c>
      <c r="AQ747" t="s">
        <v>74</v>
      </c>
      <c r="AR747" t="s">
        <v>2111</v>
      </c>
      <c r="AS747" t="s">
        <v>2125</v>
      </c>
      <c r="AT747" t="s">
        <v>14732</v>
      </c>
      <c r="AU747">
        <v>2020</v>
      </c>
      <c r="AV747">
        <v>15</v>
      </c>
      <c r="AW747">
        <v>4</v>
      </c>
      <c r="AX747" t="s">
        <v>74</v>
      </c>
      <c r="AY747" t="s">
        <v>74</v>
      </c>
      <c r="AZ747" t="s">
        <v>74</v>
      </c>
      <c r="BA747" t="s">
        <v>74</v>
      </c>
      <c r="BB747" t="s">
        <v>74</v>
      </c>
      <c r="BC747" t="s">
        <v>74</v>
      </c>
      <c r="BD747" t="s">
        <v>14733</v>
      </c>
      <c r="BE747" t="s">
        <v>14734</v>
      </c>
      <c r="BF747" t="str">
        <f>HYPERLINK("http://dx.doi.org/10.1371/journal.pone.0232169","http://dx.doi.org/10.1371/journal.pone.0232169")</f>
        <v>http://dx.doi.org/10.1371/journal.pone.0232169</v>
      </c>
      <c r="BG747" t="s">
        <v>74</v>
      </c>
      <c r="BH747" t="s">
        <v>74</v>
      </c>
      <c r="BI747">
        <v>20</v>
      </c>
      <c r="BJ747" t="s">
        <v>1125</v>
      </c>
      <c r="BK747" t="s">
        <v>102</v>
      </c>
      <c r="BL747" t="s">
        <v>1126</v>
      </c>
      <c r="BM747" t="s">
        <v>14735</v>
      </c>
      <c r="BN747">
        <v>32353013</v>
      </c>
      <c r="BO747" t="s">
        <v>1778</v>
      </c>
      <c r="BP747" t="s">
        <v>74</v>
      </c>
      <c r="BQ747" t="s">
        <v>74</v>
      </c>
      <c r="BR747" t="s">
        <v>106</v>
      </c>
      <c r="BS747" t="s">
        <v>14736</v>
      </c>
      <c r="BT747" t="str">
        <f>HYPERLINK("https%3A%2F%2Fwww.webofscience.com%2Fwos%2Fwoscc%2Ffull-record%2FWOS:000536673200047","View Full Record in Web of Science")</f>
        <v>View Full Record in Web of Science</v>
      </c>
    </row>
    <row r="748" spans="1:72" x14ac:dyDescent="0.15">
      <c r="A748" t="s">
        <v>72</v>
      </c>
      <c r="B748" t="s">
        <v>14737</v>
      </c>
      <c r="C748" t="s">
        <v>74</v>
      </c>
      <c r="D748" t="s">
        <v>74</v>
      </c>
      <c r="E748" t="s">
        <v>74</v>
      </c>
      <c r="F748" t="s">
        <v>14738</v>
      </c>
      <c r="G748" t="s">
        <v>74</v>
      </c>
      <c r="H748" t="s">
        <v>74</v>
      </c>
      <c r="I748" t="s">
        <v>14739</v>
      </c>
      <c r="J748" t="s">
        <v>1887</v>
      </c>
      <c r="K748" t="s">
        <v>74</v>
      </c>
      <c r="L748" t="s">
        <v>74</v>
      </c>
      <c r="M748" t="s">
        <v>78</v>
      </c>
      <c r="N748" t="s">
        <v>79</v>
      </c>
      <c r="O748" t="s">
        <v>74</v>
      </c>
      <c r="P748" t="s">
        <v>74</v>
      </c>
      <c r="Q748" t="s">
        <v>74</v>
      </c>
      <c r="R748" t="s">
        <v>74</v>
      </c>
      <c r="S748" t="s">
        <v>74</v>
      </c>
      <c r="T748" t="s">
        <v>74</v>
      </c>
      <c r="U748" t="s">
        <v>14740</v>
      </c>
      <c r="V748" t="s">
        <v>14741</v>
      </c>
      <c r="W748" t="s">
        <v>14742</v>
      </c>
      <c r="X748" t="s">
        <v>14743</v>
      </c>
      <c r="Y748" t="s">
        <v>14744</v>
      </c>
      <c r="Z748" t="s">
        <v>14745</v>
      </c>
      <c r="AA748" t="s">
        <v>14746</v>
      </c>
      <c r="AB748" t="s">
        <v>14747</v>
      </c>
      <c r="AC748" t="s">
        <v>14748</v>
      </c>
      <c r="AD748" t="s">
        <v>14749</v>
      </c>
      <c r="AE748" t="s">
        <v>14750</v>
      </c>
      <c r="AF748" t="s">
        <v>74</v>
      </c>
      <c r="AG748">
        <v>68</v>
      </c>
      <c r="AH748">
        <v>20</v>
      </c>
      <c r="AI748">
        <v>20</v>
      </c>
      <c r="AJ748">
        <v>3</v>
      </c>
      <c r="AK748">
        <v>24</v>
      </c>
      <c r="AL748" t="s">
        <v>1049</v>
      </c>
      <c r="AM748" t="s">
        <v>1050</v>
      </c>
      <c r="AN748" t="s">
        <v>1051</v>
      </c>
      <c r="AO748" t="s">
        <v>1899</v>
      </c>
      <c r="AP748" t="s">
        <v>1900</v>
      </c>
      <c r="AQ748" t="s">
        <v>74</v>
      </c>
      <c r="AR748" t="s">
        <v>1887</v>
      </c>
      <c r="AS748" t="s">
        <v>1901</v>
      </c>
      <c r="AT748" t="s">
        <v>14732</v>
      </c>
      <c r="AU748">
        <v>2020</v>
      </c>
      <c r="AV748">
        <v>17</v>
      </c>
      <c r="AW748">
        <v>8</v>
      </c>
      <c r="AX748" t="s">
        <v>74</v>
      </c>
      <c r="AY748" t="s">
        <v>74</v>
      </c>
      <c r="AZ748" t="s">
        <v>74</v>
      </c>
      <c r="BA748" t="s">
        <v>74</v>
      </c>
      <c r="BB748">
        <v>2349</v>
      </c>
      <c r="BC748">
        <v>2364</v>
      </c>
      <c r="BD748" t="s">
        <v>74</v>
      </c>
      <c r="BE748" t="s">
        <v>14751</v>
      </c>
      <c r="BF748" t="str">
        <f>HYPERLINK("http://dx.doi.org/10.5194/bg-17-2349-2020","http://dx.doi.org/10.5194/bg-17-2349-2020")</f>
        <v>http://dx.doi.org/10.5194/bg-17-2349-2020</v>
      </c>
      <c r="BG748" t="s">
        <v>74</v>
      </c>
      <c r="BH748" t="s">
        <v>74</v>
      </c>
      <c r="BI748">
        <v>16</v>
      </c>
      <c r="BJ748" t="s">
        <v>1903</v>
      </c>
      <c r="BK748" t="s">
        <v>102</v>
      </c>
      <c r="BL748" t="s">
        <v>1904</v>
      </c>
      <c r="BM748" t="s">
        <v>14752</v>
      </c>
      <c r="BN748" t="s">
        <v>74</v>
      </c>
      <c r="BO748" t="s">
        <v>2089</v>
      </c>
      <c r="BP748" t="s">
        <v>74</v>
      </c>
      <c r="BQ748" t="s">
        <v>74</v>
      </c>
      <c r="BR748" t="s">
        <v>106</v>
      </c>
      <c r="BS748" t="s">
        <v>14753</v>
      </c>
      <c r="BT748" t="str">
        <f>HYPERLINK("https%3A%2F%2Fwww.webofscience.com%2Fwos%2Fwoscc%2Ffull-record%2FWOS:000531565500001","View Full Record in Web of Science")</f>
        <v>View Full Record in Web of Science</v>
      </c>
    </row>
    <row r="749" spans="1:72" x14ac:dyDescent="0.15">
      <c r="A749" t="s">
        <v>72</v>
      </c>
      <c r="B749" t="s">
        <v>14754</v>
      </c>
      <c r="C749" t="s">
        <v>74</v>
      </c>
      <c r="D749" t="s">
        <v>74</v>
      </c>
      <c r="E749" t="s">
        <v>74</v>
      </c>
      <c r="F749" t="s">
        <v>14755</v>
      </c>
      <c r="G749" t="s">
        <v>74</v>
      </c>
      <c r="H749" t="s">
        <v>74</v>
      </c>
      <c r="I749" t="s">
        <v>14756</v>
      </c>
      <c r="J749" t="s">
        <v>14757</v>
      </c>
      <c r="K749" t="s">
        <v>74</v>
      </c>
      <c r="L749" t="s">
        <v>74</v>
      </c>
      <c r="M749" t="s">
        <v>78</v>
      </c>
      <c r="N749" t="s">
        <v>79</v>
      </c>
      <c r="O749" t="s">
        <v>74</v>
      </c>
      <c r="P749" t="s">
        <v>74</v>
      </c>
      <c r="Q749" t="s">
        <v>74</v>
      </c>
      <c r="R749" t="s">
        <v>74</v>
      </c>
      <c r="S749" t="s">
        <v>74</v>
      </c>
      <c r="T749" t="s">
        <v>14758</v>
      </c>
      <c r="U749" t="s">
        <v>14759</v>
      </c>
      <c r="V749" t="s">
        <v>14760</v>
      </c>
      <c r="W749" t="s">
        <v>14761</v>
      </c>
      <c r="X749" t="s">
        <v>14762</v>
      </c>
      <c r="Y749" t="s">
        <v>14763</v>
      </c>
      <c r="Z749" t="s">
        <v>14764</v>
      </c>
      <c r="AA749" t="s">
        <v>14765</v>
      </c>
      <c r="AB749" t="s">
        <v>14766</v>
      </c>
      <c r="AC749" t="s">
        <v>74</v>
      </c>
      <c r="AD749" t="s">
        <v>74</v>
      </c>
      <c r="AE749" t="s">
        <v>74</v>
      </c>
      <c r="AF749" t="s">
        <v>74</v>
      </c>
      <c r="AG749">
        <v>67</v>
      </c>
      <c r="AH749">
        <v>12</v>
      </c>
      <c r="AI749">
        <v>12</v>
      </c>
      <c r="AJ749">
        <v>2</v>
      </c>
      <c r="AK749">
        <v>16</v>
      </c>
      <c r="AL749" t="s">
        <v>14767</v>
      </c>
      <c r="AM749" t="s">
        <v>14768</v>
      </c>
      <c r="AN749" t="s">
        <v>14769</v>
      </c>
      <c r="AO749" t="s">
        <v>14770</v>
      </c>
      <c r="AP749" t="s">
        <v>14771</v>
      </c>
      <c r="AQ749" t="s">
        <v>74</v>
      </c>
      <c r="AR749" t="s">
        <v>14772</v>
      </c>
      <c r="AS749" t="s">
        <v>14773</v>
      </c>
      <c r="AT749" t="s">
        <v>7663</v>
      </c>
      <c r="AU749">
        <v>2020</v>
      </c>
      <c r="AV749">
        <v>4</v>
      </c>
      <c r="AW749">
        <v>2</v>
      </c>
      <c r="AX749" t="s">
        <v>74</v>
      </c>
      <c r="AY749" t="s">
        <v>74</v>
      </c>
      <c r="AZ749" t="s">
        <v>74</v>
      </c>
      <c r="BA749" t="s">
        <v>74</v>
      </c>
      <c r="BB749">
        <v>349</v>
      </c>
      <c r="BC749">
        <v>358</v>
      </c>
      <c r="BD749" t="s">
        <v>74</v>
      </c>
      <c r="BE749" t="s">
        <v>14774</v>
      </c>
      <c r="BF749" t="str">
        <f>HYPERLINK("http://dx.doi.org/10.1007/s41748-020-00154-w","http://dx.doi.org/10.1007/s41748-020-00154-w")</f>
        <v>http://dx.doi.org/10.1007/s41748-020-00154-w</v>
      </c>
      <c r="BG749" t="s">
        <v>74</v>
      </c>
      <c r="BH749" t="s">
        <v>14775</v>
      </c>
      <c r="BI749">
        <v>10</v>
      </c>
      <c r="BJ749" t="s">
        <v>3953</v>
      </c>
      <c r="BK749" t="s">
        <v>3838</v>
      </c>
      <c r="BL749" t="s">
        <v>3954</v>
      </c>
      <c r="BM749" t="s">
        <v>14776</v>
      </c>
      <c r="BN749" t="s">
        <v>74</v>
      </c>
      <c r="BO749" t="s">
        <v>74</v>
      </c>
      <c r="BP749" t="s">
        <v>74</v>
      </c>
      <c r="BQ749" t="s">
        <v>74</v>
      </c>
      <c r="BR749" t="s">
        <v>106</v>
      </c>
      <c r="BS749" t="s">
        <v>14777</v>
      </c>
      <c r="BT749" t="str">
        <f>HYPERLINK("https%3A%2F%2Fwww.webofscience.com%2Fwos%2Fwoscc%2Ffull-record%2FWOS:000529571700001","View Full Record in Web of Science")</f>
        <v>View Full Record in Web of Science</v>
      </c>
    </row>
    <row r="750" spans="1:72" x14ac:dyDescent="0.15">
      <c r="A750" t="s">
        <v>72</v>
      </c>
      <c r="B750" t="s">
        <v>14778</v>
      </c>
      <c r="C750" t="s">
        <v>74</v>
      </c>
      <c r="D750" t="s">
        <v>74</v>
      </c>
      <c r="E750" t="s">
        <v>74</v>
      </c>
      <c r="F750" t="s">
        <v>14779</v>
      </c>
      <c r="G750" t="s">
        <v>74</v>
      </c>
      <c r="H750" t="s">
        <v>74</v>
      </c>
      <c r="I750" t="s">
        <v>14780</v>
      </c>
      <c r="J750" t="s">
        <v>3490</v>
      </c>
      <c r="K750" t="s">
        <v>74</v>
      </c>
      <c r="L750" t="s">
        <v>74</v>
      </c>
      <c r="M750" t="s">
        <v>78</v>
      </c>
      <c r="N750" t="s">
        <v>79</v>
      </c>
      <c r="O750" t="s">
        <v>74</v>
      </c>
      <c r="P750" t="s">
        <v>74</v>
      </c>
      <c r="Q750" t="s">
        <v>74</v>
      </c>
      <c r="R750" t="s">
        <v>74</v>
      </c>
      <c r="S750" t="s">
        <v>74</v>
      </c>
      <c r="T750" t="s">
        <v>74</v>
      </c>
      <c r="U750" t="s">
        <v>14781</v>
      </c>
      <c r="V750" t="s">
        <v>14782</v>
      </c>
      <c r="W750" t="s">
        <v>14783</v>
      </c>
      <c r="X750" t="s">
        <v>14784</v>
      </c>
      <c r="Y750" t="s">
        <v>14785</v>
      </c>
      <c r="Z750" t="s">
        <v>14786</v>
      </c>
      <c r="AA750" t="s">
        <v>14787</v>
      </c>
      <c r="AB750" t="s">
        <v>14788</v>
      </c>
      <c r="AC750" t="s">
        <v>14789</v>
      </c>
      <c r="AD750" t="s">
        <v>14790</v>
      </c>
      <c r="AE750" t="s">
        <v>14791</v>
      </c>
      <c r="AF750" t="s">
        <v>74</v>
      </c>
      <c r="AG750">
        <v>77</v>
      </c>
      <c r="AH750">
        <v>11</v>
      </c>
      <c r="AI750">
        <v>14</v>
      </c>
      <c r="AJ750">
        <v>7</v>
      </c>
      <c r="AK750">
        <v>22</v>
      </c>
      <c r="AL750" t="s">
        <v>1389</v>
      </c>
      <c r="AM750" t="s">
        <v>945</v>
      </c>
      <c r="AN750" t="s">
        <v>1390</v>
      </c>
      <c r="AO750" t="s">
        <v>3493</v>
      </c>
      <c r="AP750" t="s">
        <v>74</v>
      </c>
      <c r="AQ750" t="s">
        <v>74</v>
      </c>
      <c r="AR750" t="s">
        <v>3494</v>
      </c>
      <c r="AS750" t="s">
        <v>3495</v>
      </c>
      <c r="AT750" t="s">
        <v>14732</v>
      </c>
      <c r="AU750">
        <v>2020</v>
      </c>
      <c r="AV750">
        <v>11</v>
      </c>
      <c r="AW750">
        <v>1</v>
      </c>
      <c r="AX750" t="s">
        <v>74</v>
      </c>
      <c r="AY750" t="s">
        <v>74</v>
      </c>
      <c r="AZ750" t="s">
        <v>74</v>
      </c>
      <c r="BA750" t="s">
        <v>74</v>
      </c>
      <c r="BB750" t="s">
        <v>74</v>
      </c>
      <c r="BC750" t="s">
        <v>74</v>
      </c>
      <c r="BD750">
        <v>2112</v>
      </c>
      <c r="BE750" t="s">
        <v>14792</v>
      </c>
      <c r="BF750" t="str">
        <f>HYPERLINK("http://dx.doi.org/10.1038/s41467-020-15739-2","http://dx.doi.org/10.1038/s41467-020-15739-2")</f>
        <v>http://dx.doi.org/10.1038/s41467-020-15739-2</v>
      </c>
      <c r="BG750" t="s">
        <v>74</v>
      </c>
      <c r="BH750" t="s">
        <v>74</v>
      </c>
      <c r="BI750">
        <v>10</v>
      </c>
      <c r="BJ750" t="s">
        <v>1125</v>
      </c>
      <c r="BK750" t="s">
        <v>102</v>
      </c>
      <c r="BL750" t="s">
        <v>1126</v>
      </c>
      <c r="BM750" t="s">
        <v>14793</v>
      </c>
      <c r="BN750">
        <v>32355168</v>
      </c>
      <c r="BO750" t="s">
        <v>1778</v>
      </c>
      <c r="BP750" t="s">
        <v>74</v>
      </c>
      <c r="BQ750" t="s">
        <v>74</v>
      </c>
      <c r="BR750" t="s">
        <v>106</v>
      </c>
      <c r="BS750" t="s">
        <v>14794</v>
      </c>
      <c r="BT750" t="str">
        <f>HYPERLINK("https%3A%2F%2Fwww.webofscience.com%2Fwos%2Fwoscc%2Ffull-record%2FWOS:000558816700012","View Full Record in Web of Science")</f>
        <v>View Full Record in Web of Science</v>
      </c>
    </row>
    <row r="751" spans="1:72" x14ac:dyDescent="0.15">
      <c r="A751" t="s">
        <v>72</v>
      </c>
      <c r="B751" t="s">
        <v>14795</v>
      </c>
      <c r="C751" t="s">
        <v>74</v>
      </c>
      <c r="D751" t="s">
        <v>74</v>
      </c>
      <c r="E751" t="s">
        <v>74</v>
      </c>
      <c r="F751" t="s">
        <v>14796</v>
      </c>
      <c r="G751" t="s">
        <v>74</v>
      </c>
      <c r="H751" t="s">
        <v>74</v>
      </c>
      <c r="I751" t="s">
        <v>14797</v>
      </c>
      <c r="J751" t="s">
        <v>14798</v>
      </c>
      <c r="K751" t="s">
        <v>74</v>
      </c>
      <c r="L751" t="s">
        <v>74</v>
      </c>
      <c r="M751" t="s">
        <v>78</v>
      </c>
      <c r="N751" t="s">
        <v>7342</v>
      </c>
      <c r="O751" t="s">
        <v>74</v>
      </c>
      <c r="P751" t="s">
        <v>74</v>
      </c>
      <c r="Q751" t="s">
        <v>74</v>
      </c>
      <c r="R751" t="s">
        <v>74</v>
      </c>
      <c r="S751" t="s">
        <v>74</v>
      </c>
      <c r="T751" t="s">
        <v>14799</v>
      </c>
      <c r="U751" t="s">
        <v>74</v>
      </c>
      <c r="V751" t="s">
        <v>74</v>
      </c>
      <c r="W751" t="s">
        <v>14800</v>
      </c>
      <c r="X751" t="s">
        <v>14801</v>
      </c>
      <c r="Y751" t="s">
        <v>14802</v>
      </c>
      <c r="Z751" t="s">
        <v>13744</v>
      </c>
      <c r="AA751" t="s">
        <v>14803</v>
      </c>
      <c r="AB751" t="s">
        <v>14804</v>
      </c>
      <c r="AC751" t="s">
        <v>74</v>
      </c>
      <c r="AD751" t="s">
        <v>74</v>
      </c>
      <c r="AE751" t="s">
        <v>74</v>
      </c>
      <c r="AF751" t="s">
        <v>74</v>
      </c>
      <c r="AG751">
        <v>9</v>
      </c>
      <c r="AH751">
        <v>10</v>
      </c>
      <c r="AI751">
        <v>10</v>
      </c>
      <c r="AJ751">
        <v>0</v>
      </c>
      <c r="AK751">
        <v>11</v>
      </c>
      <c r="AL751" t="s">
        <v>92</v>
      </c>
      <c r="AM751" t="s">
        <v>93</v>
      </c>
      <c r="AN751" t="s">
        <v>94</v>
      </c>
      <c r="AO751" t="s">
        <v>14805</v>
      </c>
      <c r="AP751" t="s">
        <v>74</v>
      </c>
      <c r="AQ751" t="s">
        <v>74</v>
      </c>
      <c r="AR751" t="s">
        <v>14798</v>
      </c>
      <c r="AS751" t="s">
        <v>14806</v>
      </c>
      <c r="AT751" t="s">
        <v>14732</v>
      </c>
      <c r="AU751">
        <v>2020</v>
      </c>
      <c r="AV751">
        <v>178</v>
      </c>
      <c r="AW751" t="s">
        <v>74</v>
      </c>
      <c r="AX751" t="s">
        <v>74</v>
      </c>
      <c r="AY751" t="s">
        <v>74</v>
      </c>
      <c r="AZ751" t="s">
        <v>74</v>
      </c>
      <c r="BA751" t="s">
        <v>74</v>
      </c>
      <c r="BB751">
        <v>59</v>
      </c>
      <c r="BC751">
        <v>60</v>
      </c>
      <c r="BD751" t="s">
        <v>74</v>
      </c>
      <c r="BE751" t="s">
        <v>14807</v>
      </c>
      <c r="BF751" t="str">
        <f>HYPERLINK("http://dx.doi.org/10.1016/j.toxicon.2020.02.018","http://dx.doi.org/10.1016/j.toxicon.2020.02.018")</f>
        <v>http://dx.doi.org/10.1016/j.toxicon.2020.02.018</v>
      </c>
      <c r="BG751" t="s">
        <v>74</v>
      </c>
      <c r="BH751" t="s">
        <v>74</v>
      </c>
      <c r="BI751">
        <v>2</v>
      </c>
      <c r="BJ751" t="s">
        <v>14808</v>
      </c>
      <c r="BK751" t="s">
        <v>102</v>
      </c>
      <c r="BL751" t="s">
        <v>14808</v>
      </c>
      <c r="BM751" t="s">
        <v>14809</v>
      </c>
      <c r="BN751">
        <v>32250748</v>
      </c>
      <c r="BO751" t="s">
        <v>74</v>
      </c>
      <c r="BP751" t="s">
        <v>74</v>
      </c>
      <c r="BQ751" t="s">
        <v>74</v>
      </c>
      <c r="BR751" t="s">
        <v>106</v>
      </c>
      <c r="BS751" t="s">
        <v>14810</v>
      </c>
      <c r="BT751" t="str">
        <f>HYPERLINK("https%3A%2F%2Fwww.webofscience.com%2Fwos%2Fwoscc%2Ffull-record%2FWOS:000527886400009","View Full Record in Web of Science")</f>
        <v>View Full Record in Web of Science</v>
      </c>
    </row>
    <row r="752" spans="1:72" x14ac:dyDescent="0.15">
      <c r="A752" t="s">
        <v>72</v>
      </c>
      <c r="B752" t="s">
        <v>14811</v>
      </c>
      <c r="C752" t="s">
        <v>74</v>
      </c>
      <c r="D752" t="s">
        <v>74</v>
      </c>
      <c r="E752" t="s">
        <v>74</v>
      </c>
      <c r="F752" t="s">
        <v>14812</v>
      </c>
      <c r="G752" t="s">
        <v>74</v>
      </c>
      <c r="H752" t="s">
        <v>74</v>
      </c>
      <c r="I752" t="s">
        <v>14813</v>
      </c>
      <c r="J752" t="s">
        <v>1106</v>
      </c>
      <c r="K752" t="s">
        <v>74</v>
      </c>
      <c r="L752" t="s">
        <v>74</v>
      </c>
      <c r="M752" t="s">
        <v>78</v>
      </c>
      <c r="N752" t="s">
        <v>79</v>
      </c>
      <c r="O752" t="s">
        <v>74</v>
      </c>
      <c r="P752" t="s">
        <v>74</v>
      </c>
      <c r="Q752" t="s">
        <v>74</v>
      </c>
      <c r="R752" t="s">
        <v>74</v>
      </c>
      <c r="S752" t="s">
        <v>74</v>
      </c>
      <c r="T752" t="s">
        <v>74</v>
      </c>
      <c r="U752" t="s">
        <v>14814</v>
      </c>
      <c r="V752" t="s">
        <v>14815</v>
      </c>
      <c r="W752" t="s">
        <v>14816</v>
      </c>
      <c r="X752" t="s">
        <v>14817</v>
      </c>
      <c r="Y752" t="s">
        <v>14818</v>
      </c>
      <c r="Z752" t="s">
        <v>14819</v>
      </c>
      <c r="AA752" t="s">
        <v>74</v>
      </c>
      <c r="AB752" t="s">
        <v>74</v>
      </c>
      <c r="AC752" t="s">
        <v>14820</v>
      </c>
      <c r="AD752" t="s">
        <v>1860</v>
      </c>
      <c r="AE752" t="s">
        <v>14821</v>
      </c>
      <c r="AF752" t="s">
        <v>74</v>
      </c>
      <c r="AG752">
        <v>85</v>
      </c>
      <c r="AH752">
        <v>18</v>
      </c>
      <c r="AI752">
        <v>19</v>
      </c>
      <c r="AJ752">
        <v>0</v>
      </c>
      <c r="AK752">
        <v>11</v>
      </c>
      <c r="AL752" t="s">
        <v>1118</v>
      </c>
      <c r="AM752" t="s">
        <v>1119</v>
      </c>
      <c r="AN752" t="s">
        <v>1120</v>
      </c>
      <c r="AO752" t="s">
        <v>1121</v>
      </c>
      <c r="AP752" t="s">
        <v>74</v>
      </c>
      <c r="AQ752" t="s">
        <v>74</v>
      </c>
      <c r="AR752" t="s">
        <v>1122</v>
      </c>
      <c r="AS752" t="s">
        <v>1123</v>
      </c>
      <c r="AT752" t="s">
        <v>14822</v>
      </c>
      <c r="AU752">
        <v>2020</v>
      </c>
      <c r="AV752">
        <v>10</v>
      </c>
      <c r="AW752">
        <v>1</v>
      </c>
      <c r="AX752" t="s">
        <v>74</v>
      </c>
      <c r="AY752" t="s">
        <v>74</v>
      </c>
      <c r="AZ752" t="s">
        <v>74</v>
      </c>
      <c r="BA752" t="s">
        <v>74</v>
      </c>
      <c r="BB752" t="s">
        <v>74</v>
      </c>
      <c r="BC752" t="s">
        <v>74</v>
      </c>
      <c r="BD752">
        <v>7282</v>
      </c>
      <c r="BE752" t="s">
        <v>14823</v>
      </c>
      <c r="BF752" t="str">
        <f>HYPERLINK("http://dx.doi.org/10.1038/s41598-020-63875-y","http://dx.doi.org/10.1038/s41598-020-63875-y")</f>
        <v>http://dx.doi.org/10.1038/s41598-020-63875-y</v>
      </c>
      <c r="BG752" t="s">
        <v>74</v>
      </c>
      <c r="BH752" t="s">
        <v>74</v>
      </c>
      <c r="BI752">
        <v>17</v>
      </c>
      <c r="BJ752" t="s">
        <v>1125</v>
      </c>
      <c r="BK752" t="s">
        <v>102</v>
      </c>
      <c r="BL752" t="s">
        <v>1126</v>
      </c>
      <c r="BM752" t="s">
        <v>14824</v>
      </c>
      <c r="BN752">
        <v>32350362</v>
      </c>
      <c r="BO752" t="s">
        <v>161</v>
      </c>
      <c r="BP752" t="s">
        <v>74</v>
      </c>
      <c r="BQ752" t="s">
        <v>74</v>
      </c>
      <c r="BR752" t="s">
        <v>106</v>
      </c>
      <c r="BS752" t="s">
        <v>14825</v>
      </c>
      <c r="BT752" t="str">
        <f>HYPERLINK("https%3A%2F%2Fwww.webofscience.com%2Fwos%2Fwoscc%2Ffull-record%2FWOS:000560743900002","View Full Record in Web of Science")</f>
        <v>View Full Record in Web of Science</v>
      </c>
    </row>
    <row r="753" spans="1:72" x14ac:dyDescent="0.15">
      <c r="A753" t="s">
        <v>72</v>
      </c>
      <c r="B753" t="s">
        <v>14826</v>
      </c>
      <c r="C753" t="s">
        <v>74</v>
      </c>
      <c r="D753" t="s">
        <v>74</v>
      </c>
      <c r="E753" t="s">
        <v>74</v>
      </c>
      <c r="F753" t="s">
        <v>14827</v>
      </c>
      <c r="G753" t="s">
        <v>74</v>
      </c>
      <c r="H753" t="s">
        <v>74</v>
      </c>
      <c r="I753" t="s">
        <v>14828</v>
      </c>
      <c r="J753" t="s">
        <v>14829</v>
      </c>
      <c r="K753" t="s">
        <v>74</v>
      </c>
      <c r="L753" t="s">
        <v>74</v>
      </c>
      <c r="M753" t="s">
        <v>78</v>
      </c>
      <c r="N753" t="s">
        <v>79</v>
      </c>
      <c r="O753" t="s">
        <v>74</v>
      </c>
      <c r="P753" t="s">
        <v>74</v>
      </c>
      <c r="Q753" t="s">
        <v>74</v>
      </c>
      <c r="R753" t="s">
        <v>74</v>
      </c>
      <c r="S753" t="s">
        <v>74</v>
      </c>
      <c r="T753" t="s">
        <v>14830</v>
      </c>
      <c r="U753" t="s">
        <v>14831</v>
      </c>
      <c r="V753" t="s">
        <v>14832</v>
      </c>
      <c r="W753" t="s">
        <v>14833</v>
      </c>
      <c r="X753" t="s">
        <v>14834</v>
      </c>
      <c r="Y753" t="s">
        <v>14835</v>
      </c>
      <c r="Z753" t="s">
        <v>14836</v>
      </c>
      <c r="AA753" t="s">
        <v>14837</v>
      </c>
      <c r="AB753" t="s">
        <v>14838</v>
      </c>
      <c r="AC753" t="s">
        <v>14839</v>
      </c>
      <c r="AD753" t="s">
        <v>14839</v>
      </c>
      <c r="AE753" t="s">
        <v>14840</v>
      </c>
      <c r="AF753" t="s">
        <v>74</v>
      </c>
      <c r="AG753">
        <v>45</v>
      </c>
      <c r="AH753">
        <v>6</v>
      </c>
      <c r="AI753">
        <v>6</v>
      </c>
      <c r="AJ753">
        <v>0</v>
      </c>
      <c r="AK753">
        <v>14</v>
      </c>
      <c r="AL753" t="s">
        <v>1440</v>
      </c>
      <c r="AM753" t="s">
        <v>1628</v>
      </c>
      <c r="AN753" t="s">
        <v>1629</v>
      </c>
      <c r="AO753" t="s">
        <v>14841</v>
      </c>
      <c r="AP753" t="s">
        <v>14842</v>
      </c>
      <c r="AQ753" t="s">
        <v>74</v>
      </c>
      <c r="AR753" t="s">
        <v>14843</v>
      </c>
      <c r="AS753" t="s">
        <v>14844</v>
      </c>
      <c r="AT753" t="s">
        <v>99</v>
      </c>
      <c r="AU753">
        <v>2020</v>
      </c>
      <c r="AV753">
        <v>28</v>
      </c>
      <c r="AW753">
        <v>4</v>
      </c>
      <c r="AX753" t="s">
        <v>74</v>
      </c>
      <c r="AY753" t="s">
        <v>74</v>
      </c>
      <c r="AZ753" t="s">
        <v>74</v>
      </c>
      <c r="BA753" t="s">
        <v>74</v>
      </c>
      <c r="BB753">
        <v>1725</v>
      </c>
      <c r="BC753">
        <v>1738</v>
      </c>
      <c r="BD753" t="s">
        <v>74</v>
      </c>
      <c r="BE753" t="s">
        <v>14845</v>
      </c>
      <c r="BF753" t="str">
        <f>HYPERLINK("http://dx.doi.org/10.1007/s10499-020-00553-w","http://dx.doi.org/10.1007/s10499-020-00553-w")</f>
        <v>http://dx.doi.org/10.1007/s10499-020-00553-w</v>
      </c>
      <c r="BG753" t="s">
        <v>74</v>
      </c>
      <c r="BH753" t="s">
        <v>14775</v>
      </c>
      <c r="BI753">
        <v>14</v>
      </c>
      <c r="BJ753" t="s">
        <v>4943</v>
      </c>
      <c r="BK753" t="s">
        <v>102</v>
      </c>
      <c r="BL753" t="s">
        <v>4943</v>
      </c>
      <c r="BM753" t="s">
        <v>14846</v>
      </c>
      <c r="BN753" t="s">
        <v>74</v>
      </c>
      <c r="BO753" t="s">
        <v>74</v>
      </c>
      <c r="BP753" t="s">
        <v>74</v>
      </c>
      <c r="BQ753" t="s">
        <v>74</v>
      </c>
      <c r="BR753" t="s">
        <v>106</v>
      </c>
      <c r="BS753" t="s">
        <v>14847</v>
      </c>
      <c r="BT753" t="str">
        <f>HYPERLINK("https%3A%2F%2Fwww.webofscience.com%2Fwos%2Fwoscc%2Ffull-record%2FWOS:000529573600002","View Full Record in Web of Science")</f>
        <v>View Full Record in Web of Science</v>
      </c>
    </row>
    <row r="754" spans="1:72" x14ac:dyDescent="0.15">
      <c r="A754" t="s">
        <v>72</v>
      </c>
      <c r="B754" t="s">
        <v>14848</v>
      </c>
      <c r="C754" t="s">
        <v>74</v>
      </c>
      <c r="D754" t="s">
        <v>74</v>
      </c>
      <c r="E754" t="s">
        <v>74</v>
      </c>
      <c r="F754" t="s">
        <v>14849</v>
      </c>
      <c r="G754" t="s">
        <v>74</v>
      </c>
      <c r="H754" t="s">
        <v>74</v>
      </c>
      <c r="I754" t="s">
        <v>14850</v>
      </c>
      <c r="J754" t="s">
        <v>1357</v>
      </c>
      <c r="K754" t="s">
        <v>74</v>
      </c>
      <c r="L754" t="s">
        <v>74</v>
      </c>
      <c r="M754" t="s">
        <v>78</v>
      </c>
      <c r="N754" t="s">
        <v>79</v>
      </c>
      <c r="O754" t="s">
        <v>74</v>
      </c>
      <c r="P754" t="s">
        <v>74</v>
      </c>
      <c r="Q754" t="s">
        <v>74</v>
      </c>
      <c r="R754" t="s">
        <v>74</v>
      </c>
      <c r="S754" t="s">
        <v>74</v>
      </c>
      <c r="T754" t="s">
        <v>14851</v>
      </c>
      <c r="U754" t="s">
        <v>14852</v>
      </c>
      <c r="V754" t="s">
        <v>14853</v>
      </c>
      <c r="W754" t="s">
        <v>14854</v>
      </c>
      <c r="X754" t="s">
        <v>14855</v>
      </c>
      <c r="Y754" t="s">
        <v>14856</v>
      </c>
      <c r="Z754" t="s">
        <v>14857</v>
      </c>
      <c r="AA754" t="s">
        <v>14858</v>
      </c>
      <c r="AB754" t="s">
        <v>14859</v>
      </c>
      <c r="AC754" t="s">
        <v>14860</v>
      </c>
      <c r="AD754" t="s">
        <v>14861</v>
      </c>
      <c r="AE754" t="s">
        <v>14862</v>
      </c>
      <c r="AF754" t="s">
        <v>74</v>
      </c>
      <c r="AG754">
        <v>79</v>
      </c>
      <c r="AH754">
        <v>20</v>
      </c>
      <c r="AI754">
        <v>23</v>
      </c>
      <c r="AJ754">
        <v>4</v>
      </c>
      <c r="AK754">
        <v>35</v>
      </c>
      <c r="AL754" t="s">
        <v>994</v>
      </c>
      <c r="AM754" t="s">
        <v>995</v>
      </c>
      <c r="AN754" t="s">
        <v>996</v>
      </c>
      <c r="AO754" t="s">
        <v>1370</v>
      </c>
      <c r="AP754" t="s">
        <v>1371</v>
      </c>
      <c r="AQ754" t="s">
        <v>74</v>
      </c>
      <c r="AR754" t="s">
        <v>1372</v>
      </c>
      <c r="AS754" t="s">
        <v>1373</v>
      </c>
      <c r="AT754" t="s">
        <v>3950</v>
      </c>
      <c r="AU754">
        <v>2020</v>
      </c>
      <c r="AV754">
        <v>26</v>
      </c>
      <c r="AW754">
        <v>7</v>
      </c>
      <c r="AX754" t="s">
        <v>74</v>
      </c>
      <c r="AY754" t="s">
        <v>74</v>
      </c>
      <c r="AZ754" t="s">
        <v>74</v>
      </c>
      <c r="BA754" t="s">
        <v>74</v>
      </c>
      <c r="BB754">
        <v>3788</v>
      </c>
      <c r="BC754">
        <v>3798</v>
      </c>
      <c r="BD754" t="s">
        <v>74</v>
      </c>
      <c r="BE754" t="s">
        <v>14863</v>
      </c>
      <c r="BF754" t="str">
        <f>HYPERLINK("http://dx.doi.org/10.1111/gcb.15085","http://dx.doi.org/10.1111/gcb.15085")</f>
        <v>http://dx.doi.org/10.1111/gcb.15085</v>
      </c>
      <c r="BG754" t="s">
        <v>74</v>
      </c>
      <c r="BH754" t="s">
        <v>14775</v>
      </c>
      <c r="BI754">
        <v>11</v>
      </c>
      <c r="BJ754" t="s">
        <v>1375</v>
      </c>
      <c r="BK754" t="s">
        <v>102</v>
      </c>
      <c r="BL754" t="s">
        <v>1005</v>
      </c>
      <c r="BM754" t="s">
        <v>14864</v>
      </c>
      <c r="BN754">
        <v>32190944</v>
      </c>
      <c r="BO754" t="s">
        <v>1657</v>
      </c>
      <c r="BP754" t="s">
        <v>74</v>
      </c>
      <c r="BQ754" t="s">
        <v>74</v>
      </c>
      <c r="BR754" t="s">
        <v>106</v>
      </c>
      <c r="BS754" t="s">
        <v>14865</v>
      </c>
      <c r="BT754" t="str">
        <f>HYPERLINK("https%3A%2F%2Fwww.webofscience.com%2Fwos%2Fwoscc%2Ffull-record%2FWOS:000529149000001","View Full Record in Web of Science")</f>
        <v>View Full Record in Web of Science</v>
      </c>
    </row>
    <row r="755" spans="1:72" x14ac:dyDescent="0.15">
      <c r="A755" t="s">
        <v>72</v>
      </c>
      <c r="B755" t="s">
        <v>14866</v>
      </c>
      <c r="C755" t="s">
        <v>74</v>
      </c>
      <c r="D755" t="s">
        <v>74</v>
      </c>
      <c r="E755" t="s">
        <v>74</v>
      </c>
      <c r="F755" t="s">
        <v>14867</v>
      </c>
      <c r="G755" t="s">
        <v>74</v>
      </c>
      <c r="H755" t="s">
        <v>74</v>
      </c>
      <c r="I755" t="s">
        <v>14868</v>
      </c>
      <c r="J755" t="s">
        <v>1505</v>
      </c>
      <c r="K755" t="s">
        <v>74</v>
      </c>
      <c r="L755" t="s">
        <v>74</v>
      </c>
      <c r="M755" t="s">
        <v>78</v>
      </c>
      <c r="N755" t="s">
        <v>79</v>
      </c>
      <c r="O755" t="s">
        <v>74</v>
      </c>
      <c r="P755" t="s">
        <v>74</v>
      </c>
      <c r="Q755" t="s">
        <v>74</v>
      </c>
      <c r="R755" t="s">
        <v>74</v>
      </c>
      <c r="S755" t="s">
        <v>74</v>
      </c>
      <c r="T755" t="s">
        <v>14869</v>
      </c>
      <c r="U755" t="s">
        <v>14870</v>
      </c>
      <c r="V755" t="s">
        <v>14871</v>
      </c>
      <c r="W755" t="s">
        <v>14872</v>
      </c>
      <c r="X755" t="s">
        <v>14873</v>
      </c>
      <c r="Y755" t="s">
        <v>14874</v>
      </c>
      <c r="Z755" t="s">
        <v>14875</v>
      </c>
      <c r="AA755" t="s">
        <v>14876</v>
      </c>
      <c r="AB755" t="s">
        <v>14877</v>
      </c>
      <c r="AC755" t="s">
        <v>74</v>
      </c>
      <c r="AD755" t="s">
        <v>74</v>
      </c>
      <c r="AE755" t="s">
        <v>74</v>
      </c>
      <c r="AF755" t="s">
        <v>74</v>
      </c>
      <c r="AG755">
        <v>32</v>
      </c>
      <c r="AH755">
        <v>137</v>
      </c>
      <c r="AI755">
        <v>155</v>
      </c>
      <c r="AJ755">
        <v>17</v>
      </c>
      <c r="AK755">
        <v>121</v>
      </c>
      <c r="AL755" t="s">
        <v>151</v>
      </c>
      <c r="AM755" t="s">
        <v>152</v>
      </c>
      <c r="AN755" t="s">
        <v>153</v>
      </c>
      <c r="AO755" t="s">
        <v>1517</v>
      </c>
      <c r="AP755" t="s">
        <v>1518</v>
      </c>
      <c r="AQ755" t="s">
        <v>74</v>
      </c>
      <c r="AR755" t="s">
        <v>1519</v>
      </c>
      <c r="AS755" t="s">
        <v>1520</v>
      </c>
      <c r="AT755" t="s">
        <v>14878</v>
      </c>
      <c r="AU755">
        <v>2020</v>
      </c>
      <c r="AV755">
        <v>47</v>
      </c>
      <c r="AW755">
        <v>8</v>
      </c>
      <c r="AX755" t="s">
        <v>74</v>
      </c>
      <c r="AY755" t="s">
        <v>74</v>
      </c>
      <c r="AZ755" t="s">
        <v>74</v>
      </c>
      <c r="BA755" t="s">
        <v>74</v>
      </c>
      <c r="BB755" t="s">
        <v>74</v>
      </c>
      <c r="BC755" t="s">
        <v>74</v>
      </c>
      <c r="BD755" t="s">
        <v>14879</v>
      </c>
      <c r="BE755" t="s">
        <v>14880</v>
      </c>
      <c r="BF755" t="str">
        <f>HYPERLINK("http://dx.doi.org/10.1029/2020GL087291","http://dx.doi.org/10.1029/2020GL087291")</f>
        <v>http://dx.doi.org/10.1029/2020GL087291</v>
      </c>
      <c r="BG755" t="s">
        <v>74</v>
      </c>
      <c r="BH755" t="s">
        <v>74</v>
      </c>
      <c r="BI755">
        <v>8</v>
      </c>
      <c r="BJ755" t="s">
        <v>471</v>
      </c>
      <c r="BK755" t="s">
        <v>102</v>
      </c>
      <c r="BL755" t="s">
        <v>472</v>
      </c>
      <c r="BM755" t="s">
        <v>14881</v>
      </c>
      <c r="BN755" t="s">
        <v>74</v>
      </c>
      <c r="BO755" t="s">
        <v>294</v>
      </c>
      <c r="BP755" t="s">
        <v>162</v>
      </c>
      <c r="BQ755" t="s">
        <v>163</v>
      </c>
      <c r="BR755" t="s">
        <v>106</v>
      </c>
      <c r="BS755" t="s">
        <v>14882</v>
      </c>
      <c r="BT755" t="str">
        <f>HYPERLINK("https%3A%2F%2Fwww.webofscience.com%2Fwos%2Fwoscc%2Ffull-record%2FWOS:000530332600014","View Full Record in Web of Science")</f>
        <v>View Full Record in Web of Science</v>
      </c>
    </row>
    <row r="756" spans="1:72" x14ac:dyDescent="0.15">
      <c r="A756" t="s">
        <v>72</v>
      </c>
      <c r="B756" t="s">
        <v>14883</v>
      </c>
      <c r="C756" t="s">
        <v>74</v>
      </c>
      <c r="D756" t="s">
        <v>74</v>
      </c>
      <c r="E756" t="s">
        <v>74</v>
      </c>
      <c r="F756" t="s">
        <v>14884</v>
      </c>
      <c r="G756" t="s">
        <v>74</v>
      </c>
      <c r="H756" t="s">
        <v>74</v>
      </c>
      <c r="I756" t="s">
        <v>14885</v>
      </c>
      <c r="J756" t="s">
        <v>1039</v>
      </c>
      <c r="K756" t="s">
        <v>74</v>
      </c>
      <c r="L756" t="s">
        <v>74</v>
      </c>
      <c r="M756" t="s">
        <v>78</v>
      </c>
      <c r="N756" t="s">
        <v>1040</v>
      </c>
      <c r="O756" t="s">
        <v>74</v>
      </c>
      <c r="P756" t="s">
        <v>74</v>
      </c>
      <c r="Q756" t="s">
        <v>74</v>
      </c>
      <c r="R756" t="s">
        <v>74</v>
      </c>
      <c r="S756" t="s">
        <v>74</v>
      </c>
      <c r="T756" t="s">
        <v>74</v>
      </c>
      <c r="U756" t="s">
        <v>14886</v>
      </c>
      <c r="V756" t="s">
        <v>14887</v>
      </c>
      <c r="W756" t="s">
        <v>14888</v>
      </c>
      <c r="X756" t="s">
        <v>14889</v>
      </c>
      <c r="Y756" t="s">
        <v>14890</v>
      </c>
      <c r="Z756" t="s">
        <v>14891</v>
      </c>
      <c r="AA756" t="s">
        <v>14892</v>
      </c>
      <c r="AB756" t="s">
        <v>14893</v>
      </c>
      <c r="AC756" t="s">
        <v>14894</v>
      </c>
      <c r="AD756" t="s">
        <v>14895</v>
      </c>
      <c r="AE756" t="s">
        <v>14896</v>
      </c>
      <c r="AF756" t="s">
        <v>74</v>
      </c>
      <c r="AG756">
        <v>40</v>
      </c>
      <c r="AH756">
        <v>7</v>
      </c>
      <c r="AI756">
        <v>7</v>
      </c>
      <c r="AJ756">
        <v>0</v>
      </c>
      <c r="AK756">
        <v>7</v>
      </c>
      <c r="AL756" t="s">
        <v>1049</v>
      </c>
      <c r="AM756" t="s">
        <v>1050</v>
      </c>
      <c r="AN756" t="s">
        <v>1051</v>
      </c>
      <c r="AO756" t="s">
        <v>1052</v>
      </c>
      <c r="AP756" t="s">
        <v>1053</v>
      </c>
      <c r="AQ756" t="s">
        <v>74</v>
      </c>
      <c r="AR756" t="s">
        <v>1054</v>
      </c>
      <c r="AS756" t="s">
        <v>1055</v>
      </c>
      <c r="AT756" t="s">
        <v>14878</v>
      </c>
      <c r="AU756">
        <v>2020</v>
      </c>
      <c r="AV756">
        <v>12</v>
      </c>
      <c r="AW756">
        <v>2</v>
      </c>
      <c r="AX756" t="s">
        <v>74</v>
      </c>
      <c r="AY756" t="s">
        <v>74</v>
      </c>
      <c r="AZ756" t="s">
        <v>74</v>
      </c>
      <c r="BA756" t="s">
        <v>74</v>
      </c>
      <c r="BB756">
        <v>947</v>
      </c>
      <c r="BC756">
        <v>960</v>
      </c>
      <c r="BD756" t="s">
        <v>74</v>
      </c>
      <c r="BE756" t="s">
        <v>14897</v>
      </c>
      <c r="BF756" t="str">
        <f>HYPERLINK("http://dx.doi.org/10.5194/essd-12-947-2020","http://dx.doi.org/10.5194/essd-12-947-2020")</f>
        <v>http://dx.doi.org/10.5194/essd-12-947-2020</v>
      </c>
      <c r="BG756" t="s">
        <v>74</v>
      </c>
      <c r="BH756" t="s">
        <v>74</v>
      </c>
      <c r="BI756">
        <v>14</v>
      </c>
      <c r="BJ756" t="s">
        <v>1057</v>
      </c>
      <c r="BK756" t="s">
        <v>102</v>
      </c>
      <c r="BL756" t="s">
        <v>1058</v>
      </c>
      <c r="BM756" t="s">
        <v>14898</v>
      </c>
      <c r="BN756" t="s">
        <v>74</v>
      </c>
      <c r="BO756" t="s">
        <v>1060</v>
      </c>
      <c r="BP756" t="s">
        <v>74</v>
      </c>
      <c r="BQ756" t="s">
        <v>74</v>
      </c>
      <c r="BR756" t="s">
        <v>106</v>
      </c>
      <c r="BS756" t="s">
        <v>14899</v>
      </c>
      <c r="BT756" t="str">
        <f>HYPERLINK("https%3A%2F%2Fwww.webofscience.com%2Fwos%2Fwoscc%2Ffull-record%2FWOS:000529403500001","View Full Record in Web of Science")</f>
        <v>View Full Record in Web of Science</v>
      </c>
    </row>
    <row r="757" spans="1:72" x14ac:dyDescent="0.15">
      <c r="A757" t="s">
        <v>72</v>
      </c>
      <c r="B757" t="s">
        <v>14900</v>
      </c>
      <c r="C757" t="s">
        <v>74</v>
      </c>
      <c r="D757" t="s">
        <v>74</v>
      </c>
      <c r="E757" t="s">
        <v>74</v>
      </c>
      <c r="F757" t="s">
        <v>14901</v>
      </c>
      <c r="G757" t="s">
        <v>74</v>
      </c>
      <c r="H757" t="s">
        <v>74</v>
      </c>
      <c r="I757" t="s">
        <v>14902</v>
      </c>
      <c r="J757" t="s">
        <v>14903</v>
      </c>
      <c r="K757" t="s">
        <v>74</v>
      </c>
      <c r="L757" t="s">
        <v>74</v>
      </c>
      <c r="M757" t="s">
        <v>78</v>
      </c>
      <c r="N757" t="s">
        <v>79</v>
      </c>
      <c r="O757" t="s">
        <v>74</v>
      </c>
      <c r="P757" t="s">
        <v>74</v>
      </c>
      <c r="Q757" t="s">
        <v>74</v>
      </c>
      <c r="R757" t="s">
        <v>74</v>
      </c>
      <c r="S757" t="s">
        <v>74</v>
      </c>
      <c r="T757" t="s">
        <v>14904</v>
      </c>
      <c r="U757" t="s">
        <v>14905</v>
      </c>
      <c r="V757" t="s">
        <v>14906</v>
      </c>
      <c r="W757" t="s">
        <v>14907</v>
      </c>
      <c r="X757" t="s">
        <v>14908</v>
      </c>
      <c r="Y757" t="s">
        <v>14909</v>
      </c>
      <c r="Z757" t="s">
        <v>14910</v>
      </c>
      <c r="AA757" t="s">
        <v>14911</v>
      </c>
      <c r="AB757" t="s">
        <v>14912</v>
      </c>
      <c r="AC757" t="s">
        <v>14913</v>
      </c>
      <c r="AD757" t="s">
        <v>14914</v>
      </c>
      <c r="AE757" t="s">
        <v>14915</v>
      </c>
      <c r="AF757" t="s">
        <v>74</v>
      </c>
      <c r="AG757">
        <v>93</v>
      </c>
      <c r="AH757">
        <v>13</v>
      </c>
      <c r="AI757">
        <v>14</v>
      </c>
      <c r="AJ757">
        <v>3</v>
      </c>
      <c r="AK757">
        <v>33</v>
      </c>
      <c r="AL757" t="s">
        <v>1440</v>
      </c>
      <c r="AM757" t="s">
        <v>1628</v>
      </c>
      <c r="AN757" t="s">
        <v>1629</v>
      </c>
      <c r="AO757" t="s">
        <v>14916</v>
      </c>
      <c r="AP757" t="s">
        <v>14917</v>
      </c>
      <c r="AQ757" t="s">
        <v>74</v>
      </c>
      <c r="AR757" t="s">
        <v>14918</v>
      </c>
      <c r="AS757" t="s">
        <v>14919</v>
      </c>
      <c r="AT757" t="s">
        <v>1176</v>
      </c>
      <c r="AU757">
        <v>2020</v>
      </c>
      <c r="AV757">
        <v>42</v>
      </c>
      <c r="AW757">
        <v>12</v>
      </c>
      <c r="AX757" t="s">
        <v>74</v>
      </c>
      <c r="AY757" t="s">
        <v>74</v>
      </c>
      <c r="AZ757" t="s">
        <v>2622</v>
      </c>
      <c r="BA757" t="s">
        <v>74</v>
      </c>
      <c r="BB757">
        <v>4407</v>
      </c>
      <c r="BC757">
        <v>4429</v>
      </c>
      <c r="BD757" t="s">
        <v>74</v>
      </c>
      <c r="BE757" t="s">
        <v>14920</v>
      </c>
      <c r="BF757" t="str">
        <f>HYPERLINK("http://dx.doi.org/10.1007/s10653-020-00587-2","http://dx.doi.org/10.1007/s10653-020-00587-2")</f>
        <v>http://dx.doi.org/10.1007/s10653-020-00587-2</v>
      </c>
      <c r="BG757" t="s">
        <v>74</v>
      </c>
      <c r="BH757" t="s">
        <v>14775</v>
      </c>
      <c r="BI757">
        <v>23</v>
      </c>
      <c r="BJ757" t="s">
        <v>14921</v>
      </c>
      <c r="BK757" t="s">
        <v>102</v>
      </c>
      <c r="BL757" t="s">
        <v>14922</v>
      </c>
      <c r="BM757" t="s">
        <v>14923</v>
      </c>
      <c r="BN757">
        <v>32347514</v>
      </c>
      <c r="BO757" t="s">
        <v>74</v>
      </c>
      <c r="BP757" t="s">
        <v>74</v>
      </c>
      <c r="BQ757" t="s">
        <v>74</v>
      </c>
      <c r="BR757" t="s">
        <v>106</v>
      </c>
      <c r="BS757" t="s">
        <v>14924</v>
      </c>
      <c r="BT757" t="str">
        <f>HYPERLINK("https%3A%2F%2Fwww.webofscience.com%2Fwos%2Fwoscc%2Ffull-record%2FWOS:000529473600001","View Full Record in Web of Science")</f>
        <v>View Full Record in Web of Science</v>
      </c>
    </row>
    <row r="758" spans="1:72" x14ac:dyDescent="0.15">
      <c r="A758" t="s">
        <v>72</v>
      </c>
      <c r="B758" t="s">
        <v>14925</v>
      </c>
      <c r="C758" t="s">
        <v>74</v>
      </c>
      <c r="D758" t="s">
        <v>74</v>
      </c>
      <c r="E758" t="s">
        <v>74</v>
      </c>
      <c r="F758" t="s">
        <v>14926</v>
      </c>
      <c r="G758" t="s">
        <v>74</v>
      </c>
      <c r="H758" t="s">
        <v>74</v>
      </c>
      <c r="I758" t="s">
        <v>14927</v>
      </c>
      <c r="J758" t="s">
        <v>2028</v>
      </c>
      <c r="K758" t="s">
        <v>74</v>
      </c>
      <c r="L758" t="s">
        <v>74</v>
      </c>
      <c r="M758" t="s">
        <v>78</v>
      </c>
      <c r="N758" t="s">
        <v>79</v>
      </c>
      <c r="O758" t="s">
        <v>74</v>
      </c>
      <c r="P758" t="s">
        <v>74</v>
      </c>
      <c r="Q758" t="s">
        <v>74</v>
      </c>
      <c r="R758" t="s">
        <v>74</v>
      </c>
      <c r="S758" t="s">
        <v>74</v>
      </c>
      <c r="T758" t="s">
        <v>14928</v>
      </c>
      <c r="U758" t="s">
        <v>14929</v>
      </c>
      <c r="V758" t="s">
        <v>14930</v>
      </c>
      <c r="W758" t="s">
        <v>14931</v>
      </c>
      <c r="X758" t="s">
        <v>14932</v>
      </c>
      <c r="Y758" t="s">
        <v>14933</v>
      </c>
      <c r="Z758" t="s">
        <v>14934</v>
      </c>
      <c r="AA758" t="s">
        <v>14935</v>
      </c>
      <c r="AB758" t="s">
        <v>74</v>
      </c>
      <c r="AC758" t="s">
        <v>14936</v>
      </c>
      <c r="AD758" t="s">
        <v>14937</v>
      </c>
      <c r="AE758" t="s">
        <v>14938</v>
      </c>
      <c r="AF758" t="s">
        <v>74</v>
      </c>
      <c r="AG758">
        <v>93</v>
      </c>
      <c r="AH758">
        <v>5</v>
      </c>
      <c r="AI758">
        <v>5</v>
      </c>
      <c r="AJ758">
        <v>2</v>
      </c>
      <c r="AK758">
        <v>10</v>
      </c>
      <c r="AL758" t="s">
        <v>1024</v>
      </c>
      <c r="AM758" t="s">
        <v>1025</v>
      </c>
      <c r="AN758" t="s">
        <v>1026</v>
      </c>
      <c r="AO758" t="s">
        <v>74</v>
      </c>
      <c r="AP758" t="s">
        <v>2040</v>
      </c>
      <c r="AQ758" t="s">
        <v>74</v>
      </c>
      <c r="AR758" t="s">
        <v>2041</v>
      </c>
      <c r="AS758" t="s">
        <v>2042</v>
      </c>
      <c r="AT758" t="s">
        <v>14878</v>
      </c>
      <c r="AU758">
        <v>2020</v>
      </c>
      <c r="AV758">
        <v>11</v>
      </c>
      <c r="AW758" t="s">
        <v>74</v>
      </c>
      <c r="AX758" t="s">
        <v>74</v>
      </c>
      <c r="AY758" t="s">
        <v>74</v>
      </c>
      <c r="AZ758" t="s">
        <v>74</v>
      </c>
      <c r="BA758" t="s">
        <v>74</v>
      </c>
      <c r="BB758" t="s">
        <v>74</v>
      </c>
      <c r="BC758" t="s">
        <v>74</v>
      </c>
      <c r="BD758">
        <v>783</v>
      </c>
      <c r="BE758" t="s">
        <v>14939</v>
      </c>
      <c r="BF758" t="str">
        <f>HYPERLINK("http://dx.doi.org/10.3389/fmicb.2020.00783","http://dx.doi.org/10.3389/fmicb.2020.00783")</f>
        <v>http://dx.doi.org/10.3389/fmicb.2020.00783</v>
      </c>
      <c r="BG758" t="s">
        <v>74</v>
      </c>
      <c r="BH758" t="s">
        <v>74</v>
      </c>
      <c r="BI758">
        <v>15</v>
      </c>
      <c r="BJ758" t="s">
        <v>2045</v>
      </c>
      <c r="BK758" t="s">
        <v>102</v>
      </c>
      <c r="BL758" t="s">
        <v>2045</v>
      </c>
      <c r="BM758" t="s">
        <v>14940</v>
      </c>
      <c r="BN758">
        <v>32411115</v>
      </c>
      <c r="BO758" t="s">
        <v>1778</v>
      </c>
      <c r="BP758" t="s">
        <v>74</v>
      </c>
      <c r="BQ758" t="s">
        <v>74</v>
      </c>
      <c r="BR758" t="s">
        <v>106</v>
      </c>
      <c r="BS758" t="s">
        <v>14941</v>
      </c>
      <c r="BT758" t="str">
        <f>HYPERLINK("https%3A%2F%2Fwww.webofscience.com%2Fwos%2Fwoscc%2Ffull-record%2FWOS:000533381500001","View Full Record in Web of Science")</f>
        <v>View Full Record in Web of Science</v>
      </c>
    </row>
    <row r="759" spans="1:72" x14ac:dyDescent="0.15">
      <c r="A759" t="s">
        <v>72</v>
      </c>
      <c r="B759" t="s">
        <v>14942</v>
      </c>
      <c r="C759" t="s">
        <v>74</v>
      </c>
      <c r="D759" t="s">
        <v>74</v>
      </c>
      <c r="E759" t="s">
        <v>74</v>
      </c>
      <c r="F759" t="s">
        <v>14943</v>
      </c>
      <c r="G759" t="s">
        <v>74</v>
      </c>
      <c r="H759" t="s">
        <v>74</v>
      </c>
      <c r="I759" t="s">
        <v>14944</v>
      </c>
      <c r="J759" t="s">
        <v>2007</v>
      </c>
      <c r="K759" t="s">
        <v>74</v>
      </c>
      <c r="L759" t="s">
        <v>74</v>
      </c>
      <c r="M759" t="s">
        <v>78</v>
      </c>
      <c r="N759" t="s">
        <v>79</v>
      </c>
      <c r="O759" t="s">
        <v>74</v>
      </c>
      <c r="P759" t="s">
        <v>74</v>
      </c>
      <c r="Q759" t="s">
        <v>74</v>
      </c>
      <c r="R759" t="s">
        <v>74</v>
      </c>
      <c r="S759" t="s">
        <v>74</v>
      </c>
      <c r="T759" t="s">
        <v>74</v>
      </c>
      <c r="U759" t="s">
        <v>14945</v>
      </c>
      <c r="V759" t="s">
        <v>14946</v>
      </c>
      <c r="W759" t="s">
        <v>14947</v>
      </c>
      <c r="X759" t="s">
        <v>14948</v>
      </c>
      <c r="Y759" t="s">
        <v>14949</v>
      </c>
      <c r="Z759" t="s">
        <v>14950</v>
      </c>
      <c r="AA759" t="s">
        <v>14951</v>
      </c>
      <c r="AB759" t="s">
        <v>14952</v>
      </c>
      <c r="AC759" t="s">
        <v>14953</v>
      </c>
      <c r="AD759" t="s">
        <v>14954</v>
      </c>
      <c r="AE759" t="s">
        <v>14955</v>
      </c>
      <c r="AF759" t="s">
        <v>74</v>
      </c>
      <c r="AG759">
        <v>49</v>
      </c>
      <c r="AH759">
        <v>35</v>
      </c>
      <c r="AI759">
        <v>40</v>
      </c>
      <c r="AJ759">
        <v>2</v>
      </c>
      <c r="AK759">
        <v>14</v>
      </c>
      <c r="AL759" t="s">
        <v>1049</v>
      </c>
      <c r="AM759" t="s">
        <v>1050</v>
      </c>
      <c r="AN759" t="s">
        <v>1051</v>
      </c>
      <c r="AO759" t="s">
        <v>2019</v>
      </c>
      <c r="AP759" t="s">
        <v>2020</v>
      </c>
      <c r="AQ759" t="s">
        <v>74</v>
      </c>
      <c r="AR759" t="s">
        <v>2007</v>
      </c>
      <c r="AS759" t="s">
        <v>2021</v>
      </c>
      <c r="AT759" t="s">
        <v>14956</v>
      </c>
      <c r="AU759">
        <v>2020</v>
      </c>
      <c r="AV759">
        <v>14</v>
      </c>
      <c r="AW759">
        <v>4</v>
      </c>
      <c r="AX759" t="s">
        <v>74</v>
      </c>
      <c r="AY759" t="s">
        <v>74</v>
      </c>
      <c r="AZ759" t="s">
        <v>74</v>
      </c>
      <c r="BA759" t="s">
        <v>74</v>
      </c>
      <c r="BB759">
        <v>1399</v>
      </c>
      <c r="BC759">
        <v>1408</v>
      </c>
      <c r="BD759" t="s">
        <v>74</v>
      </c>
      <c r="BE759" t="s">
        <v>14957</v>
      </c>
      <c r="BF759" t="str">
        <f>HYPERLINK("http://dx.doi.org/10.5194/tc-14-1399-2020","http://dx.doi.org/10.5194/tc-14-1399-2020")</f>
        <v>http://dx.doi.org/10.5194/tc-14-1399-2020</v>
      </c>
      <c r="BG759" t="s">
        <v>74</v>
      </c>
      <c r="BH759" t="s">
        <v>74</v>
      </c>
      <c r="BI759">
        <v>10</v>
      </c>
      <c r="BJ759" t="s">
        <v>694</v>
      </c>
      <c r="BK759" t="s">
        <v>102</v>
      </c>
      <c r="BL759" t="s">
        <v>695</v>
      </c>
      <c r="BM759" t="s">
        <v>14958</v>
      </c>
      <c r="BN759" t="s">
        <v>74</v>
      </c>
      <c r="BO759" t="s">
        <v>976</v>
      </c>
      <c r="BP759" t="s">
        <v>74</v>
      </c>
      <c r="BQ759" t="s">
        <v>74</v>
      </c>
      <c r="BR759" t="s">
        <v>106</v>
      </c>
      <c r="BS759" t="s">
        <v>14959</v>
      </c>
      <c r="BT759" t="str">
        <f>HYPERLINK("https%3A%2F%2Fwww.webofscience.com%2Fwos%2Fwoscc%2Ffull-record%2FWOS:000529396600001","View Full Record in Web of Science")</f>
        <v>View Full Record in Web of Science</v>
      </c>
    </row>
    <row r="760" spans="1:72" x14ac:dyDescent="0.15">
      <c r="A760" t="s">
        <v>72</v>
      </c>
      <c r="B760" t="s">
        <v>14960</v>
      </c>
      <c r="C760" t="s">
        <v>74</v>
      </c>
      <c r="D760" t="s">
        <v>74</v>
      </c>
      <c r="E760" t="s">
        <v>74</v>
      </c>
      <c r="F760" t="s">
        <v>14961</v>
      </c>
      <c r="G760" t="s">
        <v>74</v>
      </c>
      <c r="H760" t="s">
        <v>74</v>
      </c>
      <c r="I760" t="s">
        <v>14962</v>
      </c>
      <c r="J760" t="s">
        <v>1572</v>
      </c>
      <c r="K760" t="s">
        <v>74</v>
      </c>
      <c r="L760" t="s">
        <v>74</v>
      </c>
      <c r="M760" t="s">
        <v>78</v>
      </c>
      <c r="N760" t="s">
        <v>79</v>
      </c>
      <c r="O760" t="s">
        <v>74</v>
      </c>
      <c r="P760" t="s">
        <v>74</v>
      </c>
      <c r="Q760" t="s">
        <v>74</v>
      </c>
      <c r="R760" t="s">
        <v>74</v>
      </c>
      <c r="S760" t="s">
        <v>74</v>
      </c>
      <c r="T760" t="s">
        <v>14963</v>
      </c>
      <c r="U760" t="s">
        <v>14964</v>
      </c>
      <c r="V760" t="s">
        <v>14965</v>
      </c>
      <c r="W760" t="s">
        <v>14966</v>
      </c>
      <c r="X760" t="s">
        <v>1714</v>
      </c>
      <c r="Y760" t="s">
        <v>14967</v>
      </c>
      <c r="Z760" t="s">
        <v>14968</v>
      </c>
      <c r="AA760" t="s">
        <v>14969</v>
      </c>
      <c r="AB760" t="s">
        <v>14970</v>
      </c>
      <c r="AC760" t="s">
        <v>14971</v>
      </c>
      <c r="AD760" t="s">
        <v>14972</v>
      </c>
      <c r="AE760" t="s">
        <v>14973</v>
      </c>
      <c r="AF760" t="s">
        <v>74</v>
      </c>
      <c r="AG760">
        <v>83</v>
      </c>
      <c r="AH760">
        <v>9</v>
      </c>
      <c r="AI760">
        <v>10</v>
      </c>
      <c r="AJ760">
        <v>0</v>
      </c>
      <c r="AK760">
        <v>21</v>
      </c>
      <c r="AL760" t="s">
        <v>151</v>
      </c>
      <c r="AM760" t="s">
        <v>152</v>
      </c>
      <c r="AN760" t="s">
        <v>153</v>
      </c>
      <c r="AO760" t="s">
        <v>1585</v>
      </c>
      <c r="AP760" t="s">
        <v>1586</v>
      </c>
      <c r="AQ760" t="s">
        <v>74</v>
      </c>
      <c r="AR760" t="s">
        <v>1587</v>
      </c>
      <c r="AS760" t="s">
        <v>1588</v>
      </c>
      <c r="AT760" t="s">
        <v>14956</v>
      </c>
      <c r="AU760">
        <v>2020</v>
      </c>
      <c r="AV760">
        <v>125</v>
      </c>
      <c r="AW760">
        <v>8</v>
      </c>
      <c r="AX760" t="s">
        <v>74</v>
      </c>
      <c r="AY760" t="s">
        <v>74</v>
      </c>
      <c r="AZ760" t="s">
        <v>74</v>
      </c>
      <c r="BA760" t="s">
        <v>74</v>
      </c>
      <c r="BB760" t="s">
        <v>74</v>
      </c>
      <c r="BC760" t="s">
        <v>74</v>
      </c>
      <c r="BD760" t="s">
        <v>14974</v>
      </c>
      <c r="BE760" t="s">
        <v>14975</v>
      </c>
      <c r="BF760" t="str">
        <f>HYPERLINK("http://dx.doi.org/10.1029/2019JD030675","http://dx.doi.org/10.1029/2019JD030675")</f>
        <v>http://dx.doi.org/10.1029/2019JD030675</v>
      </c>
      <c r="BG760" t="s">
        <v>74</v>
      </c>
      <c r="BH760" t="s">
        <v>74</v>
      </c>
      <c r="BI760">
        <v>17</v>
      </c>
      <c r="BJ760" t="s">
        <v>159</v>
      </c>
      <c r="BK760" t="s">
        <v>102</v>
      </c>
      <c r="BL760" t="s">
        <v>159</v>
      </c>
      <c r="BM760" t="s">
        <v>14976</v>
      </c>
      <c r="BN760" t="s">
        <v>74</v>
      </c>
      <c r="BO760" t="s">
        <v>74</v>
      </c>
      <c r="BP760" t="s">
        <v>74</v>
      </c>
      <c r="BQ760" t="s">
        <v>74</v>
      </c>
      <c r="BR760" t="s">
        <v>106</v>
      </c>
      <c r="BS760" t="s">
        <v>14977</v>
      </c>
      <c r="BT760" t="str">
        <f>HYPERLINK("https%3A%2F%2Fwww.webofscience.com%2Fwos%2Fwoscc%2Ffull-record%2FWOS:000530005500008","View Full Record in Web of Science")</f>
        <v>View Full Record in Web of Science</v>
      </c>
    </row>
    <row r="761" spans="1:72" x14ac:dyDescent="0.15">
      <c r="A761" t="s">
        <v>72</v>
      </c>
      <c r="B761" t="s">
        <v>14978</v>
      </c>
      <c r="C761" t="s">
        <v>74</v>
      </c>
      <c r="D761" t="s">
        <v>74</v>
      </c>
      <c r="E761" t="s">
        <v>74</v>
      </c>
      <c r="F761" t="s">
        <v>14979</v>
      </c>
      <c r="G761" t="s">
        <v>74</v>
      </c>
      <c r="H761" t="s">
        <v>74</v>
      </c>
      <c r="I761" t="s">
        <v>14980</v>
      </c>
      <c r="J761" t="s">
        <v>2318</v>
      </c>
      <c r="K761" t="s">
        <v>74</v>
      </c>
      <c r="L761" t="s">
        <v>74</v>
      </c>
      <c r="M761" t="s">
        <v>78</v>
      </c>
      <c r="N761" t="s">
        <v>79</v>
      </c>
      <c r="O761" t="s">
        <v>74</v>
      </c>
      <c r="P761" t="s">
        <v>74</v>
      </c>
      <c r="Q761" t="s">
        <v>74</v>
      </c>
      <c r="R761" t="s">
        <v>74</v>
      </c>
      <c r="S761" t="s">
        <v>74</v>
      </c>
      <c r="T761" t="s">
        <v>14981</v>
      </c>
      <c r="U761" t="s">
        <v>14982</v>
      </c>
      <c r="V761" t="s">
        <v>14983</v>
      </c>
      <c r="W761" t="s">
        <v>14984</v>
      </c>
      <c r="X761" t="s">
        <v>14985</v>
      </c>
      <c r="Y761" t="s">
        <v>14986</v>
      </c>
      <c r="Z761" t="s">
        <v>14987</v>
      </c>
      <c r="AA761" t="s">
        <v>14988</v>
      </c>
      <c r="AB761" t="s">
        <v>14989</v>
      </c>
      <c r="AC761" t="s">
        <v>14990</v>
      </c>
      <c r="AD761" t="s">
        <v>14991</v>
      </c>
      <c r="AE761" t="s">
        <v>14992</v>
      </c>
      <c r="AF761" t="s">
        <v>74</v>
      </c>
      <c r="AG761">
        <v>97</v>
      </c>
      <c r="AH761">
        <v>0</v>
      </c>
      <c r="AI761">
        <v>0</v>
      </c>
      <c r="AJ761">
        <v>0</v>
      </c>
      <c r="AK761">
        <v>12</v>
      </c>
      <c r="AL761" t="s">
        <v>1440</v>
      </c>
      <c r="AM761" t="s">
        <v>399</v>
      </c>
      <c r="AN761" t="s">
        <v>1441</v>
      </c>
      <c r="AO761" t="s">
        <v>2331</v>
      </c>
      <c r="AP761" t="s">
        <v>2332</v>
      </c>
      <c r="AQ761" t="s">
        <v>74</v>
      </c>
      <c r="AR761" t="s">
        <v>2333</v>
      </c>
      <c r="AS761" t="s">
        <v>2334</v>
      </c>
      <c r="AT761" t="s">
        <v>7663</v>
      </c>
      <c r="AU761">
        <v>2020</v>
      </c>
      <c r="AV761">
        <v>54</v>
      </c>
      <c r="AW761" t="s">
        <v>14993</v>
      </c>
      <c r="AX761" t="s">
        <v>74</v>
      </c>
      <c r="AY761" t="s">
        <v>74</v>
      </c>
      <c r="AZ761" t="s">
        <v>74</v>
      </c>
      <c r="BA761" t="s">
        <v>74</v>
      </c>
      <c r="BB761">
        <v>4775</v>
      </c>
      <c r="BC761">
        <v>4792</v>
      </c>
      <c r="BD761" t="s">
        <v>74</v>
      </c>
      <c r="BE761" t="s">
        <v>14994</v>
      </c>
      <c r="BF761" t="str">
        <f>HYPERLINK("http://dx.doi.org/10.1007/s00382-020-05253-y","http://dx.doi.org/10.1007/s00382-020-05253-y")</f>
        <v>http://dx.doi.org/10.1007/s00382-020-05253-y</v>
      </c>
      <c r="BG761" t="s">
        <v>74</v>
      </c>
      <c r="BH761" t="s">
        <v>14775</v>
      </c>
      <c r="BI761">
        <v>18</v>
      </c>
      <c r="BJ761" t="s">
        <v>159</v>
      </c>
      <c r="BK761" t="s">
        <v>102</v>
      </c>
      <c r="BL761" t="s">
        <v>159</v>
      </c>
      <c r="BM761" t="s">
        <v>14995</v>
      </c>
      <c r="BN761" t="s">
        <v>74</v>
      </c>
      <c r="BO761" t="s">
        <v>976</v>
      </c>
      <c r="BP761" t="s">
        <v>74</v>
      </c>
      <c r="BQ761" t="s">
        <v>74</v>
      </c>
      <c r="BR761" t="s">
        <v>106</v>
      </c>
      <c r="BS761" t="s">
        <v>14996</v>
      </c>
      <c r="BT761" t="str">
        <f>HYPERLINK("https%3A%2F%2Fwww.webofscience.com%2Fwos%2Fwoscc%2Ffull-record%2FWOS:000529130800002","View Full Record in Web of Science")</f>
        <v>View Full Record in Web of Science</v>
      </c>
    </row>
    <row r="762" spans="1:72" x14ac:dyDescent="0.15">
      <c r="A762" t="s">
        <v>72</v>
      </c>
      <c r="B762" t="s">
        <v>6234</v>
      </c>
      <c r="C762" t="s">
        <v>74</v>
      </c>
      <c r="D762" t="s">
        <v>74</v>
      </c>
      <c r="E762" t="s">
        <v>74</v>
      </c>
      <c r="F762" t="s">
        <v>6235</v>
      </c>
      <c r="G762" t="s">
        <v>74</v>
      </c>
      <c r="H762" t="s">
        <v>74</v>
      </c>
      <c r="I762" t="s">
        <v>14997</v>
      </c>
      <c r="J762" t="s">
        <v>5774</v>
      </c>
      <c r="K762" t="s">
        <v>74</v>
      </c>
      <c r="L762" t="s">
        <v>74</v>
      </c>
      <c r="M762" t="s">
        <v>78</v>
      </c>
      <c r="N762" t="s">
        <v>79</v>
      </c>
      <c r="O762" t="s">
        <v>74</v>
      </c>
      <c r="P762" t="s">
        <v>74</v>
      </c>
      <c r="Q762" t="s">
        <v>74</v>
      </c>
      <c r="R762" t="s">
        <v>74</v>
      </c>
      <c r="S762" t="s">
        <v>74</v>
      </c>
      <c r="T762" t="s">
        <v>74</v>
      </c>
      <c r="U762" t="s">
        <v>14998</v>
      </c>
      <c r="V762" t="s">
        <v>14999</v>
      </c>
      <c r="W762" t="s">
        <v>15000</v>
      </c>
      <c r="X762" t="s">
        <v>15001</v>
      </c>
      <c r="Y762" t="s">
        <v>15002</v>
      </c>
      <c r="Z762" t="s">
        <v>6240</v>
      </c>
      <c r="AA762" t="s">
        <v>15003</v>
      </c>
      <c r="AB762" t="s">
        <v>15004</v>
      </c>
      <c r="AC762" t="s">
        <v>15005</v>
      </c>
      <c r="AD762" t="s">
        <v>15006</v>
      </c>
      <c r="AE762" t="s">
        <v>15007</v>
      </c>
      <c r="AF762" t="s">
        <v>74</v>
      </c>
      <c r="AG762">
        <v>65</v>
      </c>
      <c r="AH762">
        <v>40</v>
      </c>
      <c r="AI762">
        <v>43</v>
      </c>
      <c r="AJ762">
        <v>3</v>
      </c>
      <c r="AK762">
        <v>36</v>
      </c>
      <c r="AL762" t="s">
        <v>1118</v>
      </c>
      <c r="AM762" t="s">
        <v>1119</v>
      </c>
      <c r="AN762" t="s">
        <v>1120</v>
      </c>
      <c r="AO762" t="s">
        <v>5782</v>
      </c>
      <c r="AP762" t="s">
        <v>5783</v>
      </c>
      <c r="AQ762" t="s">
        <v>74</v>
      </c>
      <c r="AR762" t="s">
        <v>5784</v>
      </c>
      <c r="AS762" t="s">
        <v>5785</v>
      </c>
      <c r="AT762" t="s">
        <v>11250</v>
      </c>
      <c r="AU762">
        <v>2020</v>
      </c>
      <c r="AV762">
        <v>10</v>
      </c>
      <c r="AW762">
        <v>5</v>
      </c>
      <c r="AX762" t="s">
        <v>74</v>
      </c>
      <c r="AY762" t="s">
        <v>74</v>
      </c>
      <c r="AZ762" t="s">
        <v>74</v>
      </c>
      <c r="BA762" t="s">
        <v>74</v>
      </c>
      <c r="BB762">
        <v>472</v>
      </c>
      <c r="BC762" t="s">
        <v>1244</v>
      </c>
      <c r="BD762" t="s">
        <v>74</v>
      </c>
      <c r="BE762" t="s">
        <v>15008</v>
      </c>
      <c r="BF762" t="str">
        <f>HYPERLINK("http://dx.doi.org/10.1038/s41558-020-0745-9","http://dx.doi.org/10.1038/s41558-020-0745-9")</f>
        <v>http://dx.doi.org/10.1038/s41558-020-0745-9</v>
      </c>
      <c r="BG762" t="s">
        <v>74</v>
      </c>
      <c r="BH762" t="s">
        <v>14775</v>
      </c>
      <c r="BI762">
        <v>20</v>
      </c>
      <c r="BJ762" t="s">
        <v>5787</v>
      </c>
      <c r="BK762" t="s">
        <v>925</v>
      </c>
      <c r="BL762" t="s">
        <v>2069</v>
      </c>
      <c r="BM762" t="s">
        <v>15009</v>
      </c>
      <c r="BN762" t="s">
        <v>74</v>
      </c>
      <c r="BO762" t="s">
        <v>74</v>
      </c>
      <c r="BP762" t="s">
        <v>74</v>
      </c>
      <c r="BQ762" t="s">
        <v>74</v>
      </c>
      <c r="BR762" t="s">
        <v>106</v>
      </c>
      <c r="BS762" t="s">
        <v>15010</v>
      </c>
      <c r="BT762" t="str">
        <f>HYPERLINK("https%3A%2F%2Fwww.webofscience.com%2Fwos%2Fwoscc%2Ffull-record%2FWOS:000528994000001","View Full Record in Web of Science")</f>
        <v>View Full Record in Web of Science</v>
      </c>
    </row>
    <row r="763" spans="1:72" x14ac:dyDescent="0.15">
      <c r="A763" t="s">
        <v>72</v>
      </c>
      <c r="B763" t="s">
        <v>15011</v>
      </c>
      <c r="C763" t="s">
        <v>74</v>
      </c>
      <c r="D763" t="s">
        <v>74</v>
      </c>
      <c r="E763" t="s">
        <v>74</v>
      </c>
      <c r="F763" t="s">
        <v>15012</v>
      </c>
      <c r="G763" t="s">
        <v>74</v>
      </c>
      <c r="H763" t="s">
        <v>74</v>
      </c>
      <c r="I763" t="s">
        <v>15013</v>
      </c>
      <c r="J763" t="s">
        <v>15014</v>
      </c>
      <c r="K763" t="s">
        <v>74</v>
      </c>
      <c r="L763" t="s">
        <v>74</v>
      </c>
      <c r="M763" t="s">
        <v>78</v>
      </c>
      <c r="N763" t="s">
        <v>79</v>
      </c>
      <c r="O763" t="s">
        <v>74</v>
      </c>
      <c r="P763" t="s">
        <v>74</v>
      </c>
      <c r="Q763" t="s">
        <v>74</v>
      </c>
      <c r="R763" t="s">
        <v>74</v>
      </c>
      <c r="S763" t="s">
        <v>74</v>
      </c>
      <c r="T763" t="s">
        <v>15015</v>
      </c>
      <c r="U763" t="s">
        <v>15016</v>
      </c>
      <c r="V763" t="s">
        <v>15017</v>
      </c>
      <c r="W763" t="s">
        <v>15018</v>
      </c>
      <c r="X763" t="s">
        <v>15019</v>
      </c>
      <c r="Y763" t="s">
        <v>15020</v>
      </c>
      <c r="Z763" t="s">
        <v>572</v>
      </c>
      <c r="AA763" t="s">
        <v>15021</v>
      </c>
      <c r="AB763" t="s">
        <v>74</v>
      </c>
      <c r="AC763" t="s">
        <v>15022</v>
      </c>
      <c r="AD763" t="s">
        <v>15022</v>
      </c>
      <c r="AE763" t="s">
        <v>15023</v>
      </c>
      <c r="AF763" t="s">
        <v>74</v>
      </c>
      <c r="AG763">
        <v>94</v>
      </c>
      <c r="AH763">
        <v>1</v>
      </c>
      <c r="AI763">
        <v>1</v>
      </c>
      <c r="AJ763">
        <v>2</v>
      </c>
      <c r="AK763">
        <v>7</v>
      </c>
      <c r="AL763" t="s">
        <v>15024</v>
      </c>
      <c r="AM763" t="s">
        <v>15025</v>
      </c>
      <c r="AN763" t="s">
        <v>15026</v>
      </c>
      <c r="AO763" t="s">
        <v>15027</v>
      </c>
      <c r="AP763" t="s">
        <v>15028</v>
      </c>
      <c r="AQ763" t="s">
        <v>74</v>
      </c>
      <c r="AR763" t="s">
        <v>15029</v>
      </c>
      <c r="AS763" t="s">
        <v>15030</v>
      </c>
      <c r="AT763" t="s">
        <v>11155</v>
      </c>
      <c r="AU763">
        <v>2020</v>
      </c>
      <c r="AV763">
        <v>120</v>
      </c>
      <c r="AW763">
        <v>2</v>
      </c>
      <c r="AX763" t="s">
        <v>74</v>
      </c>
      <c r="AY763" t="s">
        <v>74</v>
      </c>
      <c r="AZ763" t="s">
        <v>74</v>
      </c>
      <c r="BA763" t="s">
        <v>74</v>
      </c>
      <c r="BB763">
        <v>142</v>
      </c>
      <c r="BC763">
        <v>149</v>
      </c>
      <c r="BD763" t="s">
        <v>74</v>
      </c>
      <c r="BE763" t="s">
        <v>15031</v>
      </c>
      <c r="BF763" t="str">
        <f>HYPERLINK("http://dx.doi.org/10.1080/01584197.2020.1752733","http://dx.doi.org/10.1080/01584197.2020.1752733")</f>
        <v>http://dx.doi.org/10.1080/01584197.2020.1752733</v>
      </c>
      <c r="BG763" t="s">
        <v>74</v>
      </c>
      <c r="BH763" t="s">
        <v>14775</v>
      </c>
      <c r="BI763">
        <v>8</v>
      </c>
      <c r="BJ763" t="s">
        <v>11157</v>
      </c>
      <c r="BK763" t="s">
        <v>102</v>
      </c>
      <c r="BL763" t="s">
        <v>1499</v>
      </c>
      <c r="BM763" t="s">
        <v>15032</v>
      </c>
      <c r="BN763" t="s">
        <v>74</v>
      </c>
      <c r="BO763" t="s">
        <v>74</v>
      </c>
      <c r="BP763" t="s">
        <v>74</v>
      </c>
      <c r="BQ763" t="s">
        <v>74</v>
      </c>
      <c r="BR763" t="s">
        <v>106</v>
      </c>
      <c r="BS763" t="s">
        <v>15033</v>
      </c>
      <c r="BT763" t="str">
        <f>HYPERLINK("https%3A%2F%2Fwww.webofscience.com%2Fwos%2Fwoscc%2Ffull-record%2FWOS:000533248300001","View Full Record in Web of Science")</f>
        <v>View Full Record in Web of Science</v>
      </c>
    </row>
    <row r="764" spans="1:72" x14ac:dyDescent="0.15">
      <c r="A764" t="s">
        <v>72</v>
      </c>
      <c r="B764" t="s">
        <v>15034</v>
      </c>
      <c r="C764" t="s">
        <v>74</v>
      </c>
      <c r="D764" t="s">
        <v>74</v>
      </c>
      <c r="E764" t="s">
        <v>74</v>
      </c>
      <c r="F764" t="s">
        <v>15035</v>
      </c>
      <c r="G764" t="s">
        <v>74</v>
      </c>
      <c r="H764" t="s">
        <v>74</v>
      </c>
      <c r="I764" t="s">
        <v>15036</v>
      </c>
      <c r="J764" t="s">
        <v>15037</v>
      </c>
      <c r="K764" t="s">
        <v>74</v>
      </c>
      <c r="L764" t="s">
        <v>74</v>
      </c>
      <c r="M764" t="s">
        <v>78</v>
      </c>
      <c r="N764" t="s">
        <v>79</v>
      </c>
      <c r="O764" t="s">
        <v>74</v>
      </c>
      <c r="P764" t="s">
        <v>74</v>
      </c>
      <c r="Q764" t="s">
        <v>74</v>
      </c>
      <c r="R764" t="s">
        <v>74</v>
      </c>
      <c r="S764" t="s">
        <v>74</v>
      </c>
      <c r="T764" t="s">
        <v>15038</v>
      </c>
      <c r="U764" t="s">
        <v>15039</v>
      </c>
      <c r="V764" t="s">
        <v>15040</v>
      </c>
      <c r="W764" t="s">
        <v>15041</v>
      </c>
      <c r="X764" t="s">
        <v>15042</v>
      </c>
      <c r="Y764" t="s">
        <v>15043</v>
      </c>
      <c r="Z764" t="s">
        <v>15044</v>
      </c>
      <c r="AA764" t="s">
        <v>74</v>
      </c>
      <c r="AB764" t="s">
        <v>74</v>
      </c>
      <c r="AC764" t="s">
        <v>15045</v>
      </c>
      <c r="AD764" t="s">
        <v>15046</v>
      </c>
      <c r="AE764" t="s">
        <v>15047</v>
      </c>
      <c r="AF764" t="s">
        <v>74</v>
      </c>
      <c r="AG764">
        <v>30</v>
      </c>
      <c r="AH764">
        <v>1</v>
      </c>
      <c r="AI764">
        <v>1</v>
      </c>
      <c r="AJ764">
        <v>2</v>
      </c>
      <c r="AK764">
        <v>22</v>
      </c>
      <c r="AL764" t="s">
        <v>1411</v>
      </c>
      <c r="AM764" t="s">
        <v>1412</v>
      </c>
      <c r="AN764" t="s">
        <v>1413</v>
      </c>
      <c r="AO764" t="s">
        <v>15048</v>
      </c>
      <c r="AP764" t="s">
        <v>15049</v>
      </c>
      <c r="AQ764" t="s">
        <v>74</v>
      </c>
      <c r="AR764" t="s">
        <v>15050</v>
      </c>
      <c r="AS764" t="s">
        <v>15051</v>
      </c>
      <c r="AT764" t="s">
        <v>15052</v>
      </c>
      <c r="AU764">
        <v>2020</v>
      </c>
      <c r="AV764">
        <v>38</v>
      </c>
      <c r="AW764">
        <v>5</v>
      </c>
      <c r="AX764" t="s">
        <v>74</v>
      </c>
      <c r="AY764" t="s">
        <v>74</v>
      </c>
      <c r="AZ764" t="s">
        <v>74</v>
      </c>
      <c r="BA764" t="s">
        <v>74</v>
      </c>
      <c r="BB764">
        <v>376</v>
      </c>
      <c r="BC764">
        <v>384</v>
      </c>
      <c r="BD764" t="s">
        <v>74</v>
      </c>
      <c r="BE764" t="s">
        <v>15053</v>
      </c>
      <c r="BF764" t="str">
        <f>HYPERLINK("http://dx.doi.org/10.1080/10242422.2020.1752198","http://dx.doi.org/10.1080/10242422.2020.1752198")</f>
        <v>http://dx.doi.org/10.1080/10242422.2020.1752198</v>
      </c>
      <c r="BG764" t="s">
        <v>74</v>
      </c>
      <c r="BH764" t="s">
        <v>14775</v>
      </c>
      <c r="BI764">
        <v>9</v>
      </c>
      <c r="BJ764" t="s">
        <v>15054</v>
      </c>
      <c r="BK764" t="s">
        <v>102</v>
      </c>
      <c r="BL764" t="s">
        <v>15054</v>
      </c>
      <c r="BM764" t="s">
        <v>15055</v>
      </c>
      <c r="BN764" t="s">
        <v>74</v>
      </c>
      <c r="BO764" t="s">
        <v>74</v>
      </c>
      <c r="BP764" t="s">
        <v>74</v>
      </c>
      <c r="BQ764" t="s">
        <v>74</v>
      </c>
      <c r="BR764" t="s">
        <v>106</v>
      </c>
      <c r="BS764" t="s">
        <v>15056</v>
      </c>
      <c r="BT764" t="str">
        <f>HYPERLINK("https%3A%2F%2Fwww.webofscience.com%2Fwos%2Fwoscc%2Ffull-record%2FWOS:000531979100001","View Full Record in Web of Science")</f>
        <v>View Full Record in Web of Science</v>
      </c>
    </row>
    <row r="765" spans="1:72" x14ac:dyDescent="0.15">
      <c r="A765" t="s">
        <v>72</v>
      </c>
      <c r="B765" t="s">
        <v>15057</v>
      </c>
      <c r="C765" t="s">
        <v>74</v>
      </c>
      <c r="D765" t="s">
        <v>74</v>
      </c>
      <c r="E765" t="s">
        <v>74</v>
      </c>
      <c r="F765" t="s">
        <v>15058</v>
      </c>
      <c r="G765" t="s">
        <v>74</v>
      </c>
      <c r="H765" t="s">
        <v>74</v>
      </c>
      <c r="I765" t="s">
        <v>15059</v>
      </c>
      <c r="J765" t="s">
        <v>1783</v>
      </c>
      <c r="K765" t="s">
        <v>74</v>
      </c>
      <c r="L765" t="s">
        <v>74</v>
      </c>
      <c r="M765" t="s">
        <v>78</v>
      </c>
      <c r="N765" t="s">
        <v>79</v>
      </c>
      <c r="O765" t="s">
        <v>74</v>
      </c>
      <c r="P765" t="s">
        <v>74</v>
      </c>
      <c r="Q765" t="s">
        <v>74</v>
      </c>
      <c r="R765" t="s">
        <v>74</v>
      </c>
      <c r="S765" t="s">
        <v>74</v>
      </c>
      <c r="T765" t="s">
        <v>15060</v>
      </c>
      <c r="U765" t="s">
        <v>15061</v>
      </c>
      <c r="V765" t="s">
        <v>15062</v>
      </c>
      <c r="W765" t="s">
        <v>15063</v>
      </c>
      <c r="X765" t="s">
        <v>15064</v>
      </c>
      <c r="Y765" t="s">
        <v>15065</v>
      </c>
      <c r="Z765" t="s">
        <v>7241</v>
      </c>
      <c r="AA765" t="s">
        <v>15066</v>
      </c>
      <c r="AB765" t="s">
        <v>15067</v>
      </c>
      <c r="AC765" t="s">
        <v>15068</v>
      </c>
      <c r="AD765" t="s">
        <v>15069</v>
      </c>
      <c r="AE765" t="s">
        <v>15070</v>
      </c>
      <c r="AF765" t="s">
        <v>74</v>
      </c>
      <c r="AG765">
        <v>58</v>
      </c>
      <c r="AH765">
        <v>20</v>
      </c>
      <c r="AI765">
        <v>20</v>
      </c>
      <c r="AJ765">
        <v>3</v>
      </c>
      <c r="AK765">
        <v>18</v>
      </c>
      <c r="AL765" t="s">
        <v>1440</v>
      </c>
      <c r="AM765" t="s">
        <v>399</v>
      </c>
      <c r="AN765" t="s">
        <v>1441</v>
      </c>
      <c r="AO765" t="s">
        <v>1796</v>
      </c>
      <c r="AP765" t="s">
        <v>1797</v>
      </c>
      <c r="AQ765" t="s">
        <v>74</v>
      </c>
      <c r="AR765" t="s">
        <v>1798</v>
      </c>
      <c r="AS765" t="s">
        <v>1799</v>
      </c>
      <c r="AT765" t="s">
        <v>11250</v>
      </c>
      <c r="AU765">
        <v>2020</v>
      </c>
      <c r="AV765">
        <v>43</v>
      </c>
      <c r="AW765">
        <v>5</v>
      </c>
      <c r="AX765" t="s">
        <v>74</v>
      </c>
      <c r="AY765" t="s">
        <v>74</v>
      </c>
      <c r="AZ765" t="s">
        <v>74</v>
      </c>
      <c r="BA765" t="s">
        <v>74</v>
      </c>
      <c r="BB765">
        <v>587</v>
      </c>
      <c r="BC765">
        <v>596</v>
      </c>
      <c r="BD765" t="s">
        <v>74</v>
      </c>
      <c r="BE765" t="s">
        <v>15071</v>
      </c>
      <c r="BF765" t="str">
        <f>HYPERLINK("http://dx.doi.org/10.1007/s00300-020-02663-w","http://dx.doi.org/10.1007/s00300-020-02663-w")</f>
        <v>http://dx.doi.org/10.1007/s00300-020-02663-w</v>
      </c>
      <c r="BG765" t="s">
        <v>74</v>
      </c>
      <c r="BH765" t="s">
        <v>14775</v>
      </c>
      <c r="BI765">
        <v>10</v>
      </c>
      <c r="BJ765" t="s">
        <v>1004</v>
      </c>
      <c r="BK765" t="s">
        <v>102</v>
      </c>
      <c r="BL765" t="s">
        <v>1005</v>
      </c>
      <c r="BM765" t="s">
        <v>13979</v>
      </c>
      <c r="BN765" t="s">
        <v>74</v>
      </c>
      <c r="BO765" t="s">
        <v>74</v>
      </c>
      <c r="BP765" t="s">
        <v>74</v>
      </c>
      <c r="BQ765" t="s">
        <v>74</v>
      </c>
      <c r="BR765" t="s">
        <v>106</v>
      </c>
      <c r="BS765" t="s">
        <v>15072</v>
      </c>
      <c r="BT765" t="str">
        <f>HYPERLINK("https%3A%2F%2Fwww.webofscience.com%2Fwos%2Fwoscc%2Ffull-record%2FWOS:000528651500002","View Full Record in Web of Science")</f>
        <v>View Full Record in Web of Science</v>
      </c>
    </row>
    <row r="766" spans="1:72" x14ac:dyDescent="0.15">
      <c r="A766" t="s">
        <v>72</v>
      </c>
      <c r="B766" t="s">
        <v>15073</v>
      </c>
      <c r="C766" t="s">
        <v>74</v>
      </c>
      <c r="D766" t="s">
        <v>74</v>
      </c>
      <c r="E766" t="s">
        <v>74</v>
      </c>
      <c r="F766" t="s">
        <v>15074</v>
      </c>
      <c r="G766" t="s">
        <v>74</v>
      </c>
      <c r="H766" t="s">
        <v>74</v>
      </c>
      <c r="I766" t="s">
        <v>15075</v>
      </c>
      <c r="J766" t="s">
        <v>1783</v>
      </c>
      <c r="K766" t="s">
        <v>74</v>
      </c>
      <c r="L766" t="s">
        <v>74</v>
      </c>
      <c r="M766" t="s">
        <v>78</v>
      </c>
      <c r="N766" t="s">
        <v>79</v>
      </c>
      <c r="O766" t="s">
        <v>74</v>
      </c>
      <c r="P766" t="s">
        <v>74</v>
      </c>
      <c r="Q766" t="s">
        <v>74</v>
      </c>
      <c r="R766" t="s">
        <v>74</v>
      </c>
      <c r="S766" t="s">
        <v>74</v>
      </c>
      <c r="T766" t="s">
        <v>15076</v>
      </c>
      <c r="U766" t="s">
        <v>15077</v>
      </c>
      <c r="V766" t="s">
        <v>15078</v>
      </c>
      <c r="W766" t="s">
        <v>15079</v>
      </c>
      <c r="X766" t="s">
        <v>15080</v>
      </c>
      <c r="Y766" t="s">
        <v>15081</v>
      </c>
      <c r="Z766" t="s">
        <v>15082</v>
      </c>
      <c r="AA766" t="s">
        <v>15083</v>
      </c>
      <c r="AB766" t="s">
        <v>15084</v>
      </c>
      <c r="AC766" t="s">
        <v>15085</v>
      </c>
      <c r="AD766" t="s">
        <v>15086</v>
      </c>
      <c r="AE766" t="s">
        <v>15087</v>
      </c>
      <c r="AF766" t="s">
        <v>74</v>
      </c>
      <c r="AG766">
        <v>53</v>
      </c>
      <c r="AH766">
        <v>6</v>
      </c>
      <c r="AI766">
        <v>6</v>
      </c>
      <c r="AJ766">
        <v>0</v>
      </c>
      <c r="AK766">
        <v>10</v>
      </c>
      <c r="AL766" t="s">
        <v>1440</v>
      </c>
      <c r="AM766" t="s">
        <v>399</v>
      </c>
      <c r="AN766" t="s">
        <v>1441</v>
      </c>
      <c r="AO766" t="s">
        <v>1796</v>
      </c>
      <c r="AP766" t="s">
        <v>1797</v>
      </c>
      <c r="AQ766" t="s">
        <v>74</v>
      </c>
      <c r="AR766" t="s">
        <v>1798</v>
      </c>
      <c r="AS766" t="s">
        <v>1799</v>
      </c>
      <c r="AT766" t="s">
        <v>7663</v>
      </c>
      <c r="AU766">
        <v>2020</v>
      </c>
      <c r="AV766">
        <v>43</v>
      </c>
      <c r="AW766">
        <v>6</v>
      </c>
      <c r="AX766" t="s">
        <v>74</v>
      </c>
      <c r="AY766" t="s">
        <v>74</v>
      </c>
      <c r="AZ766" t="s">
        <v>74</v>
      </c>
      <c r="BA766" t="s">
        <v>74</v>
      </c>
      <c r="BB766">
        <v>679</v>
      </c>
      <c r="BC766">
        <v>693</v>
      </c>
      <c r="BD766" t="s">
        <v>74</v>
      </c>
      <c r="BE766" t="s">
        <v>15088</v>
      </c>
      <c r="BF766" t="str">
        <f>HYPERLINK("http://dx.doi.org/10.1007/s00300-020-02671-w","http://dx.doi.org/10.1007/s00300-020-02671-w")</f>
        <v>http://dx.doi.org/10.1007/s00300-020-02671-w</v>
      </c>
      <c r="BG766" t="s">
        <v>74</v>
      </c>
      <c r="BH766" t="s">
        <v>14775</v>
      </c>
      <c r="BI766">
        <v>15</v>
      </c>
      <c r="BJ766" t="s">
        <v>1004</v>
      </c>
      <c r="BK766" t="s">
        <v>102</v>
      </c>
      <c r="BL766" t="s">
        <v>1005</v>
      </c>
      <c r="BM766" t="s">
        <v>12163</v>
      </c>
      <c r="BN766" t="s">
        <v>74</v>
      </c>
      <c r="BO766" t="s">
        <v>74</v>
      </c>
      <c r="BP766" t="s">
        <v>74</v>
      </c>
      <c r="BQ766" t="s">
        <v>74</v>
      </c>
      <c r="BR766" t="s">
        <v>106</v>
      </c>
      <c r="BS766" t="s">
        <v>15089</v>
      </c>
      <c r="BT766" t="str">
        <f>HYPERLINK("https%3A%2F%2Fwww.webofscience.com%2Fwos%2Fwoscc%2Ffull-record%2FWOS:000528651500003","View Full Record in Web of Science")</f>
        <v>View Full Record in Web of Science</v>
      </c>
    </row>
    <row r="767" spans="1:72" x14ac:dyDescent="0.15">
      <c r="A767" t="s">
        <v>72</v>
      </c>
      <c r="B767" t="s">
        <v>15090</v>
      </c>
      <c r="C767" t="s">
        <v>74</v>
      </c>
      <c r="D767" t="s">
        <v>74</v>
      </c>
      <c r="E767" t="s">
        <v>74</v>
      </c>
      <c r="F767" t="s">
        <v>15091</v>
      </c>
      <c r="G767" t="s">
        <v>74</v>
      </c>
      <c r="H767" t="s">
        <v>74</v>
      </c>
      <c r="I767" t="s">
        <v>15092</v>
      </c>
      <c r="J767" t="s">
        <v>3490</v>
      </c>
      <c r="K767" t="s">
        <v>74</v>
      </c>
      <c r="L767" t="s">
        <v>74</v>
      </c>
      <c r="M767" t="s">
        <v>78</v>
      </c>
      <c r="N767" t="s">
        <v>79</v>
      </c>
      <c r="O767" t="s">
        <v>74</v>
      </c>
      <c r="P767" t="s">
        <v>74</v>
      </c>
      <c r="Q767" t="s">
        <v>74</v>
      </c>
      <c r="R767" t="s">
        <v>74</v>
      </c>
      <c r="S767" t="s">
        <v>74</v>
      </c>
      <c r="T767" t="s">
        <v>74</v>
      </c>
      <c r="U767" t="s">
        <v>15093</v>
      </c>
      <c r="V767" t="s">
        <v>15094</v>
      </c>
      <c r="W767" t="s">
        <v>15095</v>
      </c>
      <c r="X767" t="s">
        <v>15096</v>
      </c>
      <c r="Y767" t="s">
        <v>15097</v>
      </c>
      <c r="Z767" t="s">
        <v>15098</v>
      </c>
      <c r="AA767" t="s">
        <v>15099</v>
      </c>
      <c r="AB767" t="s">
        <v>15100</v>
      </c>
      <c r="AC767" t="s">
        <v>15101</v>
      </c>
      <c r="AD767" t="s">
        <v>15101</v>
      </c>
      <c r="AE767" t="s">
        <v>15102</v>
      </c>
      <c r="AF767" t="s">
        <v>74</v>
      </c>
      <c r="AG767">
        <v>51</v>
      </c>
      <c r="AH767">
        <v>31</v>
      </c>
      <c r="AI767">
        <v>35</v>
      </c>
      <c r="AJ767">
        <v>4</v>
      </c>
      <c r="AK767">
        <v>22</v>
      </c>
      <c r="AL767" t="s">
        <v>1389</v>
      </c>
      <c r="AM767" t="s">
        <v>945</v>
      </c>
      <c r="AN767" t="s">
        <v>1390</v>
      </c>
      <c r="AO767" t="s">
        <v>3493</v>
      </c>
      <c r="AP767" t="s">
        <v>74</v>
      </c>
      <c r="AQ767" t="s">
        <v>74</v>
      </c>
      <c r="AR767" t="s">
        <v>3494</v>
      </c>
      <c r="AS767" t="s">
        <v>3495</v>
      </c>
      <c r="AT767" t="s">
        <v>15103</v>
      </c>
      <c r="AU767">
        <v>2020</v>
      </c>
      <c r="AV767">
        <v>11</v>
      </c>
      <c r="AW767">
        <v>1</v>
      </c>
      <c r="AX767" t="s">
        <v>74</v>
      </c>
      <c r="AY767" t="s">
        <v>74</v>
      </c>
      <c r="AZ767" t="s">
        <v>74</v>
      </c>
      <c r="BA767" t="s">
        <v>74</v>
      </c>
      <c r="BB767" t="s">
        <v>74</v>
      </c>
      <c r="BC767" t="s">
        <v>74</v>
      </c>
      <c r="BD767">
        <v>2008</v>
      </c>
      <c r="BE767" t="s">
        <v>15104</v>
      </c>
      <c r="BF767" t="str">
        <f>HYPERLINK("http://dx.doi.org/10.1038/s41467-020-15754-3","http://dx.doi.org/10.1038/s41467-020-15754-3")</f>
        <v>http://dx.doi.org/10.1038/s41467-020-15754-3</v>
      </c>
      <c r="BG767" t="s">
        <v>74</v>
      </c>
      <c r="BH767" t="s">
        <v>74</v>
      </c>
      <c r="BI767">
        <v>8</v>
      </c>
      <c r="BJ767" t="s">
        <v>1125</v>
      </c>
      <c r="BK767" t="s">
        <v>102</v>
      </c>
      <c r="BL767" t="s">
        <v>1126</v>
      </c>
      <c r="BM767" t="s">
        <v>15105</v>
      </c>
      <c r="BN767">
        <v>32332758</v>
      </c>
      <c r="BO767" t="s">
        <v>1128</v>
      </c>
      <c r="BP767" t="s">
        <v>74</v>
      </c>
      <c r="BQ767" t="s">
        <v>74</v>
      </c>
      <c r="BR767" t="s">
        <v>106</v>
      </c>
      <c r="BS767" t="s">
        <v>15106</v>
      </c>
      <c r="BT767" t="str">
        <f>HYPERLINK("https%3A%2F%2Fwww.webofscience.com%2Fwos%2Fwoscc%2Ffull-record%2FWOS:000558820800026","View Full Record in Web of Science")</f>
        <v>View Full Record in Web of Science</v>
      </c>
    </row>
    <row r="768" spans="1:72" x14ac:dyDescent="0.15">
      <c r="A768" t="s">
        <v>72</v>
      </c>
      <c r="B768" t="s">
        <v>15107</v>
      </c>
      <c r="C768" t="s">
        <v>74</v>
      </c>
      <c r="D768" t="s">
        <v>74</v>
      </c>
      <c r="E768" t="s">
        <v>74</v>
      </c>
      <c r="F768" t="s">
        <v>15108</v>
      </c>
      <c r="G768" t="s">
        <v>74</v>
      </c>
      <c r="H768" t="s">
        <v>74</v>
      </c>
      <c r="I768" t="s">
        <v>15109</v>
      </c>
      <c r="J768" t="s">
        <v>15110</v>
      </c>
      <c r="K768" t="s">
        <v>74</v>
      </c>
      <c r="L768" t="s">
        <v>74</v>
      </c>
      <c r="M768" t="s">
        <v>78</v>
      </c>
      <c r="N768" t="s">
        <v>79</v>
      </c>
      <c r="O768" t="s">
        <v>74</v>
      </c>
      <c r="P768" t="s">
        <v>74</v>
      </c>
      <c r="Q768" t="s">
        <v>74</v>
      </c>
      <c r="R768" t="s">
        <v>74</v>
      </c>
      <c r="S768" t="s">
        <v>74</v>
      </c>
      <c r="T768" t="s">
        <v>15111</v>
      </c>
      <c r="U768" t="s">
        <v>15112</v>
      </c>
      <c r="V768" t="s">
        <v>15113</v>
      </c>
      <c r="W768" t="s">
        <v>15114</v>
      </c>
      <c r="X768" t="s">
        <v>15115</v>
      </c>
      <c r="Y768" t="s">
        <v>15116</v>
      </c>
      <c r="Z768" t="s">
        <v>15117</v>
      </c>
      <c r="AA768" t="s">
        <v>15118</v>
      </c>
      <c r="AB768" t="s">
        <v>15119</v>
      </c>
      <c r="AC768" t="s">
        <v>15120</v>
      </c>
      <c r="AD768" t="s">
        <v>15121</v>
      </c>
      <c r="AE768" t="s">
        <v>15122</v>
      </c>
      <c r="AF768" t="s">
        <v>74</v>
      </c>
      <c r="AG768">
        <v>85</v>
      </c>
      <c r="AH768">
        <v>6</v>
      </c>
      <c r="AI768">
        <v>7</v>
      </c>
      <c r="AJ768">
        <v>2</v>
      </c>
      <c r="AK768">
        <v>14</v>
      </c>
      <c r="AL768" t="s">
        <v>1024</v>
      </c>
      <c r="AM768" t="s">
        <v>1025</v>
      </c>
      <c r="AN768" t="s">
        <v>1026</v>
      </c>
      <c r="AO768" t="s">
        <v>74</v>
      </c>
      <c r="AP768" t="s">
        <v>15123</v>
      </c>
      <c r="AQ768" t="s">
        <v>74</v>
      </c>
      <c r="AR768" t="s">
        <v>15124</v>
      </c>
      <c r="AS768" t="s">
        <v>15125</v>
      </c>
      <c r="AT768" t="s">
        <v>15103</v>
      </c>
      <c r="AU768">
        <v>2020</v>
      </c>
      <c r="AV768">
        <v>11</v>
      </c>
      <c r="AW768" t="s">
        <v>74</v>
      </c>
      <c r="AX768" t="s">
        <v>74</v>
      </c>
      <c r="AY768" t="s">
        <v>74</v>
      </c>
      <c r="AZ768" t="s">
        <v>74</v>
      </c>
      <c r="BA768" t="s">
        <v>74</v>
      </c>
      <c r="BB768" t="s">
        <v>74</v>
      </c>
      <c r="BC768" t="s">
        <v>74</v>
      </c>
      <c r="BD768">
        <v>312</v>
      </c>
      <c r="BE768" t="s">
        <v>15126</v>
      </c>
      <c r="BF768" t="str">
        <f>HYPERLINK("http://dx.doi.org/10.3389/fphys.2020.00312","http://dx.doi.org/10.3389/fphys.2020.00312")</f>
        <v>http://dx.doi.org/10.3389/fphys.2020.00312</v>
      </c>
      <c r="BG768" t="s">
        <v>74</v>
      </c>
      <c r="BH768" t="s">
        <v>74</v>
      </c>
      <c r="BI768">
        <v>15</v>
      </c>
      <c r="BJ768" t="s">
        <v>1655</v>
      </c>
      <c r="BK768" t="s">
        <v>102</v>
      </c>
      <c r="BL768" t="s">
        <v>1655</v>
      </c>
      <c r="BM768" t="s">
        <v>15127</v>
      </c>
      <c r="BN768">
        <v>32390860</v>
      </c>
      <c r="BO768" t="s">
        <v>1778</v>
      </c>
      <c r="BP768" t="s">
        <v>74</v>
      </c>
      <c r="BQ768" t="s">
        <v>74</v>
      </c>
      <c r="BR768" t="s">
        <v>106</v>
      </c>
      <c r="BS768" t="s">
        <v>15128</v>
      </c>
      <c r="BT768" t="str">
        <f>HYPERLINK("https%3A%2F%2Fwww.webofscience.com%2Fwos%2Fwoscc%2Ffull-record%2FWOS:000533564000001","View Full Record in Web of Science")</f>
        <v>View Full Record in Web of Science</v>
      </c>
    </row>
    <row r="769" spans="1:72" x14ac:dyDescent="0.15">
      <c r="A769" t="s">
        <v>72</v>
      </c>
      <c r="B769" t="s">
        <v>15129</v>
      </c>
      <c r="C769" t="s">
        <v>74</v>
      </c>
      <c r="D769" t="s">
        <v>74</v>
      </c>
      <c r="E769" t="s">
        <v>74</v>
      </c>
      <c r="F769" t="s">
        <v>15130</v>
      </c>
      <c r="G769" t="s">
        <v>74</v>
      </c>
      <c r="H769" t="s">
        <v>74</v>
      </c>
      <c r="I769" t="s">
        <v>15131</v>
      </c>
      <c r="J769" t="s">
        <v>2007</v>
      </c>
      <c r="K769" t="s">
        <v>74</v>
      </c>
      <c r="L769" t="s">
        <v>74</v>
      </c>
      <c r="M769" t="s">
        <v>78</v>
      </c>
      <c r="N769" t="s">
        <v>79</v>
      </c>
      <c r="O769" t="s">
        <v>74</v>
      </c>
      <c r="P769" t="s">
        <v>74</v>
      </c>
      <c r="Q769" t="s">
        <v>74</v>
      </c>
      <c r="R769" t="s">
        <v>74</v>
      </c>
      <c r="S769" t="s">
        <v>74</v>
      </c>
      <c r="T769" t="s">
        <v>74</v>
      </c>
      <c r="U769" t="s">
        <v>15132</v>
      </c>
      <c r="V769" t="s">
        <v>15133</v>
      </c>
      <c r="W769" t="s">
        <v>15134</v>
      </c>
      <c r="X769" t="s">
        <v>1714</v>
      </c>
      <c r="Y769" t="s">
        <v>15135</v>
      </c>
      <c r="Z769" t="s">
        <v>15136</v>
      </c>
      <c r="AA769" t="s">
        <v>74</v>
      </c>
      <c r="AB769" t="s">
        <v>74</v>
      </c>
      <c r="AC769" t="s">
        <v>15137</v>
      </c>
      <c r="AD769" t="s">
        <v>15137</v>
      </c>
      <c r="AE769" t="s">
        <v>15138</v>
      </c>
      <c r="AF769" t="s">
        <v>74</v>
      </c>
      <c r="AG769">
        <v>77</v>
      </c>
      <c r="AH769">
        <v>15</v>
      </c>
      <c r="AI769">
        <v>16</v>
      </c>
      <c r="AJ769">
        <v>0</v>
      </c>
      <c r="AK769">
        <v>12</v>
      </c>
      <c r="AL769" t="s">
        <v>1049</v>
      </c>
      <c r="AM769" t="s">
        <v>1050</v>
      </c>
      <c r="AN769" t="s">
        <v>1051</v>
      </c>
      <c r="AO769" t="s">
        <v>2019</v>
      </c>
      <c r="AP769" t="s">
        <v>2020</v>
      </c>
      <c r="AQ769" t="s">
        <v>74</v>
      </c>
      <c r="AR769" t="s">
        <v>2007</v>
      </c>
      <c r="AS769" t="s">
        <v>2021</v>
      </c>
      <c r="AT769" t="s">
        <v>15103</v>
      </c>
      <c r="AU769">
        <v>2020</v>
      </c>
      <c r="AV769">
        <v>14</v>
      </c>
      <c r="AW769">
        <v>4</v>
      </c>
      <c r="AX769" t="s">
        <v>74</v>
      </c>
      <c r="AY769" t="s">
        <v>74</v>
      </c>
      <c r="AZ769" t="s">
        <v>74</v>
      </c>
      <c r="BA769" t="s">
        <v>74</v>
      </c>
      <c r="BB769">
        <v>1385</v>
      </c>
      <c r="BC769">
        <v>1398</v>
      </c>
      <c r="BD769" t="s">
        <v>74</v>
      </c>
      <c r="BE769" t="s">
        <v>15139</v>
      </c>
      <c r="BF769" t="str">
        <f>HYPERLINK("http://dx.doi.org/10.5194/tc-14-1385-2020","http://dx.doi.org/10.5194/tc-14-1385-2020")</f>
        <v>http://dx.doi.org/10.5194/tc-14-1385-2020</v>
      </c>
      <c r="BG769" t="s">
        <v>74</v>
      </c>
      <c r="BH769" t="s">
        <v>74</v>
      </c>
      <c r="BI769">
        <v>14</v>
      </c>
      <c r="BJ769" t="s">
        <v>694</v>
      </c>
      <c r="BK769" t="s">
        <v>102</v>
      </c>
      <c r="BL769" t="s">
        <v>695</v>
      </c>
      <c r="BM769" t="s">
        <v>15140</v>
      </c>
      <c r="BN769" t="s">
        <v>74</v>
      </c>
      <c r="BO769" t="s">
        <v>1352</v>
      </c>
      <c r="BP769" t="s">
        <v>74</v>
      </c>
      <c r="BQ769" t="s">
        <v>74</v>
      </c>
      <c r="BR769" t="s">
        <v>106</v>
      </c>
      <c r="BS769" t="s">
        <v>15141</v>
      </c>
      <c r="BT769" t="str">
        <f>HYPERLINK("https%3A%2F%2Fwww.webofscience.com%2Fwos%2Fwoscc%2Ffull-record%2FWOS:000529373800002","View Full Record in Web of Science")</f>
        <v>View Full Record in Web of Science</v>
      </c>
    </row>
    <row r="770" spans="1:72" x14ac:dyDescent="0.15">
      <c r="A770" t="s">
        <v>72</v>
      </c>
      <c r="B770" t="s">
        <v>15142</v>
      </c>
      <c r="C770" t="s">
        <v>74</v>
      </c>
      <c r="D770" t="s">
        <v>74</v>
      </c>
      <c r="E770" t="s">
        <v>74</v>
      </c>
      <c r="F770" t="s">
        <v>15143</v>
      </c>
      <c r="G770" t="s">
        <v>74</v>
      </c>
      <c r="H770" t="s">
        <v>74</v>
      </c>
      <c r="I770" t="s">
        <v>15144</v>
      </c>
      <c r="J770" t="s">
        <v>15145</v>
      </c>
      <c r="K770" t="s">
        <v>74</v>
      </c>
      <c r="L770" t="s">
        <v>74</v>
      </c>
      <c r="M770" t="s">
        <v>78</v>
      </c>
      <c r="N770" t="s">
        <v>79</v>
      </c>
      <c r="O770" t="s">
        <v>74</v>
      </c>
      <c r="P770" t="s">
        <v>74</v>
      </c>
      <c r="Q770" t="s">
        <v>74</v>
      </c>
      <c r="R770" t="s">
        <v>74</v>
      </c>
      <c r="S770" t="s">
        <v>74</v>
      </c>
      <c r="T770" t="s">
        <v>15146</v>
      </c>
      <c r="U770" t="s">
        <v>15147</v>
      </c>
      <c r="V770" t="s">
        <v>15148</v>
      </c>
      <c r="W770" t="s">
        <v>15149</v>
      </c>
      <c r="X770" t="s">
        <v>15150</v>
      </c>
      <c r="Y770" t="s">
        <v>15151</v>
      </c>
      <c r="Z770" t="s">
        <v>15152</v>
      </c>
      <c r="AA770" t="s">
        <v>74</v>
      </c>
      <c r="AB770" t="s">
        <v>15153</v>
      </c>
      <c r="AC770" t="s">
        <v>74</v>
      </c>
      <c r="AD770" t="s">
        <v>74</v>
      </c>
      <c r="AE770" t="s">
        <v>74</v>
      </c>
      <c r="AF770" t="s">
        <v>74</v>
      </c>
      <c r="AG770">
        <v>23</v>
      </c>
      <c r="AH770">
        <v>8</v>
      </c>
      <c r="AI770">
        <v>8</v>
      </c>
      <c r="AJ770">
        <v>0</v>
      </c>
      <c r="AK770">
        <v>2</v>
      </c>
      <c r="AL770" t="s">
        <v>1321</v>
      </c>
      <c r="AM770" t="s">
        <v>1322</v>
      </c>
      <c r="AN770" t="s">
        <v>1323</v>
      </c>
      <c r="AO770" t="s">
        <v>15154</v>
      </c>
      <c r="AP770" t="s">
        <v>15155</v>
      </c>
      <c r="AQ770" t="s">
        <v>74</v>
      </c>
      <c r="AR770" t="s">
        <v>15156</v>
      </c>
      <c r="AS770" t="s">
        <v>15157</v>
      </c>
      <c r="AT770" t="s">
        <v>15103</v>
      </c>
      <c r="AU770">
        <v>2020</v>
      </c>
      <c r="AV770">
        <v>107</v>
      </c>
      <c r="AW770">
        <v>3</v>
      </c>
      <c r="AX770" t="s">
        <v>74</v>
      </c>
      <c r="AY770" t="s">
        <v>74</v>
      </c>
      <c r="AZ770" t="s">
        <v>74</v>
      </c>
      <c r="BA770" t="s">
        <v>74</v>
      </c>
      <c r="BB770" t="s">
        <v>74</v>
      </c>
      <c r="BC770" t="s">
        <v>74</v>
      </c>
      <c r="BD770">
        <v>19</v>
      </c>
      <c r="BE770" t="s">
        <v>15158</v>
      </c>
      <c r="BF770" t="str">
        <f>HYPERLINK("http://dx.doi.org/10.1007/s00114-020-01677-y","http://dx.doi.org/10.1007/s00114-020-01677-y")</f>
        <v>http://dx.doi.org/10.1007/s00114-020-01677-y</v>
      </c>
      <c r="BG770" t="s">
        <v>74</v>
      </c>
      <c r="BH770" t="s">
        <v>74</v>
      </c>
      <c r="BI770">
        <v>5</v>
      </c>
      <c r="BJ770" t="s">
        <v>1125</v>
      </c>
      <c r="BK770" t="s">
        <v>102</v>
      </c>
      <c r="BL770" t="s">
        <v>1126</v>
      </c>
      <c r="BM770" t="s">
        <v>15159</v>
      </c>
      <c r="BN770">
        <v>32333118</v>
      </c>
      <c r="BO770" t="s">
        <v>294</v>
      </c>
      <c r="BP770" t="s">
        <v>74</v>
      </c>
      <c r="BQ770" t="s">
        <v>74</v>
      </c>
      <c r="BR770" t="s">
        <v>106</v>
      </c>
      <c r="BS770" t="s">
        <v>15160</v>
      </c>
      <c r="BT770" t="str">
        <f>HYPERLINK("https%3A%2F%2Fwww.webofscience.com%2Fwos%2Fwoscc%2Ffull-record%2FWOS:000529941200002","View Full Record in Web of Science")</f>
        <v>View Full Record in Web of Science</v>
      </c>
    </row>
    <row r="771" spans="1:72" x14ac:dyDescent="0.15">
      <c r="A771" t="s">
        <v>72</v>
      </c>
      <c r="B771" t="s">
        <v>15161</v>
      </c>
      <c r="C771" t="s">
        <v>74</v>
      </c>
      <c r="D771" t="s">
        <v>74</v>
      </c>
      <c r="E771" t="s">
        <v>74</v>
      </c>
      <c r="F771" t="s">
        <v>15162</v>
      </c>
      <c r="G771" t="s">
        <v>74</v>
      </c>
      <c r="H771" t="s">
        <v>74</v>
      </c>
      <c r="I771" t="s">
        <v>15163</v>
      </c>
      <c r="J771" t="s">
        <v>3281</v>
      </c>
      <c r="K771" t="s">
        <v>74</v>
      </c>
      <c r="L771" t="s">
        <v>74</v>
      </c>
      <c r="M771" t="s">
        <v>78</v>
      </c>
      <c r="N771" t="s">
        <v>79</v>
      </c>
      <c r="O771" t="s">
        <v>74</v>
      </c>
      <c r="P771" t="s">
        <v>74</v>
      </c>
      <c r="Q771" t="s">
        <v>74</v>
      </c>
      <c r="R771" t="s">
        <v>74</v>
      </c>
      <c r="S771" t="s">
        <v>74</v>
      </c>
      <c r="T771" t="s">
        <v>15164</v>
      </c>
      <c r="U771" t="s">
        <v>15165</v>
      </c>
      <c r="V771" t="s">
        <v>15166</v>
      </c>
      <c r="W771" t="s">
        <v>15167</v>
      </c>
      <c r="X771" t="s">
        <v>15168</v>
      </c>
      <c r="Y771" t="s">
        <v>15169</v>
      </c>
      <c r="Z771" t="s">
        <v>15170</v>
      </c>
      <c r="AA771" t="s">
        <v>74</v>
      </c>
      <c r="AB771" t="s">
        <v>15171</v>
      </c>
      <c r="AC771" t="s">
        <v>74</v>
      </c>
      <c r="AD771" t="s">
        <v>74</v>
      </c>
      <c r="AE771" t="s">
        <v>74</v>
      </c>
      <c r="AF771" t="s">
        <v>74</v>
      </c>
      <c r="AG771">
        <v>21</v>
      </c>
      <c r="AH771">
        <v>1</v>
      </c>
      <c r="AI771">
        <v>1</v>
      </c>
      <c r="AJ771">
        <v>0</v>
      </c>
      <c r="AK771">
        <v>4</v>
      </c>
      <c r="AL771" t="s">
        <v>3293</v>
      </c>
      <c r="AM771" t="s">
        <v>3294</v>
      </c>
      <c r="AN771" t="s">
        <v>3295</v>
      </c>
      <c r="AO771" t="s">
        <v>3296</v>
      </c>
      <c r="AP771" t="s">
        <v>3297</v>
      </c>
      <c r="AQ771" t="s">
        <v>74</v>
      </c>
      <c r="AR771" t="s">
        <v>3281</v>
      </c>
      <c r="AS771" t="s">
        <v>3298</v>
      </c>
      <c r="AT771" t="s">
        <v>15103</v>
      </c>
      <c r="AU771">
        <v>2020</v>
      </c>
      <c r="AV771">
        <v>4767</v>
      </c>
      <c r="AW771">
        <v>2</v>
      </c>
      <c r="AX771" t="s">
        <v>74</v>
      </c>
      <c r="AY771" t="s">
        <v>74</v>
      </c>
      <c r="AZ771" t="s">
        <v>74</v>
      </c>
      <c r="BA771" t="s">
        <v>74</v>
      </c>
      <c r="BB771">
        <v>277</v>
      </c>
      <c r="BC771">
        <v>294</v>
      </c>
      <c r="BD771" t="s">
        <v>74</v>
      </c>
      <c r="BE771" t="s">
        <v>15172</v>
      </c>
      <c r="BF771" t="str">
        <f>HYPERLINK("http://dx.doi.org/10.11646/zootaxa.4767.2.4","http://dx.doi.org/10.11646/zootaxa.4767.2.4")</f>
        <v>http://dx.doi.org/10.11646/zootaxa.4767.2.4</v>
      </c>
      <c r="BG771" t="s">
        <v>74</v>
      </c>
      <c r="BH771" t="s">
        <v>74</v>
      </c>
      <c r="BI771">
        <v>18</v>
      </c>
      <c r="BJ771" t="s">
        <v>1499</v>
      </c>
      <c r="BK771" t="s">
        <v>102</v>
      </c>
      <c r="BL771" t="s">
        <v>1499</v>
      </c>
      <c r="BM771" t="s">
        <v>15173</v>
      </c>
      <c r="BN771">
        <v>33056565</v>
      </c>
      <c r="BO771" t="s">
        <v>74</v>
      </c>
      <c r="BP771" t="s">
        <v>74</v>
      </c>
      <c r="BQ771" t="s">
        <v>74</v>
      </c>
      <c r="BR771" t="s">
        <v>106</v>
      </c>
      <c r="BS771" t="s">
        <v>15174</v>
      </c>
      <c r="BT771" t="str">
        <f>HYPERLINK("https%3A%2F%2Fwww.webofscience.com%2Fwos%2Fwoscc%2Ffull-record%2FWOS:000528725100004","View Full Record in Web of Science")</f>
        <v>View Full Record in Web of Science</v>
      </c>
    </row>
    <row r="772" spans="1:72" x14ac:dyDescent="0.15">
      <c r="A772" t="s">
        <v>72</v>
      </c>
      <c r="B772" t="s">
        <v>15175</v>
      </c>
      <c r="C772" t="s">
        <v>74</v>
      </c>
      <c r="D772" t="s">
        <v>74</v>
      </c>
      <c r="E772" t="s">
        <v>74</v>
      </c>
      <c r="F772" t="s">
        <v>15176</v>
      </c>
      <c r="G772" t="s">
        <v>74</v>
      </c>
      <c r="H772" t="s">
        <v>74</v>
      </c>
      <c r="I772" t="s">
        <v>15177</v>
      </c>
      <c r="J772" t="s">
        <v>15178</v>
      </c>
      <c r="K772" t="s">
        <v>74</v>
      </c>
      <c r="L772" t="s">
        <v>74</v>
      </c>
      <c r="M772" t="s">
        <v>78</v>
      </c>
      <c r="N772" t="s">
        <v>79</v>
      </c>
      <c r="O772" t="s">
        <v>74</v>
      </c>
      <c r="P772" t="s">
        <v>74</v>
      </c>
      <c r="Q772" t="s">
        <v>74</v>
      </c>
      <c r="R772" t="s">
        <v>74</v>
      </c>
      <c r="S772" t="s">
        <v>74</v>
      </c>
      <c r="T772" t="s">
        <v>15179</v>
      </c>
      <c r="U772" t="s">
        <v>74</v>
      </c>
      <c r="V772" t="s">
        <v>15180</v>
      </c>
      <c r="W772" t="s">
        <v>15181</v>
      </c>
      <c r="X772" t="s">
        <v>15182</v>
      </c>
      <c r="Y772" t="s">
        <v>15183</v>
      </c>
      <c r="Z772" t="s">
        <v>15184</v>
      </c>
      <c r="AA772" t="s">
        <v>15185</v>
      </c>
      <c r="AB772" t="s">
        <v>15186</v>
      </c>
      <c r="AC772" t="s">
        <v>15187</v>
      </c>
      <c r="AD772" t="s">
        <v>15188</v>
      </c>
      <c r="AE772" t="s">
        <v>15189</v>
      </c>
      <c r="AF772" t="s">
        <v>74</v>
      </c>
      <c r="AG772">
        <v>6</v>
      </c>
      <c r="AH772">
        <v>4</v>
      </c>
      <c r="AI772">
        <v>5</v>
      </c>
      <c r="AJ772">
        <v>0</v>
      </c>
      <c r="AK772">
        <v>3</v>
      </c>
      <c r="AL772" t="s">
        <v>15190</v>
      </c>
      <c r="AM772" t="s">
        <v>399</v>
      </c>
      <c r="AN772" t="s">
        <v>15191</v>
      </c>
      <c r="AO772" t="s">
        <v>15192</v>
      </c>
      <c r="AP772" t="s">
        <v>15193</v>
      </c>
      <c r="AQ772" t="s">
        <v>74</v>
      </c>
      <c r="AR772" t="s">
        <v>15194</v>
      </c>
      <c r="AS772" t="s">
        <v>15195</v>
      </c>
      <c r="AT772" t="s">
        <v>1930</v>
      </c>
      <c r="AU772">
        <v>2020</v>
      </c>
      <c r="AV772">
        <v>200</v>
      </c>
      <c r="AW772" t="s">
        <v>3442</v>
      </c>
      <c r="AX772" t="s">
        <v>74</v>
      </c>
      <c r="AY772" t="s">
        <v>74</v>
      </c>
      <c r="AZ772" t="s">
        <v>2622</v>
      </c>
      <c r="BA772" t="s">
        <v>74</v>
      </c>
      <c r="BB772">
        <v>400</v>
      </c>
      <c r="BC772">
        <v>406</v>
      </c>
      <c r="BD772" t="s">
        <v>74</v>
      </c>
      <c r="BE772" t="s">
        <v>15196</v>
      </c>
      <c r="BF772" t="str">
        <f>HYPERLINK("http://dx.doi.org/10.1007/s10909-020-02459-6","http://dx.doi.org/10.1007/s10909-020-02459-6")</f>
        <v>http://dx.doi.org/10.1007/s10909-020-02459-6</v>
      </c>
      <c r="BG772" t="s">
        <v>74</v>
      </c>
      <c r="BH772" t="s">
        <v>14775</v>
      </c>
      <c r="BI772">
        <v>7</v>
      </c>
      <c r="BJ772" t="s">
        <v>15197</v>
      </c>
      <c r="BK772" t="s">
        <v>102</v>
      </c>
      <c r="BL772" t="s">
        <v>8247</v>
      </c>
      <c r="BM772" t="s">
        <v>15198</v>
      </c>
      <c r="BN772" t="s">
        <v>74</v>
      </c>
      <c r="BO772" t="s">
        <v>74</v>
      </c>
      <c r="BP772" t="s">
        <v>74</v>
      </c>
      <c r="BQ772" t="s">
        <v>74</v>
      </c>
      <c r="BR772" t="s">
        <v>106</v>
      </c>
      <c r="BS772" t="s">
        <v>15199</v>
      </c>
      <c r="BT772" t="str">
        <f>HYPERLINK("https%3A%2F%2Fwww.webofscience.com%2Fwos%2Fwoscc%2Ffull-record%2FWOS:000528423500001","View Full Record in Web of Science")</f>
        <v>View Full Record in Web of Science</v>
      </c>
    </row>
    <row r="773" spans="1:72" x14ac:dyDescent="0.15">
      <c r="A773" t="s">
        <v>72</v>
      </c>
      <c r="B773" t="s">
        <v>15200</v>
      </c>
      <c r="C773" t="s">
        <v>74</v>
      </c>
      <c r="D773" t="s">
        <v>74</v>
      </c>
      <c r="E773" t="s">
        <v>74</v>
      </c>
      <c r="F773" t="s">
        <v>15201</v>
      </c>
      <c r="G773" t="s">
        <v>74</v>
      </c>
      <c r="H773" t="s">
        <v>74</v>
      </c>
      <c r="I773" t="s">
        <v>15202</v>
      </c>
      <c r="J773" t="s">
        <v>15203</v>
      </c>
      <c r="K773" t="s">
        <v>74</v>
      </c>
      <c r="L773" t="s">
        <v>74</v>
      </c>
      <c r="M773" t="s">
        <v>78</v>
      </c>
      <c r="N773" t="s">
        <v>79</v>
      </c>
      <c r="O773" t="s">
        <v>74</v>
      </c>
      <c r="P773" t="s">
        <v>74</v>
      </c>
      <c r="Q773" t="s">
        <v>74</v>
      </c>
      <c r="R773" t="s">
        <v>74</v>
      </c>
      <c r="S773" t="s">
        <v>74</v>
      </c>
      <c r="T773" t="s">
        <v>15204</v>
      </c>
      <c r="U773" t="s">
        <v>15205</v>
      </c>
      <c r="V773" t="s">
        <v>15206</v>
      </c>
      <c r="W773" t="s">
        <v>15207</v>
      </c>
      <c r="X773" t="s">
        <v>15208</v>
      </c>
      <c r="Y773" t="s">
        <v>15209</v>
      </c>
      <c r="Z773" t="s">
        <v>15210</v>
      </c>
      <c r="AA773" t="s">
        <v>15211</v>
      </c>
      <c r="AB773" t="s">
        <v>15212</v>
      </c>
      <c r="AC773" t="s">
        <v>15213</v>
      </c>
      <c r="AD773" t="s">
        <v>15214</v>
      </c>
      <c r="AE773" t="s">
        <v>15215</v>
      </c>
      <c r="AF773" t="s">
        <v>74</v>
      </c>
      <c r="AG773">
        <v>69</v>
      </c>
      <c r="AH773">
        <v>12</v>
      </c>
      <c r="AI773">
        <v>14</v>
      </c>
      <c r="AJ773">
        <v>2</v>
      </c>
      <c r="AK773">
        <v>10</v>
      </c>
      <c r="AL773" t="s">
        <v>994</v>
      </c>
      <c r="AM773" t="s">
        <v>995</v>
      </c>
      <c r="AN773" t="s">
        <v>996</v>
      </c>
      <c r="AO773" t="s">
        <v>15216</v>
      </c>
      <c r="AP773" t="s">
        <v>74</v>
      </c>
      <c r="AQ773" t="s">
        <v>74</v>
      </c>
      <c r="AR773" t="s">
        <v>15217</v>
      </c>
      <c r="AS773" t="s">
        <v>15218</v>
      </c>
      <c r="AT773" t="s">
        <v>1930</v>
      </c>
      <c r="AU773">
        <v>2020</v>
      </c>
      <c r="AV773">
        <v>13</v>
      </c>
      <c r="AW773">
        <v>8</v>
      </c>
      <c r="AX773" t="s">
        <v>74</v>
      </c>
      <c r="AY773" t="s">
        <v>74</v>
      </c>
      <c r="AZ773" t="s">
        <v>74</v>
      </c>
      <c r="BA773" t="s">
        <v>74</v>
      </c>
      <c r="BB773">
        <v>2130</v>
      </c>
      <c r="BC773">
        <v>2142</v>
      </c>
      <c r="BD773" t="s">
        <v>74</v>
      </c>
      <c r="BE773" t="s">
        <v>15219</v>
      </c>
      <c r="BF773" t="str">
        <f>HYPERLINK("http://dx.doi.org/10.1111/eva.12974","http://dx.doi.org/10.1111/eva.12974")</f>
        <v>http://dx.doi.org/10.1111/eva.12974</v>
      </c>
      <c r="BG773" t="s">
        <v>74</v>
      </c>
      <c r="BH773" t="s">
        <v>14775</v>
      </c>
      <c r="BI773">
        <v>13</v>
      </c>
      <c r="BJ773" t="s">
        <v>14402</v>
      </c>
      <c r="BK773" t="s">
        <v>102</v>
      </c>
      <c r="BL773" t="s">
        <v>14402</v>
      </c>
      <c r="BM773" t="s">
        <v>15220</v>
      </c>
      <c r="BN773">
        <v>32908609</v>
      </c>
      <c r="BO773" t="s">
        <v>4515</v>
      </c>
      <c r="BP773" t="s">
        <v>74</v>
      </c>
      <c r="BQ773" t="s">
        <v>74</v>
      </c>
      <c r="BR773" t="s">
        <v>106</v>
      </c>
      <c r="BS773" t="s">
        <v>15221</v>
      </c>
      <c r="BT773" t="str">
        <f>HYPERLINK("https%3A%2F%2Fwww.webofscience.com%2Fwos%2Fwoscc%2Ffull-record%2FWOS:000528051600001","View Full Record in Web of Science")</f>
        <v>View Full Record in Web of Science</v>
      </c>
    </row>
    <row r="774" spans="1:72" x14ac:dyDescent="0.15">
      <c r="A774" t="s">
        <v>72</v>
      </c>
      <c r="B774" t="s">
        <v>15222</v>
      </c>
      <c r="C774" t="s">
        <v>74</v>
      </c>
      <c r="D774" t="s">
        <v>74</v>
      </c>
      <c r="E774" t="s">
        <v>74</v>
      </c>
      <c r="F774" t="s">
        <v>15223</v>
      </c>
      <c r="G774" t="s">
        <v>74</v>
      </c>
      <c r="H774" t="s">
        <v>74</v>
      </c>
      <c r="I774" t="s">
        <v>15224</v>
      </c>
      <c r="J774" t="s">
        <v>7733</v>
      </c>
      <c r="K774" t="s">
        <v>74</v>
      </c>
      <c r="L774" t="s">
        <v>74</v>
      </c>
      <c r="M774" t="s">
        <v>78</v>
      </c>
      <c r="N774" t="s">
        <v>1850</v>
      </c>
      <c r="O774" t="s">
        <v>74</v>
      </c>
      <c r="P774" t="s">
        <v>74</v>
      </c>
      <c r="Q774" t="s">
        <v>74</v>
      </c>
      <c r="R774" t="s">
        <v>74</v>
      </c>
      <c r="S774" t="s">
        <v>74</v>
      </c>
      <c r="T774" t="s">
        <v>74</v>
      </c>
      <c r="U774" t="s">
        <v>15225</v>
      </c>
      <c r="V774" t="s">
        <v>15226</v>
      </c>
      <c r="W774" t="s">
        <v>15227</v>
      </c>
      <c r="X774" t="s">
        <v>15228</v>
      </c>
      <c r="Y774" t="s">
        <v>15229</v>
      </c>
      <c r="Z774" t="s">
        <v>15230</v>
      </c>
      <c r="AA774" t="s">
        <v>15231</v>
      </c>
      <c r="AB774" t="s">
        <v>15232</v>
      </c>
      <c r="AC774" t="s">
        <v>15233</v>
      </c>
      <c r="AD774" t="s">
        <v>15234</v>
      </c>
      <c r="AE774" t="s">
        <v>15235</v>
      </c>
      <c r="AF774" t="s">
        <v>74</v>
      </c>
      <c r="AG774">
        <v>14</v>
      </c>
      <c r="AH774">
        <v>8</v>
      </c>
      <c r="AI774">
        <v>8</v>
      </c>
      <c r="AJ774">
        <v>2</v>
      </c>
      <c r="AK774">
        <v>12</v>
      </c>
      <c r="AL774" t="s">
        <v>1118</v>
      </c>
      <c r="AM774" t="s">
        <v>1119</v>
      </c>
      <c r="AN774" t="s">
        <v>1120</v>
      </c>
      <c r="AO774" t="s">
        <v>7745</v>
      </c>
      <c r="AP774" t="s">
        <v>74</v>
      </c>
      <c r="AQ774" t="s">
        <v>74</v>
      </c>
      <c r="AR774" t="s">
        <v>7746</v>
      </c>
      <c r="AS774" t="s">
        <v>7747</v>
      </c>
      <c r="AT774" t="s">
        <v>11250</v>
      </c>
      <c r="AU774">
        <v>2020</v>
      </c>
      <c r="AV774">
        <v>4</v>
      </c>
      <c r="AW774">
        <v>5</v>
      </c>
      <c r="AX774" t="s">
        <v>74</v>
      </c>
      <c r="AY774" t="s">
        <v>74</v>
      </c>
      <c r="AZ774" t="s">
        <v>74</v>
      </c>
      <c r="BA774" t="s">
        <v>74</v>
      </c>
      <c r="BB774">
        <v>668</v>
      </c>
      <c r="BC774">
        <v>671</v>
      </c>
      <c r="BD774" t="s">
        <v>74</v>
      </c>
      <c r="BE774" t="s">
        <v>15236</v>
      </c>
      <c r="BF774" t="str">
        <f>HYPERLINK("http://dx.doi.org/10.1038/s41559-020-1190-x","http://dx.doi.org/10.1038/s41559-020-1190-x")</f>
        <v>http://dx.doi.org/10.1038/s41559-020-1190-x</v>
      </c>
      <c r="BG774" t="s">
        <v>74</v>
      </c>
      <c r="BH774" t="s">
        <v>14775</v>
      </c>
      <c r="BI774">
        <v>4</v>
      </c>
      <c r="BJ774" t="s">
        <v>2760</v>
      </c>
      <c r="BK774" t="s">
        <v>102</v>
      </c>
      <c r="BL774" t="s">
        <v>2761</v>
      </c>
      <c r="BM774" t="s">
        <v>15237</v>
      </c>
      <c r="BN774">
        <v>32332998</v>
      </c>
      <c r="BO774" t="s">
        <v>15238</v>
      </c>
      <c r="BP774" t="s">
        <v>74</v>
      </c>
      <c r="BQ774" t="s">
        <v>74</v>
      </c>
      <c r="BR774" t="s">
        <v>106</v>
      </c>
      <c r="BS774" t="s">
        <v>15239</v>
      </c>
      <c r="BT774" t="str">
        <f>HYPERLINK("https%3A%2F%2Fwww.webofscience.com%2Fwos%2Fwoscc%2Ffull-record%2FWOS:000528422200002","View Full Record in Web of Science")</f>
        <v>View Full Record in Web of Science</v>
      </c>
    </row>
    <row r="775" spans="1:72" x14ac:dyDescent="0.15">
      <c r="A775" t="s">
        <v>72</v>
      </c>
      <c r="B775" t="s">
        <v>15240</v>
      </c>
      <c r="C775" t="s">
        <v>74</v>
      </c>
      <c r="D775" t="s">
        <v>74</v>
      </c>
      <c r="E775" t="s">
        <v>74</v>
      </c>
      <c r="F775" t="s">
        <v>15241</v>
      </c>
      <c r="G775" t="s">
        <v>74</v>
      </c>
      <c r="H775" t="s">
        <v>74</v>
      </c>
      <c r="I775" t="s">
        <v>15242</v>
      </c>
      <c r="J775" t="s">
        <v>1186</v>
      </c>
      <c r="K775" t="s">
        <v>74</v>
      </c>
      <c r="L775" t="s">
        <v>74</v>
      </c>
      <c r="M775" t="s">
        <v>78</v>
      </c>
      <c r="N775" t="s">
        <v>79</v>
      </c>
      <c r="O775" t="s">
        <v>74</v>
      </c>
      <c r="P775" t="s">
        <v>74</v>
      </c>
      <c r="Q775" t="s">
        <v>74</v>
      </c>
      <c r="R775" t="s">
        <v>74</v>
      </c>
      <c r="S775" t="s">
        <v>74</v>
      </c>
      <c r="T775" t="s">
        <v>15243</v>
      </c>
      <c r="U775" t="s">
        <v>15244</v>
      </c>
      <c r="V775" t="s">
        <v>15245</v>
      </c>
      <c r="W775" t="s">
        <v>15246</v>
      </c>
      <c r="X775" t="s">
        <v>15247</v>
      </c>
      <c r="Y775" t="s">
        <v>15248</v>
      </c>
      <c r="Z775" t="s">
        <v>15249</v>
      </c>
      <c r="AA775" t="s">
        <v>15250</v>
      </c>
      <c r="AB775" t="s">
        <v>15251</v>
      </c>
      <c r="AC775" t="s">
        <v>15252</v>
      </c>
      <c r="AD775" t="s">
        <v>15253</v>
      </c>
      <c r="AE775" t="s">
        <v>15254</v>
      </c>
      <c r="AF775" t="s">
        <v>74</v>
      </c>
      <c r="AG775">
        <v>94</v>
      </c>
      <c r="AH775">
        <v>69</v>
      </c>
      <c r="AI775">
        <v>75</v>
      </c>
      <c r="AJ775">
        <v>2</v>
      </c>
      <c r="AK775">
        <v>27</v>
      </c>
      <c r="AL775" t="s">
        <v>1199</v>
      </c>
      <c r="AM775" t="s">
        <v>1200</v>
      </c>
      <c r="AN775" t="s">
        <v>1201</v>
      </c>
      <c r="AO775" t="s">
        <v>1202</v>
      </c>
      <c r="AP775" t="s">
        <v>1203</v>
      </c>
      <c r="AQ775" t="s">
        <v>74</v>
      </c>
      <c r="AR775" t="s">
        <v>1204</v>
      </c>
      <c r="AS775" t="s">
        <v>1205</v>
      </c>
      <c r="AT775" t="s">
        <v>15255</v>
      </c>
      <c r="AU775">
        <v>2020</v>
      </c>
      <c r="AV775">
        <v>640</v>
      </c>
      <c r="AW775" t="s">
        <v>74</v>
      </c>
      <c r="AX775" t="s">
        <v>74</v>
      </c>
      <c r="AY775" t="s">
        <v>74</v>
      </c>
      <c r="AZ775" t="s">
        <v>74</v>
      </c>
      <c r="BA775" t="s">
        <v>74</v>
      </c>
      <c r="BB775">
        <v>1</v>
      </c>
      <c r="BC775">
        <v>16</v>
      </c>
      <c r="BD775" t="s">
        <v>74</v>
      </c>
      <c r="BE775" t="s">
        <v>15256</v>
      </c>
      <c r="BF775" t="str">
        <f>HYPERLINK("http://dx.doi.org/10.3354/meps13299","http://dx.doi.org/10.3354/meps13299")</f>
        <v>http://dx.doi.org/10.3354/meps13299</v>
      </c>
      <c r="BG775" t="s">
        <v>74</v>
      </c>
      <c r="BH775" t="s">
        <v>74</v>
      </c>
      <c r="BI775">
        <v>16</v>
      </c>
      <c r="BJ775" t="s">
        <v>1208</v>
      </c>
      <c r="BK775" t="s">
        <v>102</v>
      </c>
      <c r="BL775" t="s">
        <v>1209</v>
      </c>
      <c r="BM775" t="s">
        <v>15257</v>
      </c>
      <c r="BN775" t="s">
        <v>74</v>
      </c>
      <c r="BO775" t="s">
        <v>9194</v>
      </c>
      <c r="BP775" t="s">
        <v>74</v>
      </c>
      <c r="BQ775" t="s">
        <v>74</v>
      </c>
      <c r="BR775" t="s">
        <v>106</v>
      </c>
      <c r="BS775" t="s">
        <v>15258</v>
      </c>
      <c r="BT775" t="str">
        <f>HYPERLINK("https%3A%2F%2Fwww.webofscience.com%2Fwos%2Fwoscc%2Ffull-record%2FWOS:000545926500001","View Full Record in Web of Science")</f>
        <v>View Full Record in Web of Science</v>
      </c>
    </row>
    <row r="776" spans="1:72" x14ac:dyDescent="0.15">
      <c r="A776" t="s">
        <v>72</v>
      </c>
      <c r="B776" t="s">
        <v>15259</v>
      </c>
      <c r="C776" t="s">
        <v>74</v>
      </c>
      <c r="D776" t="s">
        <v>74</v>
      </c>
      <c r="E776" t="s">
        <v>74</v>
      </c>
      <c r="F776" t="s">
        <v>15260</v>
      </c>
      <c r="G776" t="s">
        <v>74</v>
      </c>
      <c r="H776" t="s">
        <v>74</v>
      </c>
      <c r="I776" t="s">
        <v>15261</v>
      </c>
      <c r="J776" t="s">
        <v>1186</v>
      </c>
      <c r="K776" t="s">
        <v>74</v>
      </c>
      <c r="L776" t="s">
        <v>74</v>
      </c>
      <c r="M776" t="s">
        <v>78</v>
      </c>
      <c r="N776" t="s">
        <v>79</v>
      </c>
      <c r="O776" t="s">
        <v>74</v>
      </c>
      <c r="P776" t="s">
        <v>74</v>
      </c>
      <c r="Q776" t="s">
        <v>74</v>
      </c>
      <c r="R776" t="s">
        <v>74</v>
      </c>
      <c r="S776" t="s">
        <v>74</v>
      </c>
      <c r="T776" t="s">
        <v>15262</v>
      </c>
      <c r="U776" t="s">
        <v>15263</v>
      </c>
      <c r="V776" t="s">
        <v>15264</v>
      </c>
      <c r="W776" t="s">
        <v>15265</v>
      </c>
      <c r="X776" t="s">
        <v>390</v>
      </c>
      <c r="Y776" t="s">
        <v>15266</v>
      </c>
      <c r="Z776" t="s">
        <v>15267</v>
      </c>
      <c r="AA776" t="s">
        <v>15268</v>
      </c>
      <c r="AB776" t="s">
        <v>15269</v>
      </c>
      <c r="AC776" t="s">
        <v>15270</v>
      </c>
      <c r="AD776" t="s">
        <v>15271</v>
      </c>
      <c r="AE776" t="s">
        <v>15272</v>
      </c>
      <c r="AF776" t="s">
        <v>74</v>
      </c>
      <c r="AG776">
        <v>73</v>
      </c>
      <c r="AH776">
        <v>19</v>
      </c>
      <c r="AI776">
        <v>20</v>
      </c>
      <c r="AJ776">
        <v>1</v>
      </c>
      <c r="AK776">
        <v>10</v>
      </c>
      <c r="AL776" t="s">
        <v>1199</v>
      </c>
      <c r="AM776" t="s">
        <v>1200</v>
      </c>
      <c r="AN776" t="s">
        <v>1201</v>
      </c>
      <c r="AO776" t="s">
        <v>1202</v>
      </c>
      <c r="AP776" t="s">
        <v>1203</v>
      </c>
      <c r="AQ776" t="s">
        <v>74</v>
      </c>
      <c r="AR776" t="s">
        <v>1204</v>
      </c>
      <c r="AS776" t="s">
        <v>1205</v>
      </c>
      <c r="AT776" t="s">
        <v>15255</v>
      </c>
      <c r="AU776">
        <v>2020</v>
      </c>
      <c r="AV776">
        <v>640</v>
      </c>
      <c r="AW776" t="s">
        <v>74</v>
      </c>
      <c r="AX776" t="s">
        <v>74</v>
      </c>
      <c r="AY776" t="s">
        <v>74</v>
      </c>
      <c r="AZ776" t="s">
        <v>74</v>
      </c>
      <c r="BA776" t="s">
        <v>74</v>
      </c>
      <c r="BB776">
        <v>31</v>
      </c>
      <c r="BC776">
        <v>43</v>
      </c>
      <c r="BD776" t="s">
        <v>74</v>
      </c>
      <c r="BE776" t="s">
        <v>15273</v>
      </c>
      <c r="BF776" t="str">
        <f>HYPERLINK("http://dx.doi.org/10.3354/meps13295","http://dx.doi.org/10.3354/meps13295")</f>
        <v>http://dx.doi.org/10.3354/meps13295</v>
      </c>
      <c r="BG776" t="s">
        <v>74</v>
      </c>
      <c r="BH776" t="s">
        <v>74</v>
      </c>
      <c r="BI776">
        <v>13</v>
      </c>
      <c r="BJ776" t="s">
        <v>1208</v>
      </c>
      <c r="BK776" t="s">
        <v>102</v>
      </c>
      <c r="BL776" t="s">
        <v>1209</v>
      </c>
      <c r="BM776" t="s">
        <v>15257</v>
      </c>
      <c r="BN776" t="s">
        <v>74</v>
      </c>
      <c r="BO776" t="s">
        <v>976</v>
      </c>
      <c r="BP776" t="s">
        <v>74</v>
      </c>
      <c r="BQ776" t="s">
        <v>74</v>
      </c>
      <c r="BR776" t="s">
        <v>106</v>
      </c>
      <c r="BS776" t="s">
        <v>15274</v>
      </c>
      <c r="BT776" t="str">
        <f>HYPERLINK("https%3A%2F%2Fwww.webofscience.com%2Fwos%2Fwoscc%2Ffull-record%2FWOS:000545926500003","View Full Record in Web of Science")</f>
        <v>View Full Record in Web of Science</v>
      </c>
    </row>
    <row r="777" spans="1:72" x14ac:dyDescent="0.15">
      <c r="A777" t="s">
        <v>72</v>
      </c>
      <c r="B777" t="s">
        <v>15275</v>
      </c>
      <c r="C777" t="s">
        <v>74</v>
      </c>
      <c r="D777" t="s">
        <v>74</v>
      </c>
      <c r="E777" t="s">
        <v>74</v>
      </c>
      <c r="F777" t="s">
        <v>15276</v>
      </c>
      <c r="G777" t="s">
        <v>74</v>
      </c>
      <c r="H777" t="s">
        <v>74</v>
      </c>
      <c r="I777" t="s">
        <v>15277</v>
      </c>
      <c r="J777" t="s">
        <v>1186</v>
      </c>
      <c r="K777" t="s">
        <v>74</v>
      </c>
      <c r="L777" t="s">
        <v>74</v>
      </c>
      <c r="M777" t="s">
        <v>78</v>
      </c>
      <c r="N777" t="s">
        <v>79</v>
      </c>
      <c r="O777" t="s">
        <v>74</v>
      </c>
      <c r="P777" t="s">
        <v>74</v>
      </c>
      <c r="Q777" t="s">
        <v>74</v>
      </c>
      <c r="R777" t="s">
        <v>74</v>
      </c>
      <c r="S777" t="s">
        <v>74</v>
      </c>
      <c r="T777" t="s">
        <v>15278</v>
      </c>
      <c r="U777" t="s">
        <v>15279</v>
      </c>
      <c r="V777" t="s">
        <v>15280</v>
      </c>
      <c r="W777" t="s">
        <v>15281</v>
      </c>
      <c r="X777" t="s">
        <v>15282</v>
      </c>
      <c r="Y777" t="s">
        <v>15283</v>
      </c>
      <c r="Z777" t="s">
        <v>15284</v>
      </c>
      <c r="AA777" t="s">
        <v>15285</v>
      </c>
      <c r="AB777" t="s">
        <v>15286</v>
      </c>
      <c r="AC777" t="s">
        <v>15287</v>
      </c>
      <c r="AD777" t="s">
        <v>15288</v>
      </c>
      <c r="AE777" t="s">
        <v>15289</v>
      </c>
      <c r="AF777" t="s">
        <v>74</v>
      </c>
      <c r="AG777">
        <v>83</v>
      </c>
      <c r="AH777">
        <v>3</v>
      </c>
      <c r="AI777">
        <v>3</v>
      </c>
      <c r="AJ777">
        <v>2</v>
      </c>
      <c r="AK777">
        <v>10</v>
      </c>
      <c r="AL777" t="s">
        <v>1199</v>
      </c>
      <c r="AM777" t="s">
        <v>1200</v>
      </c>
      <c r="AN777" t="s">
        <v>1201</v>
      </c>
      <c r="AO777" t="s">
        <v>1202</v>
      </c>
      <c r="AP777" t="s">
        <v>1203</v>
      </c>
      <c r="AQ777" t="s">
        <v>74</v>
      </c>
      <c r="AR777" t="s">
        <v>1204</v>
      </c>
      <c r="AS777" t="s">
        <v>1205</v>
      </c>
      <c r="AT777" t="s">
        <v>15255</v>
      </c>
      <c r="AU777">
        <v>2020</v>
      </c>
      <c r="AV777">
        <v>640</v>
      </c>
      <c r="AW777" t="s">
        <v>74</v>
      </c>
      <c r="AX777" t="s">
        <v>74</v>
      </c>
      <c r="AY777" t="s">
        <v>74</v>
      </c>
      <c r="AZ777" t="s">
        <v>74</v>
      </c>
      <c r="BA777" t="s">
        <v>74</v>
      </c>
      <c r="BB777">
        <v>45</v>
      </c>
      <c r="BC777">
        <v>61</v>
      </c>
      <c r="BD777" t="s">
        <v>74</v>
      </c>
      <c r="BE777" t="s">
        <v>15290</v>
      </c>
      <c r="BF777" t="str">
        <f>HYPERLINK("http://dx.doi.org/10.3354/meps13310","http://dx.doi.org/10.3354/meps13310")</f>
        <v>http://dx.doi.org/10.3354/meps13310</v>
      </c>
      <c r="BG777" t="s">
        <v>74</v>
      </c>
      <c r="BH777" t="s">
        <v>74</v>
      </c>
      <c r="BI777">
        <v>17</v>
      </c>
      <c r="BJ777" t="s">
        <v>1208</v>
      </c>
      <c r="BK777" t="s">
        <v>102</v>
      </c>
      <c r="BL777" t="s">
        <v>1209</v>
      </c>
      <c r="BM777" t="s">
        <v>15257</v>
      </c>
      <c r="BN777" t="s">
        <v>74</v>
      </c>
      <c r="BO777" t="s">
        <v>976</v>
      </c>
      <c r="BP777" t="s">
        <v>74</v>
      </c>
      <c r="BQ777" t="s">
        <v>74</v>
      </c>
      <c r="BR777" t="s">
        <v>106</v>
      </c>
      <c r="BS777" t="s">
        <v>15291</v>
      </c>
      <c r="BT777" t="str">
        <f>HYPERLINK("https%3A%2F%2Fwww.webofscience.com%2Fwos%2Fwoscc%2Ffull-record%2FWOS:000545926500004","View Full Record in Web of Science")</f>
        <v>View Full Record in Web of Science</v>
      </c>
    </row>
    <row r="778" spans="1:72" x14ac:dyDescent="0.15">
      <c r="A778" t="s">
        <v>72</v>
      </c>
      <c r="B778" t="s">
        <v>15292</v>
      </c>
      <c r="C778" t="s">
        <v>74</v>
      </c>
      <c r="D778" t="s">
        <v>74</v>
      </c>
      <c r="E778" t="s">
        <v>74</v>
      </c>
      <c r="F778" t="s">
        <v>15293</v>
      </c>
      <c r="G778" t="s">
        <v>74</v>
      </c>
      <c r="H778" t="s">
        <v>74</v>
      </c>
      <c r="I778" t="s">
        <v>15294</v>
      </c>
      <c r="J778" t="s">
        <v>1186</v>
      </c>
      <c r="K778" t="s">
        <v>74</v>
      </c>
      <c r="L778" t="s">
        <v>74</v>
      </c>
      <c r="M778" t="s">
        <v>78</v>
      </c>
      <c r="N778" t="s">
        <v>79</v>
      </c>
      <c r="O778" t="s">
        <v>74</v>
      </c>
      <c r="P778" t="s">
        <v>74</v>
      </c>
      <c r="Q778" t="s">
        <v>74</v>
      </c>
      <c r="R778" t="s">
        <v>74</v>
      </c>
      <c r="S778" t="s">
        <v>74</v>
      </c>
      <c r="T778" t="s">
        <v>15295</v>
      </c>
      <c r="U778" t="s">
        <v>15296</v>
      </c>
      <c r="V778" t="s">
        <v>15297</v>
      </c>
      <c r="W778" t="s">
        <v>15298</v>
      </c>
      <c r="X778" t="s">
        <v>15299</v>
      </c>
      <c r="Y778" t="s">
        <v>15300</v>
      </c>
      <c r="Z778" t="s">
        <v>15301</v>
      </c>
      <c r="AA778" t="s">
        <v>15302</v>
      </c>
      <c r="AB778" t="s">
        <v>15303</v>
      </c>
      <c r="AC778" t="s">
        <v>15304</v>
      </c>
      <c r="AD778" t="s">
        <v>15305</v>
      </c>
      <c r="AE778" t="s">
        <v>15306</v>
      </c>
      <c r="AF778" t="s">
        <v>74</v>
      </c>
      <c r="AG778">
        <v>76</v>
      </c>
      <c r="AH778">
        <v>10</v>
      </c>
      <c r="AI778">
        <v>10</v>
      </c>
      <c r="AJ778">
        <v>2</v>
      </c>
      <c r="AK778">
        <v>17</v>
      </c>
      <c r="AL778" t="s">
        <v>1199</v>
      </c>
      <c r="AM778" t="s">
        <v>1200</v>
      </c>
      <c r="AN778" t="s">
        <v>1201</v>
      </c>
      <c r="AO778" t="s">
        <v>1202</v>
      </c>
      <c r="AP778" t="s">
        <v>1203</v>
      </c>
      <c r="AQ778" t="s">
        <v>74</v>
      </c>
      <c r="AR778" t="s">
        <v>1204</v>
      </c>
      <c r="AS778" t="s">
        <v>1205</v>
      </c>
      <c r="AT778" t="s">
        <v>15255</v>
      </c>
      <c r="AU778">
        <v>2020</v>
      </c>
      <c r="AV778">
        <v>640</v>
      </c>
      <c r="AW778" t="s">
        <v>74</v>
      </c>
      <c r="AX778" t="s">
        <v>74</v>
      </c>
      <c r="AY778" t="s">
        <v>74</v>
      </c>
      <c r="AZ778" t="s">
        <v>74</v>
      </c>
      <c r="BA778" t="s">
        <v>74</v>
      </c>
      <c r="BB778">
        <v>215</v>
      </c>
      <c r="BC778">
        <v>230</v>
      </c>
      <c r="BD778" t="s">
        <v>74</v>
      </c>
      <c r="BE778" t="s">
        <v>15307</v>
      </c>
      <c r="BF778" t="str">
        <f>HYPERLINK("http://dx.doi.org/10.3354/meps13289","http://dx.doi.org/10.3354/meps13289")</f>
        <v>http://dx.doi.org/10.3354/meps13289</v>
      </c>
      <c r="BG778" t="s">
        <v>74</v>
      </c>
      <c r="BH778" t="s">
        <v>74</v>
      </c>
      <c r="BI778">
        <v>16</v>
      </c>
      <c r="BJ778" t="s">
        <v>1208</v>
      </c>
      <c r="BK778" t="s">
        <v>102</v>
      </c>
      <c r="BL778" t="s">
        <v>1209</v>
      </c>
      <c r="BM778" t="s">
        <v>15257</v>
      </c>
      <c r="BN778" t="s">
        <v>74</v>
      </c>
      <c r="BO778" t="s">
        <v>976</v>
      </c>
      <c r="BP778" t="s">
        <v>74</v>
      </c>
      <c r="BQ778" t="s">
        <v>74</v>
      </c>
      <c r="BR778" t="s">
        <v>106</v>
      </c>
      <c r="BS778" t="s">
        <v>15308</v>
      </c>
      <c r="BT778" t="str">
        <f>HYPERLINK("https%3A%2F%2Fwww.webofscience.com%2Fwos%2Fwoscc%2Ffull-record%2FWOS:000545926500015","View Full Record in Web of Science")</f>
        <v>View Full Record in Web of Science</v>
      </c>
    </row>
    <row r="779" spans="1:72" x14ac:dyDescent="0.15">
      <c r="A779" t="s">
        <v>72</v>
      </c>
      <c r="B779" t="s">
        <v>15309</v>
      </c>
      <c r="C779" t="s">
        <v>74</v>
      </c>
      <c r="D779" t="s">
        <v>74</v>
      </c>
      <c r="E779" t="s">
        <v>74</v>
      </c>
      <c r="F779" t="s">
        <v>15310</v>
      </c>
      <c r="G779" t="s">
        <v>74</v>
      </c>
      <c r="H779" t="s">
        <v>74</v>
      </c>
      <c r="I779" t="s">
        <v>15311</v>
      </c>
      <c r="J779" t="s">
        <v>1106</v>
      </c>
      <c r="K779" t="s">
        <v>74</v>
      </c>
      <c r="L779" t="s">
        <v>74</v>
      </c>
      <c r="M779" t="s">
        <v>78</v>
      </c>
      <c r="N779" t="s">
        <v>79</v>
      </c>
      <c r="O779" t="s">
        <v>74</v>
      </c>
      <c r="P779" t="s">
        <v>74</v>
      </c>
      <c r="Q779" t="s">
        <v>74</v>
      </c>
      <c r="R779" t="s">
        <v>74</v>
      </c>
      <c r="S779" t="s">
        <v>74</v>
      </c>
      <c r="T779" t="s">
        <v>74</v>
      </c>
      <c r="U779" t="s">
        <v>15312</v>
      </c>
      <c r="V779" t="s">
        <v>15313</v>
      </c>
      <c r="W779" t="s">
        <v>15314</v>
      </c>
      <c r="X779" t="s">
        <v>15315</v>
      </c>
      <c r="Y779" t="s">
        <v>15316</v>
      </c>
      <c r="Z779" t="s">
        <v>15317</v>
      </c>
      <c r="AA779" t="s">
        <v>15318</v>
      </c>
      <c r="AB779" t="s">
        <v>15319</v>
      </c>
      <c r="AC779" t="s">
        <v>15320</v>
      </c>
      <c r="AD779" t="s">
        <v>15321</v>
      </c>
      <c r="AE779" t="s">
        <v>15322</v>
      </c>
      <c r="AF779" t="s">
        <v>74</v>
      </c>
      <c r="AG779">
        <v>66</v>
      </c>
      <c r="AH779">
        <v>26</v>
      </c>
      <c r="AI779">
        <v>26</v>
      </c>
      <c r="AJ779">
        <v>1</v>
      </c>
      <c r="AK779">
        <v>7</v>
      </c>
      <c r="AL779" t="s">
        <v>1389</v>
      </c>
      <c r="AM779" t="s">
        <v>945</v>
      </c>
      <c r="AN779" t="s">
        <v>1390</v>
      </c>
      <c r="AO779" t="s">
        <v>1121</v>
      </c>
      <c r="AP779" t="s">
        <v>74</v>
      </c>
      <c r="AQ779" t="s">
        <v>74</v>
      </c>
      <c r="AR779" t="s">
        <v>1122</v>
      </c>
      <c r="AS779" t="s">
        <v>1123</v>
      </c>
      <c r="AT779" t="s">
        <v>15255</v>
      </c>
      <c r="AU779">
        <v>2020</v>
      </c>
      <c r="AV779">
        <v>10</v>
      </c>
      <c r="AW779">
        <v>1</v>
      </c>
      <c r="AX779" t="s">
        <v>74</v>
      </c>
      <c r="AY779" t="s">
        <v>74</v>
      </c>
      <c r="AZ779" t="s">
        <v>74</v>
      </c>
      <c r="BA779" t="s">
        <v>74</v>
      </c>
      <c r="BB779" t="s">
        <v>74</v>
      </c>
      <c r="BC779" t="s">
        <v>74</v>
      </c>
      <c r="BD779">
        <v>5051</v>
      </c>
      <c r="BE779" t="s">
        <v>15323</v>
      </c>
      <c r="BF779" t="str">
        <f>HYPERLINK("http://dx.doi.org/10.1038/s41598-020-61973-5","http://dx.doi.org/10.1038/s41598-020-61973-5")</f>
        <v>http://dx.doi.org/10.1038/s41598-020-61973-5</v>
      </c>
      <c r="BG779" t="s">
        <v>74</v>
      </c>
      <c r="BH779" t="s">
        <v>74</v>
      </c>
      <c r="BI779">
        <v>11</v>
      </c>
      <c r="BJ779" t="s">
        <v>1125</v>
      </c>
      <c r="BK779" t="s">
        <v>102</v>
      </c>
      <c r="BL779" t="s">
        <v>1126</v>
      </c>
      <c r="BM779" t="s">
        <v>15324</v>
      </c>
      <c r="BN779">
        <v>32327670</v>
      </c>
      <c r="BO779" t="s">
        <v>1778</v>
      </c>
      <c r="BP779" t="s">
        <v>74</v>
      </c>
      <c r="BQ779" t="s">
        <v>74</v>
      </c>
      <c r="BR779" t="s">
        <v>106</v>
      </c>
      <c r="BS779" t="s">
        <v>15325</v>
      </c>
      <c r="BT779" t="str">
        <f>HYPERLINK("https%3A%2F%2Fwww.webofscience.com%2Fwos%2Fwoscc%2Ffull-record%2FWOS:000529984100001","View Full Record in Web of Science")</f>
        <v>View Full Record in Web of Science</v>
      </c>
    </row>
    <row r="780" spans="1:72" x14ac:dyDescent="0.15">
      <c r="A780" t="s">
        <v>72</v>
      </c>
      <c r="B780" t="s">
        <v>15326</v>
      </c>
      <c r="C780" t="s">
        <v>74</v>
      </c>
      <c r="D780" t="s">
        <v>74</v>
      </c>
      <c r="E780" t="s">
        <v>74</v>
      </c>
      <c r="F780" t="s">
        <v>15327</v>
      </c>
      <c r="G780" t="s">
        <v>74</v>
      </c>
      <c r="H780" t="s">
        <v>74</v>
      </c>
      <c r="I780" t="s">
        <v>15328</v>
      </c>
      <c r="J780" t="s">
        <v>3281</v>
      </c>
      <c r="K780" t="s">
        <v>74</v>
      </c>
      <c r="L780" t="s">
        <v>74</v>
      </c>
      <c r="M780" t="s">
        <v>78</v>
      </c>
      <c r="N780" t="s">
        <v>79</v>
      </c>
      <c r="O780" t="s">
        <v>74</v>
      </c>
      <c r="P780" t="s">
        <v>74</v>
      </c>
      <c r="Q780" t="s">
        <v>74</v>
      </c>
      <c r="R780" t="s">
        <v>74</v>
      </c>
      <c r="S780" t="s">
        <v>74</v>
      </c>
      <c r="T780" t="s">
        <v>15329</v>
      </c>
      <c r="U780" t="s">
        <v>15330</v>
      </c>
      <c r="V780" t="s">
        <v>15331</v>
      </c>
      <c r="W780" t="s">
        <v>15332</v>
      </c>
      <c r="X780" t="s">
        <v>15333</v>
      </c>
      <c r="Y780" t="s">
        <v>15334</v>
      </c>
      <c r="Z780" t="s">
        <v>15335</v>
      </c>
      <c r="AA780" t="s">
        <v>15336</v>
      </c>
      <c r="AB780" t="s">
        <v>15337</v>
      </c>
      <c r="AC780" t="s">
        <v>15338</v>
      </c>
      <c r="AD780" t="s">
        <v>13821</v>
      </c>
      <c r="AE780" t="s">
        <v>15339</v>
      </c>
      <c r="AF780" t="s">
        <v>74</v>
      </c>
      <c r="AG780">
        <v>97</v>
      </c>
      <c r="AH780">
        <v>18</v>
      </c>
      <c r="AI780">
        <v>18</v>
      </c>
      <c r="AJ780">
        <v>1</v>
      </c>
      <c r="AK780">
        <v>3</v>
      </c>
      <c r="AL780" t="s">
        <v>3293</v>
      </c>
      <c r="AM780" t="s">
        <v>3294</v>
      </c>
      <c r="AN780" t="s">
        <v>15340</v>
      </c>
      <c r="AO780" t="s">
        <v>3296</v>
      </c>
      <c r="AP780" t="s">
        <v>3297</v>
      </c>
      <c r="AQ780" t="s">
        <v>74</v>
      </c>
      <c r="AR780" t="s">
        <v>3281</v>
      </c>
      <c r="AS780" t="s">
        <v>3298</v>
      </c>
      <c r="AT780" t="s">
        <v>15255</v>
      </c>
      <c r="AU780">
        <v>2020</v>
      </c>
      <c r="AV780">
        <v>4767</v>
      </c>
      <c r="AW780">
        <v>1</v>
      </c>
      <c r="AX780" t="s">
        <v>74</v>
      </c>
      <c r="AY780" t="s">
        <v>74</v>
      </c>
      <c r="AZ780" t="s">
        <v>74</v>
      </c>
      <c r="BA780" t="s">
        <v>74</v>
      </c>
      <c r="BB780">
        <v>115</v>
      </c>
      <c r="BC780">
        <v>137</v>
      </c>
      <c r="BD780" t="s">
        <v>74</v>
      </c>
      <c r="BE780" t="s">
        <v>15341</v>
      </c>
      <c r="BF780" t="str">
        <f>HYPERLINK("http://dx.doi.org/10.11646/zootaxa.4767.1.5","http://dx.doi.org/10.11646/zootaxa.4767.1.5")</f>
        <v>http://dx.doi.org/10.11646/zootaxa.4767.1.5</v>
      </c>
      <c r="BG780" t="s">
        <v>74</v>
      </c>
      <c r="BH780" t="s">
        <v>74</v>
      </c>
      <c r="BI780">
        <v>23</v>
      </c>
      <c r="BJ780" t="s">
        <v>1499</v>
      </c>
      <c r="BK780" t="s">
        <v>102</v>
      </c>
      <c r="BL780" t="s">
        <v>1499</v>
      </c>
      <c r="BM780" t="s">
        <v>15342</v>
      </c>
      <c r="BN780">
        <v>33056575</v>
      </c>
      <c r="BO780" t="s">
        <v>74</v>
      </c>
      <c r="BP780" t="s">
        <v>74</v>
      </c>
      <c r="BQ780" t="s">
        <v>74</v>
      </c>
      <c r="BR780" t="s">
        <v>106</v>
      </c>
      <c r="BS780" t="s">
        <v>15343</v>
      </c>
      <c r="BT780" t="str">
        <f>HYPERLINK("https%3A%2F%2Fwww.webofscience.com%2Fwos%2Fwoscc%2Ffull-record%2FWOS:000528724600005","View Full Record in Web of Science")</f>
        <v>View Full Record in Web of Science</v>
      </c>
    </row>
    <row r="781" spans="1:72" x14ac:dyDescent="0.15">
      <c r="A781" t="s">
        <v>72</v>
      </c>
      <c r="B781" t="s">
        <v>15344</v>
      </c>
      <c r="C781" t="s">
        <v>74</v>
      </c>
      <c r="D781" t="s">
        <v>74</v>
      </c>
      <c r="E781" t="s">
        <v>74</v>
      </c>
      <c r="F781" t="s">
        <v>15345</v>
      </c>
      <c r="G781" t="s">
        <v>74</v>
      </c>
      <c r="H781" t="s">
        <v>74</v>
      </c>
      <c r="I781" t="s">
        <v>15346</v>
      </c>
      <c r="J781" t="s">
        <v>15347</v>
      </c>
      <c r="K781" t="s">
        <v>74</v>
      </c>
      <c r="L781" t="s">
        <v>74</v>
      </c>
      <c r="M781" t="s">
        <v>78</v>
      </c>
      <c r="N781" t="s">
        <v>79</v>
      </c>
      <c r="O781" t="s">
        <v>74</v>
      </c>
      <c r="P781" t="s">
        <v>74</v>
      </c>
      <c r="Q781" t="s">
        <v>74</v>
      </c>
      <c r="R781" t="s">
        <v>74</v>
      </c>
      <c r="S781" t="s">
        <v>74</v>
      </c>
      <c r="T781" t="s">
        <v>15348</v>
      </c>
      <c r="U781" t="s">
        <v>15349</v>
      </c>
      <c r="V781" t="s">
        <v>15350</v>
      </c>
      <c r="W781" t="s">
        <v>15351</v>
      </c>
      <c r="X781" t="s">
        <v>15352</v>
      </c>
      <c r="Y781" t="s">
        <v>15353</v>
      </c>
      <c r="Z781" t="s">
        <v>15354</v>
      </c>
      <c r="AA781" t="s">
        <v>74</v>
      </c>
      <c r="AB781" t="s">
        <v>15355</v>
      </c>
      <c r="AC781" t="s">
        <v>15356</v>
      </c>
      <c r="AD781" t="s">
        <v>15357</v>
      </c>
      <c r="AE781" t="s">
        <v>15358</v>
      </c>
      <c r="AF781" t="s">
        <v>74</v>
      </c>
      <c r="AG781">
        <v>57</v>
      </c>
      <c r="AH781">
        <v>2</v>
      </c>
      <c r="AI781">
        <v>2</v>
      </c>
      <c r="AJ781">
        <v>0</v>
      </c>
      <c r="AK781">
        <v>7</v>
      </c>
      <c r="AL781" t="s">
        <v>256</v>
      </c>
      <c r="AM781" t="s">
        <v>257</v>
      </c>
      <c r="AN781" t="s">
        <v>258</v>
      </c>
      <c r="AO781" t="s">
        <v>15359</v>
      </c>
      <c r="AP781" t="s">
        <v>15360</v>
      </c>
      <c r="AQ781" t="s">
        <v>74</v>
      </c>
      <c r="AR781" t="s">
        <v>15361</v>
      </c>
      <c r="AS781" t="s">
        <v>15362</v>
      </c>
      <c r="AT781" t="s">
        <v>15255</v>
      </c>
      <c r="AU781">
        <v>2020</v>
      </c>
      <c r="AV781">
        <v>725</v>
      </c>
      <c r="AW781" t="s">
        <v>74</v>
      </c>
      <c r="AX781" t="s">
        <v>74</v>
      </c>
      <c r="AY781" t="s">
        <v>74</v>
      </c>
      <c r="AZ781" t="s">
        <v>74</v>
      </c>
      <c r="BA781" t="s">
        <v>74</v>
      </c>
      <c r="BB781" t="s">
        <v>74</v>
      </c>
      <c r="BC781" t="s">
        <v>74</v>
      </c>
      <c r="BD781">
        <v>134893</v>
      </c>
      <c r="BE781" t="s">
        <v>15363</v>
      </c>
      <c r="BF781" t="str">
        <f>HYPERLINK("http://dx.doi.org/10.1016/j.neulet.2020.134893","http://dx.doi.org/10.1016/j.neulet.2020.134893")</f>
        <v>http://dx.doi.org/10.1016/j.neulet.2020.134893</v>
      </c>
      <c r="BG781" t="s">
        <v>74</v>
      </c>
      <c r="BH781" t="s">
        <v>74</v>
      </c>
      <c r="BI781">
        <v>6</v>
      </c>
      <c r="BJ781" t="s">
        <v>264</v>
      </c>
      <c r="BK781" t="s">
        <v>925</v>
      </c>
      <c r="BL781" t="s">
        <v>265</v>
      </c>
      <c r="BM781" t="s">
        <v>15364</v>
      </c>
      <c r="BN781">
        <v>32147501</v>
      </c>
      <c r="BO781" t="s">
        <v>294</v>
      </c>
      <c r="BP781" t="s">
        <v>74</v>
      </c>
      <c r="BQ781" t="s">
        <v>74</v>
      </c>
      <c r="BR781" t="s">
        <v>106</v>
      </c>
      <c r="BS781" t="s">
        <v>15365</v>
      </c>
      <c r="BT781" t="str">
        <f>HYPERLINK("https%3A%2F%2Fwww.webofscience.com%2Fwos%2Fwoscc%2Ffull-record%2FWOS:000525936800014","View Full Record in Web of Science")</f>
        <v>View Full Record in Web of Science</v>
      </c>
    </row>
    <row r="782" spans="1:72" x14ac:dyDescent="0.15">
      <c r="A782" t="s">
        <v>72</v>
      </c>
      <c r="B782" t="s">
        <v>15366</v>
      </c>
      <c r="C782" t="s">
        <v>74</v>
      </c>
      <c r="D782" t="s">
        <v>74</v>
      </c>
      <c r="E782" t="s">
        <v>74</v>
      </c>
      <c r="F782" t="s">
        <v>15367</v>
      </c>
      <c r="G782" t="s">
        <v>74</v>
      </c>
      <c r="H782" t="s">
        <v>74</v>
      </c>
      <c r="I782" t="s">
        <v>15368</v>
      </c>
      <c r="J782" t="s">
        <v>6134</v>
      </c>
      <c r="K782" t="s">
        <v>74</v>
      </c>
      <c r="L782" t="s">
        <v>74</v>
      </c>
      <c r="M782" t="s">
        <v>78</v>
      </c>
      <c r="N782" t="s">
        <v>79</v>
      </c>
      <c r="O782" t="s">
        <v>74</v>
      </c>
      <c r="P782" t="s">
        <v>74</v>
      </c>
      <c r="Q782" t="s">
        <v>74</v>
      </c>
      <c r="R782" t="s">
        <v>74</v>
      </c>
      <c r="S782" t="s">
        <v>74</v>
      </c>
      <c r="T782" t="s">
        <v>15369</v>
      </c>
      <c r="U782" t="s">
        <v>15370</v>
      </c>
      <c r="V782" t="s">
        <v>15371</v>
      </c>
      <c r="W782" t="s">
        <v>15372</v>
      </c>
      <c r="X782" t="s">
        <v>15373</v>
      </c>
      <c r="Y782" t="s">
        <v>15374</v>
      </c>
      <c r="Z782" t="s">
        <v>15375</v>
      </c>
      <c r="AA782" t="s">
        <v>15376</v>
      </c>
      <c r="AB782" t="s">
        <v>15377</v>
      </c>
      <c r="AC782" t="s">
        <v>15378</v>
      </c>
      <c r="AD782" t="s">
        <v>15379</v>
      </c>
      <c r="AE782" t="s">
        <v>15380</v>
      </c>
      <c r="AF782" t="s">
        <v>74</v>
      </c>
      <c r="AG782">
        <v>102</v>
      </c>
      <c r="AH782">
        <v>18</v>
      </c>
      <c r="AI782">
        <v>18</v>
      </c>
      <c r="AJ782">
        <v>1</v>
      </c>
      <c r="AK782">
        <v>24</v>
      </c>
      <c r="AL782" t="s">
        <v>3293</v>
      </c>
      <c r="AM782" t="s">
        <v>3294</v>
      </c>
      <c r="AN782" t="s">
        <v>3295</v>
      </c>
      <c r="AO782" t="s">
        <v>6147</v>
      </c>
      <c r="AP782" t="s">
        <v>6148</v>
      </c>
      <c r="AQ782" t="s">
        <v>74</v>
      </c>
      <c r="AR782" t="s">
        <v>6134</v>
      </c>
      <c r="AS782" t="s">
        <v>6149</v>
      </c>
      <c r="AT782" t="s">
        <v>15255</v>
      </c>
      <c r="AU782">
        <v>2020</v>
      </c>
      <c r="AV782">
        <v>440</v>
      </c>
      <c r="AW782">
        <v>2</v>
      </c>
      <c r="AX782" t="s">
        <v>74</v>
      </c>
      <c r="AY782" t="s">
        <v>74</v>
      </c>
      <c r="AZ782" t="s">
        <v>74</v>
      </c>
      <c r="BA782" t="s">
        <v>74</v>
      </c>
      <c r="BB782">
        <v>108</v>
      </c>
      <c r="BC782">
        <v>128</v>
      </c>
      <c r="BD782" t="s">
        <v>74</v>
      </c>
      <c r="BE782" t="s">
        <v>15381</v>
      </c>
      <c r="BF782" t="str">
        <f>HYPERLINK("http://dx.doi.org/10.11646/phytotaxa.440.2.3","http://dx.doi.org/10.11646/phytotaxa.440.2.3")</f>
        <v>http://dx.doi.org/10.11646/phytotaxa.440.2.3</v>
      </c>
      <c r="BG782" t="s">
        <v>74</v>
      </c>
      <c r="BH782" t="s">
        <v>74</v>
      </c>
      <c r="BI782">
        <v>21</v>
      </c>
      <c r="BJ782" t="s">
        <v>1635</v>
      </c>
      <c r="BK782" t="s">
        <v>102</v>
      </c>
      <c r="BL782" t="s">
        <v>1635</v>
      </c>
      <c r="BM782" t="s">
        <v>15382</v>
      </c>
      <c r="BN782" t="s">
        <v>74</v>
      </c>
      <c r="BO782" t="s">
        <v>74</v>
      </c>
      <c r="BP782" t="s">
        <v>74</v>
      </c>
      <c r="BQ782" t="s">
        <v>74</v>
      </c>
      <c r="BR782" t="s">
        <v>106</v>
      </c>
      <c r="BS782" t="s">
        <v>15383</v>
      </c>
      <c r="BT782" t="str">
        <f>HYPERLINK("https%3A%2F%2Fwww.webofscience.com%2Fwos%2Fwoscc%2Ffull-record%2FWOS:000528727700003","View Full Record in Web of Science")</f>
        <v>View Full Record in Web of Science</v>
      </c>
    </row>
    <row r="783" spans="1:72" x14ac:dyDescent="0.15">
      <c r="A783" t="s">
        <v>72</v>
      </c>
      <c r="B783" t="s">
        <v>15384</v>
      </c>
      <c r="C783" t="s">
        <v>74</v>
      </c>
      <c r="D783" t="s">
        <v>74</v>
      </c>
      <c r="E783" t="s">
        <v>74</v>
      </c>
      <c r="F783" t="s">
        <v>15385</v>
      </c>
      <c r="G783" t="s">
        <v>74</v>
      </c>
      <c r="H783" t="s">
        <v>74</v>
      </c>
      <c r="I783" t="s">
        <v>15386</v>
      </c>
      <c r="J783" t="s">
        <v>15387</v>
      </c>
      <c r="K783" t="s">
        <v>74</v>
      </c>
      <c r="L783" t="s">
        <v>74</v>
      </c>
      <c r="M783" t="s">
        <v>78</v>
      </c>
      <c r="N783" t="s">
        <v>1850</v>
      </c>
      <c r="O783" t="s">
        <v>74</v>
      </c>
      <c r="P783" t="s">
        <v>74</v>
      </c>
      <c r="Q783" t="s">
        <v>74</v>
      </c>
      <c r="R783" t="s">
        <v>74</v>
      </c>
      <c r="S783" t="s">
        <v>74</v>
      </c>
      <c r="T783" t="s">
        <v>74</v>
      </c>
      <c r="U783" t="s">
        <v>74</v>
      </c>
      <c r="V783" t="s">
        <v>74</v>
      </c>
      <c r="W783" t="s">
        <v>15388</v>
      </c>
      <c r="X783" t="s">
        <v>6089</v>
      </c>
      <c r="Y783" t="s">
        <v>15389</v>
      </c>
      <c r="Z783" t="s">
        <v>15390</v>
      </c>
      <c r="AA783" t="s">
        <v>74</v>
      </c>
      <c r="AB783" t="s">
        <v>74</v>
      </c>
      <c r="AC783" t="s">
        <v>15391</v>
      </c>
      <c r="AD783" t="s">
        <v>688</v>
      </c>
      <c r="AE783" t="s">
        <v>74</v>
      </c>
      <c r="AF783" t="s">
        <v>74</v>
      </c>
      <c r="AG783">
        <v>7</v>
      </c>
      <c r="AH783">
        <v>0</v>
      </c>
      <c r="AI783">
        <v>0</v>
      </c>
      <c r="AJ783">
        <v>0</v>
      </c>
      <c r="AK783">
        <v>3</v>
      </c>
      <c r="AL783" t="s">
        <v>994</v>
      </c>
      <c r="AM783" t="s">
        <v>995</v>
      </c>
      <c r="AN783" t="s">
        <v>996</v>
      </c>
      <c r="AO783" t="s">
        <v>15392</v>
      </c>
      <c r="AP783" t="s">
        <v>15393</v>
      </c>
      <c r="AQ783" t="s">
        <v>74</v>
      </c>
      <c r="AR783" t="s">
        <v>15387</v>
      </c>
      <c r="AS783" t="s">
        <v>15394</v>
      </c>
      <c r="AT783" t="s">
        <v>1930</v>
      </c>
      <c r="AU783">
        <v>2020</v>
      </c>
      <c r="AV783">
        <v>75</v>
      </c>
      <c r="AW783">
        <v>9</v>
      </c>
      <c r="AX783" t="s">
        <v>74</v>
      </c>
      <c r="AY783" t="s">
        <v>74</v>
      </c>
      <c r="AZ783" t="s">
        <v>74</v>
      </c>
      <c r="BA783" t="s">
        <v>74</v>
      </c>
      <c r="BB783">
        <v>280</v>
      </c>
      <c r="BC783">
        <v>280</v>
      </c>
      <c r="BD783" t="s">
        <v>74</v>
      </c>
      <c r="BE783" t="s">
        <v>15395</v>
      </c>
      <c r="BF783" t="str">
        <f>HYPERLINK("http://dx.doi.org/10.1002/wea.3716","http://dx.doi.org/10.1002/wea.3716")</f>
        <v>http://dx.doi.org/10.1002/wea.3716</v>
      </c>
      <c r="BG783" t="s">
        <v>74</v>
      </c>
      <c r="BH783" t="s">
        <v>14775</v>
      </c>
      <c r="BI783">
        <v>1</v>
      </c>
      <c r="BJ783" t="s">
        <v>159</v>
      </c>
      <c r="BK783" t="s">
        <v>102</v>
      </c>
      <c r="BL783" t="s">
        <v>159</v>
      </c>
      <c r="BM783" t="s">
        <v>15396</v>
      </c>
      <c r="BN783" t="s">
        <v>74</v>
      </c>
      <c r="BO783" t="s">
        <v>3716</v>
      </c>
      <c r="BP783" t="s">
        <v>74</v>
      </c>
      <c r="BQ783" t="s">
        <v>74</v>
      </c>
      <c r="BR783" t="s">
        <v>106</v>
      </c>
      <c r="BS783" t="s">
        <v>15397</v>
      </c>
      <c r="BT783" t="str">
        <f>HYPERLINK("https%3A%2F%2Fwww.webofscience.com%2Fwos%2Fwoscc%2Ffull-record%2FWOS:000527562800001","View Full Record in Web of Science")</f>
        <v>View Full Record in Web of Science</v>
      </c>
    </row>
    <row r="784" spans="1:72" x14ac:dyDescent="0.15">
      <c r="A784" t="s">
        <v>72</v>
      </c>
      <c r="B784" t="s">
        <v>15398</v>
      </c>
      <c r="C784" t="s">
        <v>74</v>
      </c>
      <c r="D784" t="s">
        <v>74</v>
      </c>
      <c r="E784" t="s">
        <v>74</v>
      </c>
      <c r="F784" t="s">
        <v>15399</v>
      </c>
      <c r="G784" t="s">
        <v>74</v>
      </c>
      <c r="H784" t="s">
        <v>74</v>
      </c>
      <c r="I784" t="s">
        <v>15400</v>
      </c>
      <c r="J784" t="s">
        <v>2496</v>
      </c>
      <c r="K784" t="s">
        <v>74</v>
      </c>
      <c r="L784" t="s">
        <v>74</v>
      </c>
      <c r="M784" t="s">
        <v>78</v>
      </c>
      <c r="N784" t="s">
        <v>79</v>
      </c>
      <c r="O784" t="s">
        <v>74</v>
      </c>
      <c r="P784" t="s">
        <v>74</v>
      </c>
      <c r="Q784" t="s">
        <v>74</v>
      </c>
      <c r="R784" t="s">
        <v>74</v>
      </c>
      <c r="S784" t="s">
        <v>74</v>
      </c>
      <c r="T784" t="s">
        <v>74</v>
      </c>
      <c r="U784" t="s">
        <v>15401</v>
      </c>
      <c r="V784" t="s">
        <v>15402</v>
      </c>
      <c r="W784" t="s">
        <v>15403</v>
      </c>
      <c r="X784" t="s">
        <v>15404</v>
      </c>
      <c r="Y784" t="s">
        <v>15405</v>
      </c>
      <c r="Z784" t="s">
        <v>15406</v>
      </c>
      <c r="AA784" t="s">
        <v>15407</v>
      </c>
      <c r="AB784" t="s">
        <v>15408</v>
      </c>
      <c r="AC784" t="s">
        <v>15409</v>
      </c>
      <c r="AD784" t="s">
        <v>15410</v>
      </c>
      <c r="AE784" t="s">
        <v>15411</v>
      </c>
      <c r="AF784" t="s">
        <v>74</v>
      </c>
      <c r="AG784">
        <v>76</v>
      </c>
      <c r="AH784">
        <v>29</v>
      </c>
      <c r="AI784">
        <v>31</v>
      </c>
      <c r="AJ784">
        <v>0</v>
      </c>
      <c r="AK784">
        <v>24</v>
      </c>
      <c r="AL784" t="s">
        <v>1049</v>
      </c>
      <c r="AM784" t="s">
        <v>1050</v>
      </c>
      <c r="AN784" t="s">
        <v>1051</v>
      </c>
      <c r="AO784" t="s">
        <v>2508</v>
      </c>
      <c r="AP784" t="s">
        <v>2509</v>
      </c>
      <c r="AQ784" t="s">
        <v>74</v>
      </c>
      <c r="AR784" t="s">
        <v>2510</v>
      </c>
      <c r="AS784" t="s">
        <v>2511</v>
      </c>
      <c r="AT784" t="s">
        <v>15412</v>
      </c>
      <c r="AU784">
        <v>2020</v>
      </c>
      <c r="AV784">
        <v>16</v>
      </c>
      <c r="AW784">
        <v>2</v>
      </c>
      <c r="AX784" t="s">
        <v>74</v>
      </c>
      <c r="AY784" t="s">
        <v>74</v>
      </c>
      <c r="AZ784" t="s">
        <v>74</v>
      </c>
      <c r="BA784" t="s">
        <v>74</v>
      </c>
      <c r="BB784">
        <v>743</v>
      </c>
      <c r="BC784">
        <v>756</v>
      </c>
      <c r="BD784" t="s">
        <v>74</v>
      </c>
      <c r="BE784" t="s">
        <v>15413</v>
      </c>
      <c r="BF784" t="str">
        <f>HYPERLINK("http://dx.doi.org/10.5194/cp-16-743-2020","http://dx.doi.org/10.5194/cp-16-743-2020")</f>
        <v>http://dx.doi.org/10.5194/cp-16-743-2020</v>
      </c>
      <c r="BG784" t="s">
        <v>74</v>
      </c>
      <c r="BH784" t="s">
        <v>74</v>
      </c>
      <c r="BI784">
        <v>14</v>
      </c>
      <c r="BJ784" t="s">
        <v>1057</v>
      </c>
      <c r="BK784" t="s">
        <v>102</v>
      </c>
      <c r="BL784" t="s">
        <v>1058</v>
      </c>
      <c r="BM784" t="s">
        <v>15414</v>
      </c>
      <c r="BN784" t="s">
        <v>74</v>
      </c>
      <c r="BO784" t="s">
        <v>3956</v>
      </c>
      <c r="BP784" t="s">
        <v>74</v>
      </c>
      <c r="BQ784" t="s">
        <v>74</v>
      </c>
      <c r="BR784" t="s">
        <v>106</v>
      </c>
      <c r="BS784" t="s">
        <v>15415</v>
      </c>
      <c r="BT784" t="str">
        <f>HYPERLINK("https%3A%2F%2Fwww.webofscience.com%2Fwos%2Fwoscc%2Ffull-record%2FWOS:000529335700001","View Full Record in Web of Science")</f>
        <v>View Full Record in Web of Science</v>
      </c>
    </row>
    <row r="785" spans="1:72" x14ac:dyDescent="0.15">
      <c r="A785" t="s">
        <v>72</v>
      </c>
      <c r="B785" t="s">
        <v>15416</v>
      </c>
      <c r="C785" t="s">
        <v>74</v>
      </c>
      <c r="D785" t="s">
        <v>74</v>
      </c>
      <c r="E785" t="s">
        <v>74</v>
      </c>
      <c r="F785" t="s">
        <v>15417</v>
      </c>
      <c r="G785" t="s">
        <v>74</v>
      </c>
      <c r="H785" t="s">
        <v>74</v>
      </c>
      <c r="I785" t="s">
        <v>15418</v>
      </c>
      <c r="J785" t="s">
        <v>11048</v>
      </c>
      <c r="K785" t="s">
        <v>74</v>
      </c>
      <c r="L785" t="s">
        <v>74</v>
      </c>
      <c r="M785" t="s">
        <v>78</v>
      </c>
      <c r="N785" t="s">
        <v>79</v>
      </c>
      <c r="O785" t="s">
        <v>74</v>
      </c>
      <c r="P785" t="s">
        <v>74</v>
      </c>
      <c r="Q785" t="s">
        <v>74</v>
      </c>
      <c r="R785" t="s">
        <v>74</v>
      </c>
      <c r="S785" t="s">
        <v>74</v>
      </c>
      <c r="T785" t="s">
        <v>74</v>
      </c>
      <c r="U785" t="s">
        <v>15419</v>
      </c>
      <c r="V785" t="s">
        <v>15420</v>
      </c>
      <c r="W785" t="s">
        <v>15421</v>
      </c>
      <c r="X785" t="s">
        <v>15422</v>
      </c>
      <c r="Y785" t="s">
        <v>15423</v>
      </c>
      <c r="Z785" t="s">
        <v>15424</v>
      </c>
      <c r="AA785" t="s">
        <v>15425</v>
      </c>
      <c r="AB785" t="s">
        <v>15426</v>
      </c>
      <c r="AC785" t="s">
        <v>15427</v>
      </c>
      <c r="AD785" t="s">
        <v>15428</v>
      </c>
      <c r="AE785" t="s">
        <v>15429</v>
      </c>
      <c r="AF785" t="s">
        <v>74</v>
      </c>
      <c r="AG785">
        <v>153</v>
      </c>
      <c r="AH785">
        <v>20</v>
      </c>
      <c r="AI785">
        <v>20</v>
      </c>
      <c r="AJ785">
        <v>0</v>
      </c>
      <c r="AK785">
        <v>7</v>
      </c>
      <c r="AL785" t="s">
        <v>1049</v>
      </c>
      <c r="AM785" t="s">
        <v>1050</v>
      </c>
      <c r="AN785" t="s">
        <v>1051</v>
      </c>
      <c r="AO785" t="s">
        <v>11058</v>
      </c>
      <c r="AP785" t="s">
        <v>11059</v>
      </c>
      <c r="AQ785" t="s">
        <v>74</v>
      </c>
      <c r="AR785" t="s">
        <v>11060</v>
      </c>
      <c r="AS785" t="s">
        <v>11061</v>
      </c>
      <c r="AT785" t="s">
        <v>15412</v>
      </c>
      <c r="AU785">
        <v>2020</v>
      </c>
      <c r="AV785">
        <v>9</v>
      </c>
      <c r="AW785">
        <v>1</v>
      </c>
      <c r="AX785" t="s">
        <v>74</v>
      </c>
      <c r="AY785" t="s">
        <v>74</v>
      </c>
      <c r="AZ785" t="s">
        <v>74</v>
      </c>
      <c r="BA785" t="s">
        <v>74</v>
      </c>
      <c r="BB785">
        <v>153</v>
      </c>
      <c r="BC785">
        <v>191</v>
      </c>
      <c r="BD785" t="s">
        <v>74</v>
      </c>
      <c r="BE785" t="s">
        <v>15430</v>
      </c>
      <c r="BF785" t="str">
        <f>HYPERLINK("http://dx.doi.org/10.5194/gi-9-153-2020","http://dx.doi.org/10.5194/gi-9-153-2020")</f>
        <v>http://dx.doi.org/10.5194/gi-9-153-2020</v>
      </c>
      <c r="BG785" t="s">
        <v>74</v>
      </c>
      <c r="BH785" t="s">
        <v>74</v>
      </c>
      <c r="BI785">
        <v>39</v>
      </c>
      <c r="BJ785" t="s">
        <v>1057</v>
      </c>
      <c r="BK785" t="s">
        <v>102</v>
      </c>
      <c r="BL785" t="s">
        <v>1058</v>
      </c>
      <c r="BM785" t="s">
        <v>15431</v>
      </c>
      <c r="BN785" t="s">
        <v>74</v>
      </c>
      <c r="BO785" t="s">
        <v>3338</v>
      </c>
      <c r="BP785" t="s">
        <v>74</v>
      </c>
      <c r="BQ785" t="s">
        <v>74</v>
      </c>
      <c r="BR785" t="s">
        <v>106</v>
      </c>
      <c r="BS785" t="s">
        <v>15432</v>
      </c>
      <c r="BT785" t="str">
        <f>HYPERLINK("https%3A%2F%2Fwww.webofscience.com%2Fwos%2Fwoscc%2Ffull-record%2FWOS:000529339000001","View Full Record in Web of Science")</f>
        <v>View Full Record in Web of Science</v>
      </c>
    </row>
    <row r="786" spans="1:72" x14ac:dyDescent="0.15">
      <c r="A786" t="s">
        <v>72</v>
      </c>
      <c r="B786" t="s">
        <v>15433</v>
      </c>
      <c r="C786" t="s">
        <v>74</v>
      </c>
      <c r="D786" t="s">
        <v>74</v>
      </c>
      <c r="E786" t="s">
        <v>74</v>
      </c>
      <c r="F786" t="s">
        <v>15434</v>
      </c>
      <c r="G786" t="s">
        <v>74</v>
      </c>
      <c r="H786" t="s">
        <v>74</v>
      </c>
      <c r="I786" t="s">
        <v>15435</v>
      </c>
      <c r="J786" t="s">
        <v>1065</v>
      </c>
      <c r="K786" t="s">
        <v>74</v>
      </c>
      <c r="L786" t="s">
        <v>74</v>
      </c>
      <c r="M786" t="s">
        <v>78</v>
      </c>
      <c r="N786" t="s">
        <v>79</v>
      </c>
      <c r="O786" t="s">
        <v>74</v>
      </c>
      <c r="P786" t="s">
        <v>74</v>
      </c>
      <c r="Q786" t="s">
        <v>74</v>
      </c>
      <c r="R786" t="s">
        <v>74</v>
      </c>
      <c r="S786" t="s">
        <v>74</v>
      </c>
      <c r="T786" t="s">
        <v>15436</v>
      </c>
      <c r="U786" t="s">
        <v>15437</v>
      </c>
      <c r="V786" t="s">
        <v>15438</v>
      </c>
      <c r="W786" t="s">
        <v>15439</v>
      </c>
      <c r="X786" t="s">
        <v>15440</v>
      </c>
      <c r="Y786" t="s">
        <v>15441</v>
      </c>
      <c r="Z786" t="s">
        <v>15442</v>
      </c>
      <c r="AA786" t="s">
        <v>15443</v>
      </c>
      <c r="AB786" t="s">
        <v>15444</v>
      </c>
      <c r="AC786" t="s">
        <v>15445</v>
      </c>
      <c r="AD786" t="s">
        <v>15446</v>
      </c>
      <c r="AE786" t="s">
        <v>15447</v>
      </c>
      <c r="AF786" t="s">
        <v>74</v>
      </c>
      <c r="AG786">
        <v>89</v>
      </c>
      <c r="AH786">
        <v>6</v>
      </c>
      <c r="AI786">
        <v>6</v>
      </c>
      <c r="AJ786">
        <v>0</v>
      </c>
      <c r="AK786">
        <v>5</v>
      </c>
      <c r="AL786" t="s">
        <v>1024</v>
      </c>
      <c r="AM786" t="s">
        <v>1025</v>
      </c>
      <c r="AN786" t="s">
        <v>1026</v>
      </c>
      <c r="AO786" t="s">
        <v>74</v>
      </c>
      <c r="AP786" t="s">
        <v>1078</v>
      </c>
      <c r="AQ786" t="s">
        <v>74</v>
      </c>
      <c r="AR786" t="s">
        <v>1079</v>
      </c>
      <c r="AS786" t="s">
        <v>1080</v>
      </c>
      <c r="AT786" t="s">
        <v>15412</v>
      </c>
      <c r="AU786">
        <v>2020</v>
      </c>
      <c r="AV786">
        <v>7</v>
      </c>
      <c r="AW786" t="s">
        <v>74</v>
      </c>
      <c r="AX786" t="s">
        <v>74</v>
      </c>
      <c r="AY786" t="s">
        <v>74</v>
      </c>
      <c r="AZ786" t="s">
        <v>74</v>
      </c>
      <c r="BA786" t="s">
        <v>74</v>
      </c>
      <c r="BB786" t="s">
        <v>74</v>
      </c>
      <c r="BC786" t="s">
        <v>74</v>
      </c>
      <c r="BD786">
        <v>207</v>
      </c>
      <c r="BE786" t="s">
        <v>15448</v>
      </c>
      <c r="BF786" t="str">
        <f>HYPERLINK("http://dx.doi.org/10.3389/fmars.2020.00207","http://dx.doi.org/10.3389/fmars.2020.00207")</f>
        <v>http://dx.doi.org/10.3389/fmars.2020.00207</v>
      </c>
      <c r="BG786" t="s">
        <v>74</v>
      </c>
      <c r="BH786" t="s">
        <v>74</v>
      </c>
      <c r="BI786">
        <v>16</v>
      </c>
      <c r="BJ786" t="s">
        <v>237</v>
      </c>
      <c r="BK786" t="s">
        <v>102</v>
      </c>
      <c r="BL786" t="s">
        <v>238</v>
      </c>
      <c r="BM786" t="s">
        <v>15449</v>
      </c>
      <c r="BN786" t="s">
        <v>74</v>
      </c>
      <c r="BO786" t="s">
        <v>1128</v>
      </c>
      <c r="BP786" t="s">
        <v>74</v>
      </c>
      <c r="BQ786" t="s">
        <v>74</v>
      </c>
      <c r="BR786" t="s">
        <v>106</v>
      </c>
      <c r="BS786" t="s">
        <v>15450</v>
      </c>
      <c r="BT786" t="str">
        <f>HYPERLINK("https%3A%2F%2Fwww.webofscience.com%2Fwos%2Fwoscc%2Ffull-record%2FWOS:000527218400001","View Full Record in Web of Science")</f>
        <v>View Full Record in Web of Science</v>
      </c>
    </row>
    <row r="787" spans="1:72" x14ac:dyDescent="0.15">
      <c r="A787" t="s">
        <v>72</v>
      </c>
      <c r="B787" t="s">
        <v>15451</v>
      </c>
      <c r="C787" t="s">
        <v>74</v>
      </c>
      <c r="D787" t="s">
        <v>74</v>
      </c>
      <c r="E787" t="s">
        <v>74</v>
      </c>
      <c r="F787" t="s">
        <v>15452</v>
      </c>
      <c r="G787" t="s">
        <v>74</v>
      </c>
      <c r="H787" t="s">
        <v>74</v>
      </c>
      <c r="I787" t="s">
        <v>15453</v>
      </c>
      <c r="J787" t="s">
        <v>1065</v>
      </c>
      <c r="K787" t="s">
        <v>74</v>
      </c>
      <c r="L787" t="s">
        <v>74</v>
      </c>
      <c r="M787" t="s">
        <v>78</v>
      </c>
      <c r="N787" t="s">
        <v>79</v>
      </c>
      <c r="O787" t="s">
        <v>74</v>
      </c>
      <c r="P787" t="s">
        <v>74</v>
      </c>
      <c r="Q787" t="s">
        <v>74</v>
      </c>
      <c r="R787" t="s">
        <v>74</v>
      </c>
      <c r="S787" t="s">
        <v>74</v>
      </c>
      <c r="T787" t="s">
        <v>15454</v>
      </c>
      <c r="U787" t="s">
        <v>15455</v>
      </c>
      <c r="V787" t="s">
        <v>15456</v>
      </c>
      <c r="W787" t="s">
        <v>15457</v>
      </c>
      <c r="X787" t="s">
        <v>15458</v>
      </c>
      <c r="Y787" t="s">
        <v>15459</v>
      </c>
      <c r="Z787" t="s">
        <v>15460</v>
      </c>
      <c r="AA787" t="s">
        <v>15461</v>
      </c>
      <c r="AB787" t="s">
        <v>15462</v>
      </c>
      <c r="AC787" t="s">
        <v>15463</v>
      </c>
      <c r="AD787" t="s">
        <v>15464</v>
      </c>
      <c r="AE787" t="s">
        <v>15465</v>
      </c>
      <c r="AF787" t="s">
        <v>74</v>
      </c>
      <c r="AG787">
        <v>96</v>
      </c>
      <c r="AH787">
        <v>5</v>
      </c>
      <c r="AI787">
        <v>5</v>
      </c>
      <c r="AJ787">
        <v>2</v>
      </c>
      <c r="AK787">
        <v>26</v>
      </c>
      <c r="AL787" t="s">
        <v>1024</v>
      </c>
      <c r="AM787" t="s">
        <v>1025</v>
      </c>
      <c r="AN787" t="s">
        <v>1026</v>
      </c>
      <c r="AO787" t="s">
        <v>74</v>
      </c>
      <c r="AP787" t="s">
        <v>1078</v>
      </c>
      <c r="AQ787" t="s">
        <v>74</v>
      </c>
      <c r="AR787" t="s">
        <v>1079</v>
      </c>
      <c r="AS787" t="s">
        <v>1080</v>
      </c>
      <c r="AT787" t="s">
        <v>15412</v>
      </c>
      <c r="AU787">
        <v>2020</v>
      </c>
      <c r="AV787">
        <v>7</v>
      </c>
      <c r="AW787" t="s">
        <v>74</v>
      </c>
      <c r="AX787" t="s">
        <v>74</v>
      </c>
      <c r="AY787" t="s">
        <v>74</v>
      </c>
      <c r="AZ787" t="s">
        <v>74</v>
      </c>
      <c r="BA787" t="s">
        <v>74</v>
      </c>
      <c r="BB787" t="s">
        <v>74</v>
      </c>
      <c r="BC787" t="s">
        <v>74</v>
      </c>
      <c r="BD787">
        <v>255</v>
      </c>
      <c r="BE787" t="s">
        <v>15466</v>
      </c>
      <c r="BF787" t="str">
        <f>HYPERLINK("http://dx.doi.org/10.3389/fmars.2020.00255","http://dx.doi.org/10.3389/fmars.2020.00255")</f>
        <v>http://dx.doi.org/10.3389/fmars.2020.00255</v>
      </c>
      <c r="BG787" t="s">
        <v>74</v>
      </c>
      <c r="BH787" t="s">
        <v>74</v>
      </c>
      <c r="BI787">
        <v>17</v>
      </c>
      <c r="BJ787" t="s">
        <v>237</v>
      </c>
      <c r="BK787" t="s">
        <v>102</v>
      </c>
      <c r="BL787" t="s">
        <v>238</v>
      </c>
      <c r="BM787" t="s">
        <v>15467</v>
      </c>
      <c r="BN787" t="s">
        <v>74</v>
      </c>
      <c r="BO787" t="s">
        <v>105</v>
      </c>
      <c r="BP787" t="s">
        <v>74</v>
      </c>
      <c r="BQ787" t="s">
        <v>74</v>
      </c>
      <c r="BR787" t="s">
        <v>106</v>
      </c>
      <c r="BS787" t="s">
        <v>15468</v>
      </c>
      <c r="BT787" t="str">
        <f>HYPERLINK("https%3A%2F%2Fwww.webofscience.com%2Fwos%2Fwoscc%2Ffull-record%2FWOS:000527222600001","View Full Record in Web of Science")</f>
        <v>View Full Record in Web of Science</v>
      </c>
    </row>
    <row r="788" spans="1:72" x14ac:dyDescent="0.15">
      <c r="A788" t="s">
        <v>72</v>
      </c>
      <c r="B788" t="s">
        <v>15469</v>
      </c>
      <c r="C788" t="s">
        <v>74</v>
      </c>
      <c r="D788" t="s">
        <v>74</v>
      </c>
      <c r="E788" t="s">
        <v>74</v>
      </c>
      <c r="F788" t="s">
        <v>15470</v>
      </c>
      <c r="G788" t="s">
        <v>74</v>
      </c>
      <c r="H788" t="s">
        <v>74</v>
      </c>
      <c r="I788" t="s">
        <v>15471</v>
      </c>
      <c r="J788" t="s">
        <v>2111</v>
      </c>
      <c r="K788" t="s">
        <v>74</v>
      </c>
      <c r="L788" t="s">
        <v>74</v>
      </c>
      <c r="M788" t="s">
        <v>78</v>
      </c>
      <c r="N788" t="s">
        <v>79</v>
      </c>
      <c r="O788" t="s">
        <v>74</v>
      </c>
      <c r="P788" t="s">
        <v>74</v>
      </c>
      <c r="Q788" t="s">
        <v>74</v>
      </c>
      <c r="R788" t="s">
        <v>74</v>
      </c>
      <c r="S788" t="s">
        <v>74</v>
      </c>
      <c r="T788" t="s">
        <v>74</v>
      </c>
      <c r="U788" t="s">
        <v>15472</v>
      </c>
      <c r="V788" t="s">
        <v>15473</v>
      </c>
      <c r="W788" t="s">
        <v>15474</v>
      </c>
      <c r="X788" t="s">
        <v>15475</v>
      </c>
      <c r="Y788" t="s">
        <v>15476</v>
      </c>
      <c r="Z788" t="s">
        <v>15477</v>
      </c>
      <c r="AA788" t="s">
        <v>15478</v>
      </c>
      <c r="AB788" t="s">
        <v>15479</v>
      </c>
      <c r="AC788" t="s">
        <v>15480</v>
      </c>
      <c r="AD788" t="s">
        <v>15480</v>
      </c>
      <c r="AE788" t="s">
        <v>15481</v>
      </c>
      <c r="AF788" t="s">
        <v>74</v>
      </c>
      <c r="AG788">
        <v>109</v>
      </c>
      <c r="AH788">
        <v>34</v>
      </c>
      <c r="AI788">
        <v>36</v>
      </c>
      <c r="AJ788">
        <v>1</v>
      </c>
      <c r="AK788">
        <v>15</v>
      </c>
      <c r="AL788" t="s">
        <v>2121</v>
      </c>
      <c r="AM788" t="s">
        <v>2122</v>
      </c>
      <c r="AN788" t="s">
        <v>2123</v>
      </c>
      <c r="AO788" t="s">
        <v>2124</v>
      </c>
      <c r="AP788" t="s">
        <v>74</v>
      </c>
      <c r="AQ788" t="s">
        <v>74</v>
      </c>
      <c r="AR788" t="s">
        <v>2111</v>
      </c>
      <c r="AS788" t="s">
        <v>2125</v>
      </c>
      <c r="AT788" t="s">
        <v>15412</v>
      </c>
      <c r="AU788">
        <v>2020</v>
      </c>
      <c r="AV788">
        <v>15</v>
      </c>
      <c r="AW788">
        <v>4</v>
      </c>
      <c r="AX788" t="s">
        <v>74</v>
      </c>
      <c r="AY788" t="s">
        <v>74</v>
      </c>
      <c r="AZ788" t="s">
        <v>74</v>
      </c>
      <c r="BA788" t="s">
        <v>74</v>
      </c>
      <c r="BB788" t="s">
        <v>74</v>
      </c>
      <c r="BC788" t="s">
        <v>74</v>
      </c>
      <c r="BD788" t="s">
        <v>15482</v>
      </c>
      <c r="BE788" t="s">
        <v>15483</v>
      </c>
      <c r="BF788" t="str">
        <f>HYPERLINK("http://dx.doi.org/10.1371/journal.pone.0231361","http://dx.doi.org/10.1371/journal.pone.0231361")</f>
        <v>http://dx.doi.org/10.1371/journal.pone.0231361</v>
      </c>
      <c r="BG788" t="s">
        <v>74</v>
      </c>
      <c r="BH788" t="s">
        <v>74</v>
      </c>
      <c r="BI788">
        <v>21</v>
      </c>
      <c r="BJ788" t="s">
        <v>1125</v>
      </c>
      <c r="BK788" t="s">
        <v>102</v>
      </c>
      <c r="BL788" t="s">
        <v>1126</v>
      </c>
      <c r="BM788" t="s">
        <v>15484</v>
      </c>
      <c r="BN788">
        <v>32320423</v>
      </c>
      <c r="BO788" t="s">
        <v>1778</v>
      </c>
      <c r="BP788" t="s">
        <v>74</v>
      </c>
      <c r="BQ788" t="s">
        <v>74</v>
      </c>
      <c r="BR788" t="s">
        <v>106</v>
      </c>
      <c r="BS788" t="s">
        <v>15485</v>
      </c>
      <c r="BT788" t="str">
        <f>HYPERLINK("https%3A%2F%2Fwww.webofscience.com%2Fwos%2Fwoscc%2Ffull-record%2FWOS:000536028800018","View Full Record in Web of Science")</f>
        <v>View Full Record in Web of Science</v>
      </c>
    </row>
    <row r="789" spans="1:72" x14ac:dyDescent="0.15">
      <c r="A789" t="s">
        <v>72</v>
      </c>
      <c r="B789" t="s">
        <v>15486</v>
      </c>
      <c r="C789" t="s">
        <v>74</v>
      </c>
      <c r="D789" t="s">
        <v>74</v>
      </c>
      <c r="E789" t="s">
        <v>74</v>
      </c>
      <c r="F789" t="s">
        <v>15487</v>
      </c>
      <c r="G789" t="s">
        <v>74</v>
      </c>
      <c r="H789" t="s">
        <v>74</v>
      </c>
      <c r="I789" t="s">
        <v>15488</v>
      </c>
      <c r="J789" t="s">
        <v>7835</v>
      </c>
      <c r="K789" t="s">
        <v>74</v>
      </c>
      <c r="L789" t="s">
        <v>74</v>
      </c>
      <c r="M789" t="s">
        <v>78</v>
      </c>
      <c r="N789" t="s">
        <v>1850</v>
      </c>
      <c r="O789" t="s">
        <v>74</v>
      </c>
      <c r="P789" t="s">
        <v>74</v>
      </c>
      <c r="Q789" t="s">
        <v>74</v>
      </c>
      <c r="R789" t="s">
        <v>74</v>
      </c>
      <c r="S789" t="s">
        <v>74</v>
      </c>
      <c r="T789" t="s">
        <v>15489</v>
      </c>
      <c r="U789" t="s">
        <v>74</v>
      </c>
      <c r="V789" t="s">
        <v>74</v>
      </c>
      <c r="W789" t="s">
        <v>15490</v>
      </c>
      <c r="X789" t="s">
        <v>15491</v>
      </c>
      <c r="Y789" t="s">
        <v>15492</v>
      </c>
      <c r="Z789" t="s">
        <v>15493</v>
      </c>
      <c r="AA789" t="s">
        <v>15494</v>
      </c>
      <c r="AB789" t="s">
        <v>15495</v>
      </c>
      <c r="AC789" t="s">
        <v>15496</v>
      </c>
      <c r="AD789" t="s">
        <v>688</v>
      </c>
      <c r="AE789" t="s">
        <v>74</v>
      </c>
      <c r="AF789" t="s">
        <v>74</v>
      </c>
      <c r="AG789">
        <v>3</v>
      </c>
      <c r="AH789">
        <v>4</v>
      </c>
      <c r="AI789">
        <v>4</v>
      </c>
      <c r="AJ789">
        <v>0</v>
      </c>
      <c r="AK789">
        <v>2</v>
      </c>
      <c r="AL789" t="s">
        <v>1024</v>
      </c>
      <c r="AM789" t="s">
        <v>1025</v>
      </c>
      <c r="AN789" t="s">
        <v>1026</v>
      </c>
      <c r="AO789" t="s">
        <v>7846</v>
      </c>
      <c r="AP789" t="s">
        <v>74</v>
      </c>
      <c r="AQ789" t="s">
        <v>74</v>
      </c>
      <c r="AR789" t="s">
        <v>7847</v>
      </c>
      <c r="AS789" t="s">
        <v>7848</v>
      </c>
      <c r="AT789" t="s">
        <v>15497</v>
      </c>
      <c r="AU789">
        <v>2020</v>
      </c>
      <c r="AV789">
        <v>8</v>
      </c>
      <c r="AW789" t="s">
        <v>74</v>
      </c>
      <c r="AX789" t="s">
        <v>74</v>
      </c>
      <c r="AY789" t="s">
        <v>74</v>
      </c>
      <c r="AZ789" t="s">
        <v>74</v>
      </c>
      <c r="BA789" t="s">
        <v>74</v>
      </c>
      <c r="BB789" t="s">
        <v>74</v>
      </c>
      <c r="BC789" t="s">
        <v>74</v>
      </c>
      <c r="BD789">
        <v>91</v>
      </c>
      <c r="BE789" t="s">
        <v>15498</v>
      </c>
      <c r="BF789" t="str">
        <f>HYPERLINK("http://dx.doi.org/10.3389/fevo.2020.00091","http://dx.doi.org/10.3389/fevo.2020.00091")</f>
        <v>http://dx.doi.org/10.3389/fevo.2020.00091</v>
      </c>
      <c r="BG789" t="s">
        <v>74</v>
      </c>
      <c r="BH789" t="s">
        <v>74</v>
      </c>
      <c r="BI789">
        <v>4</v>
      </c>
      <c r="BJ789" t="s">
        <v>1446</v>
      </c>
      <c r="BK789" t="s">
        <v>102</v>
      </c>
      <c r="BL789" t="s">
        <v>103</v>
      </c>
      <c r="BM789" t="s">
        <v>15499</v>
      </c>
      <c r="BN789" t="s">
        <v>74</v>
      </c>
      <c r="BO789" t="s">
        <v>2956</v>
      </c>
      <c r="BP789" t="s">
        <v>74</v>
      </c>
      <c r="BQ789" t="s">
        <v>74</v>
      </c>
      <c r="BR789" t="s">
        <v>106</v>
      </c>
      <c r="BS789" t="s">
        <v>15500</v>
      </c>
      <c r="BT789" t="str">
        <f>HYPERLINK("https%3A%2F%2Fwww.webofscience.com%2Fwos%2Fwoscc%2Ffull-record%2FWOS:000531599700001","View Full Record in Web of Science")</f>
        <v>View Full Record in Web of Science</v>
      </c>
    </row>
    <row r="790" spans="1:72" x14ac:dyDescent="0.15">
      <c r="A790" t="s">
        <v>72</v>
      </c>
      <c r="B790" t="s">
        <v>15501</v>
      </c>
      <c r="C790" t="s">
        <v>74</v>
      </c>
      <c r="D790" t="s">
        <v>74</v>
      </c>
      <c r="E790" t="s">
        <v>74</v>
      </c>
      <c r="F790" t="s">
        <v>15502</v>
      </c>
      <c r="G790" t="s">
        <v>74</v>
      </c>
      <c r="H790" t="s">
        <v>74</v>
      </c>
      <c r="I790" t="s">
        <v>15503</v>
      </c>
      <c r="J790" t="s">
        <v>1783</v>
      </c>
      <c r="K790" t="s">
        <v>74</v>
      </c>
      <c r="L790" t="s">
        <v>74</v>
      </c>
      <c r="M790" t="s">
        <v>78</v>
      </c>
      <c r="N790" t="s">
        <v>79</v>
      </c>
      <c r="O790" t="s">
        <v>74</v>
      </c>
      <c r="P790" t="s">
        <v>74</v>
      </c>
      <c r="Q790" t="s">
        <v>74</v>
      </c>
      <c r="R790" t="s">
        <v>74</v>
      </c>
      <c r="S790" t="s">
        <v>74</v>
      </c>
      <c r="T790" t="s">
        <v>15504</v>
      </c>
      <c r="U790" t="s">
        <v>15505</v>
      </c>
      <c r="V790" t="s">
        <v>15506</v>
      </c>
      <c r="W790" t="s">
        <v>15507</v>
      </c>
      <c r="X790" t="s">
        <v>15508</v>
      </c>
      <c r="Y790" t="s">
        <v>15509</v>
      </c>
      <c r="Z790" t="s">
        <v>15510</v>
      </c>
      <c r="AA790" t="s">
        <v>74</v>
      </c>
      <c r="AB790" t="s">
        <v>15511</v>
      </c>
      <c r="AC790" t="s">
        <v>74</v>
      </c>
      <c r="AD790" t="s">
        <v>74</v>
      </c>
      <c r="AE790" t="s">
        <v>74</v>
      </c>
      <c r="AF790" t="s">
        <v>74</v>
      </c>
      <c r="AG790">
        <v>76</v>
      </c>
      <c r="AH790">
        <v>13</v>
      </c>
      <c r="AI790">
        <v>13</v>
      </c>
      <c r="AJ790">
        <v>0</v>
      </c>
      <c r="AK790">
        <v>7</v>
      </c>
      <c r="AL790" t="s">
        <v>1440</v>
      </c>
      <c r="AM790" t="s">
        <v>399</v>
      </c>
      <c r="AN790" t="s">
        <v>1441</v>
      </c>
      <c r="AO790" t="s">
        <v>1796</v>
      </c>
      <c r="AP790" t="s">
        <v>1797</v>
      </c>
      <c r="AQ790" t="s">
        <v>74</v>
      </c>
      <c r="AR790" t="s">
        <v>1798</v>
      </c>
      <c r="AS790" t="s">
        <v>1799</v>
      </c>
      <c r="AT790" t="s">
        <v>7663</v>
      </c>
      <c r="AU790">
        <v>2020</v>
      </c>
      <c r="AV790">
        <v>43</v>
      </c>
      <c r="AW790">
        <v>6</v>
      </c>
      <c r="AX790" t="s">
        <v>74</v>
      </c>
      <c r="AY790" t="s">
        <v>74</v>
      </c>
      <c r="AZ790" t="s">
        <v>74</v>
      </c>
      <c r="BA790" t="s">
        <v>74</v>
      </c>
      <c r="BB790">
        <v>695</v>
      </c>
      <c r="BC790">
        <v>706</v>
      </c>
      <c r="BD790" t="s">
        <v>74</v>
      </c>
      <c r="BE790" t="s">
        <v>15512</v>
      </c>
      <c r="BF790" t="str">
        <f>HYPERLINK("http://dx.doi.org/10.1007/s00300-020-02672-9","http://dx.doi.org/10.1007/s00300-020-02672-9")</f>
        <v>http://dx.doi.org/10.1007/s00300-020-02672-9</v>
      </c>
      <c r="BG790" t="s">
        <v>74</v>
      </c>
      <c r="BH790" t="s">
        <v>14775</v>
      </c>
      <c r="BI790">
        <v>12</v>
      </c>
      <c r="BJ790" t="s">
        <v>1004</v>
      </c>
      <c r="BK790" t="s">
        <v>102</v>
      </c>
      <c r="BL790" t="s">
        <v>1005</v>
      </c>
      <c r="BM790" t="s">
        <v>12163</v>
      </c>
      <c r="BN790" t="s">
        <v>74</v>
      </c>
      <c r="BO790" t="s">
        <v>74</v>
      </c>
      <c r="BP790" t="s">
        <v>74</v>
      </c>
      <c r="BQ790" t="s">
        <v>74</v>
      </c>
      <c r="BR790" t="s">
        <v>106</v>
      </c>
      <c r="BS790" t="s">
        <v>15513</v>
      </c>
      <c r="BT790" t="str">
        <f>HYPERLINK("https%3A%2F%2Fwww.webofscience.com%2Fwos%2Fwoscc%2Ffull-record%2FWOS:000528122900002","View Full Record in Web of Science")</f>
        <v>View Full Record in Web of Science</v>
      </c>
    </row>
    <row r="791" spans="1:72" x14ac:dyDescent="0.15">
      <c r="A791" t="s">
        <v>72</v>
      </c>
      <c r="B791" t="s">
        <v>15514</v>
      </c>
      <c r="C791" t="s">
        <v>74</v>
      </c>
      <c r="D791" t="s">
        <v>74</v>
      </c>
      <c r="E791" t="s">
        <v>74</v>
      </c>
      <c r="F791" t="s">
        <v>15515</v>
      </c>
      <c r="G791" t="s">
        <v>74</v>
      </c>
      <c r="H791" t="s">
        <v>74</v>
      </c>
      <c r="I791" t="s">
        <v>15516</v>
      </c>
      <c r="J791" t="s">
        <v>2456</v>
      </c>
      <c r="K791" t="s">
        <v>74</v>
      </c>
      <c r="L791" t="s">
        <v>74</v>
      </c>
      <c r="M791" t="s">
        <v>78</v>
      </c>
      <c r="N791" t="s">
        <v>79</v>
      </c>
      <c r="O791" t="s">
        <v>74</v>
      </c>
      <c r="P791" t="s">
        <v>74</v>
      </c>
      <c r="Q791" t="s">
        <v>74</v>
      </c>
      <c r="R791" t="s">
        <v>74</v>
      </c>
      <c r="S791" t="s">
        <v>74</v>
      </c>
      <c r="T791" t="s">
        <v>15517</v>
      </c>
      <c r="U791" t="s">
        <v>15518</v>
      </c>
      <c r="V791" t="s">
        <v>15519</v>
      </c>
      <c r="W791" t="s">
        <v>15520</v>
      </c>
      <c r="X791" t="s">
        <v>15521</v>
      </c>
      <c r="Y791" t="s">
        <v>15522</v>
      </c>
      <c r="Z791" t="s">
        <v>15523</v>
      </c>
      <c r="AA791" t="s">
        <v>15524</v>
      </c>
      <c r="AB791" t="s">
        <v>15525</v>
      </c>
      <c r="AC791" t="s">
        <v>15526</v>
      </c>
      <c r="AD791" t="s">
        <v>15527</v>
      </c>
      <c r="AE791" t="s">
        <v>15528</v>
      </c>
      <c r="AF791" t="s">
        <v>74</v>
      </c>
      <c r="AG791">
        <v>43</v>
      </c>
      <c r="AH791">
        <v>33</v>
      </c>
      <c r="AI791">
        <v>34</v>
      </c>
      <c r="AJ791">
        <v>1</v>
      </c>
      <c r="AK791">
        <v>7</v>
      </c>
      <c r="AL791" t="s">
        <v>1024</v>
      </c>
      <c r="AM791" t="s">
        <v>1025</v>
      </c>
      <c r="AN791" t="s">
        <v>1026</v>
      </c>
      <c r="AO791" t="s">
        <v>74</v>
      </c>
      <c r="AP791" t="s">
        <v>2469</v>
      </c>
      <c r="AQ791" t="s">
        <v>74</v>
      </c>
      <c r="AR791" t="s">
        <v>2470</v>
      </c>
      <c r="AS791" t="s">
        <v>2471</v>
      </c>
      <c r="AT791" t="s">
        <v>15497</v>
      </c>
      <c r="AU791">
        <v>2020</v>
      </c>
      <c r="AV791">
        <v>8</v>
      </c>
      <c r="AW791" t="s">
        <v>74</v>
      </c>
      <c r="AX791" t="s">
        <v>74</v>
      </c>
      <c r="AY791" t="s">
        <v>74</v>
      </c>
      <c r="AZ791" t="s">
        <v>74</v>
      </c>
      <c r="BA791" t="s">
        <v>74</v>
      </c>
      <c r="BB791" t="s">
        <v>74</v>
      </c>
      <c r="BC791" t="s">
        <v>74</v>
      </c>
      <c r="BD791">
        <v>105</v>
      </c>
      <c r="BE791" t="s">
        <v>15529</v>
      </c>
      <c r="BF791" t="str">
        <f>HYPERLINK("http://dx.doi.org/10.3389/feart.2020.00105","http://dx.doi.org/10.3389/feart.2020.00105")</f>
        <v>http://dx.doi.org/10.3389/feart.2020.00105</v>
      </c>
      <c r="BG791" t="s">
        <v>74</v>
      </c>
      <c r="BH791" t="s">
        <v>74</v>
      </c>
      <c r="BI791">
        <v>13</v>
      </c>
      <c r="BJ791" t="s">
        <v>471</v>
      </c>
      <c r="BK791" t="s">
        <v>102</v>
      </c>
      <c r="BL791" t="s">
        <v>472</v>
      </c>
      <c r="BM791" t="s">
        <v>15530</v>
      </c>
      <c r="BN791" t="s">
        <v>74</v>
      </c>
      <c r="BO791" t="s">
        <v>1778</v>
      </c>
      <c r="BP791" t="s">
        <v>74</v>
      </c>
      <c r="BQ791" t="s">
        <v>74</v>
      </c>
      <c r="BR791" t="s">
        <v>106</v>
      </c>
      <c r="BS791" t="s">
        <v>15531</v>
      </c>
      <c r="BT791" t="str">
        <f>HYPERLINK("https%3A%2F%2Fwww.webofscience.com%2Fwos%2Fwoscc%2Ffull-record%2FWOS:000532319800001","View Full Record in Web of Science")</f>
        <v>View Full Record in Web of Science</v>
      </c>
    </row>
    <row r="792" spans="1:72" x14ac:dyDescent="0.15">
      <c r="A792" t="s">
        <v>72</v>
      </c>
      <c r="B792" t="s">
        <v>15532</v>
      </c>
      <c r="C792" t="s">
        <v>74</v>
      </c>
      <c r="D792" t="s">
        <v>74</v>
      </c>
      <c r="E792" t="s">
        <v>74</v>
      </c>
      <c r="F792" t="s">
        <v>15533</v>
      </c>
      <c r="G792" t="s">
        <v>74</v>
      </c>
      <c r="H792" t="s">
        <v>74</v>
      </c>
      <c r="I792" t="s">
        <v>15534</v>
      </c>
      <c r="J792" t="s">
        <v>1065</v>
      </c>
      <c r="K792" t="s">
        <v>74</v>
      </c>
      <c r="L792" t="s">
        <v>74</v>
      </c>
      <c r="M792" t="s">
        <v>78</v>
      </c>
      <c r="N792" t="s">
        <v>245</v>
      </c>
      <c r="O792" t="s">
        <v>74</v>
      </c>
      <c r="P792" t="s">
        <v>74</v>
      </c>
      <c r="Q792" t="s">
        <v>74</v>
      </c>
      <c r="R792" t="s">
        <v>74</v>
      </c>
      <c r="S792" t="s">
        <v>74</v>
      </c>
      <c r="T792" t="s">
        <v>15535</v>
      </c>
      <c r="U792" t="s">
        <v>15536</v>
      </c>
      <c r="V792" t="s">
        <v>15537</v>
      </c>
      <c r="W792" t="s">
        <v>15538</v>
      </c>
      <c r="X792" t="s">
        <v>15539</v>
      </c>
      <c r="Y792" t="s">
        <v>15540</v>
      </c>
      <c r="Z792" t="s">
        <v>15541</v>
      </c>
      <c r="AA792" t="s">
        <v>15542</v>
      </c>
      <c r="AB792" t="s">
        <v>15543</v>
      </c>
      <c r="AC792" t="s">
        <v>15544</v>
      </c>
      <c r="AD792" t="s">
        <v>15545</v>
      </c>
      <c r="AE792" t="s">
        <v>15546</v>
      </c>
      <c r="AF792" t="s">
        <v>74</v>
      </c>
      <c r="AG792">
        <v>333</v>
      </c>
      <c r="AH792">
        <v>43</v>
      </c>
      <c r="AI792">
        <v>47</v>
      </c>
      <c r="AJ792">
        <v>5</v>
      </c>
      <c r="AK792">
        <v>69</v>
      </c>
      <c r="AL792" t="s">
        <v>1024</v>
      </c>
      <c r="AM792" t="s">
        <v>1025</v>
      </c>
      <c r="AN792" t="s">
        <v>1026</v>
      </c>
      <c r="AO792" t="s">
        <v>74</v>
      </c>
      <c r="AP792" t="s">
        <v>1078</v>
      </c>
      <c r="AQ792" t="s">
        <v>74</v>
      </c>
      <c r="AR792" t="s">
        <v>1079</v>
      </c>
      <c r="AS792" t="s">
        <v>1080</v>
      </c>
      <c r="AT792" t="s">
        <v>15497</v>
      </c>
      <c r="AU792">
        <v>2020</v>
      </c>
      <c r="AV792">
        <v>7</v>
      </c>
      <c r="AW792" t="s">
        <v>74</v>
      </c>
      <c r="AX792" t="s">
        <v>74</v>
      </c>
      <c r="AY792" t="s">
        <v>74</v>
      </c>
      <c r="AZ792" t="s">
        <v>74</v>
      </c>
      <c r="BA792" t="s">
        <v>74</v>
      </c>
      <c r="BB792" t="s">
        <v>74</v>
      </c>
      <c r="BC792" t="s">
        <v>74</v>
      </c>
      <c r="BD792">
        <v>239</v>
      </c>
      <c r="BE792" t="s">
        <v>15547</v>
      </c>
      <c r="BF792" t="str">
        <f>HYPERLINK("http://dx.doi.org/10.3389/fmars.2020.00239","http://dx.doi.org/10.3389/fmars.2020.00239")</f>
        <v>http://dx.doi.org/10.3389/fmars.2020.00239</v>
      </c>
      <c r="BG792" t="s">
        <v>74</v>
      </c>
      <c r="BH792" t="s">
        <v>74</v>
      </c>
      <c r="BI792">
        <v>25</v>
      </c>
      <c r="BJ792" t="s">
        <v>237</v>
      </c>
      <c r="BK792" t="s">
        <v>102</v>
      </c>
      <c r="BL792" t="s">
        <v>238</v>
      </c>
      <c r="BM792" t="s">
        <v>15548</v>
      </c>
      <c r="BN792" t="s">
        <v>74</v>
      </c>
      <c r="BO792" t="s">
        <v>161</v>
      </c>
      <c r="BP792" t="s">
        <v>74</v>
      </c>
      <c r="BQ792" t="s">
        <v>74</v>
      </c>
      <c r="BR792" t="s">
        <v>106</v>
      </c>
      <c r="BS792" t="s">
        <v>15549</v>
      </c>
      <c r="BT792" t="str">
        <f>HYPERLINK("https%3A%2F%2Fwww.webofscience.com%2Fwos%2Fwoscc%2Ffull-record%2FWOS:000526864100001","View Full Record in Web of Science")</f>
        <v>View Full Record in Web of Science</v>
      </c>
    </row>
    <row r="793" spans="1:72" x14ac:dyDescent="0.15">
      <c r="A793" t="s">
        <v>72</v>
      </c>
      <c r="B793" t="s">
        <v>15550</v>
      </c>
      <c r="C793" t="s">
        <v>74</v>
      </c>
      <c r="D793" t="s">
        <v>74</v>
      </c>
      <c r="E793" t="s">
        <v>74</v>
      </c>
      <c r="F793" t="s">
        <v>15551</v>
      </c>
      <c r="G793" t="s">
        <v>74</v>
      </c>
      <c r="H793" t="s">
        <v>74</v>
      </c>
      <c r="I793" t="s">
        <v>15552</v>
      </c>
      <c r="J793" t="s">
        <v>1133</v>
      </c>
      <c r="K793" t="s">
        <v>74</v>
      </c>
      <c r="L793" t="s">
        <v>74</v>
      </c>
      <c r="M793" t="s">
        <v>78</v>
      </c>
      <c r="N793" t="s">
        <v>79</v>
      </c>
      <c r="O793" t="s">
        <v>74</v>
      </c>
      <c r="P793" t="s">
        <v>74</v>
      </c>
      <c r="Q793" t="s">
        <v>74</v>
      </c>
      <c r="R793" t="s">
        <v>74</v>
      </c>
      <c r="S793" t="s">
        <v>74</v>
      </c>
      <c r="T793" t="s">
        <v>74</v>
      </c>
      <c r="U793" t="s">
        <v>74</v>
      </c>
      <c r="V793" t="s">
        <v>15553</v>
      </c>
      <c r="W793" t="s">
        <v>15554</v>
      </c>
      <c r="X793" t="s">
        <v>15555</v>
      </c>
      <c r="Y793" t="s">
        <v>15556</v>
      </c>
      <c r="Z793" t="s">
        <v>15557</v>
      </c>
      <c r="AA793" t="s">
        <v>15558</v>
      </c>
      <c r="AB793" t="s">
        <v>15559</v>
      </c>
      <c r="AC793" t="s">
        <v>15560</v>
      </c>
      <c r="AD793" t="s">
        <v>15561</v>
      </c>
      <c r="AE793" t="s">
        <v>15562</v>
      </c>
      <c r="AF793" t="s">
        <v>74</v>
      </c>
      <c r="AG793">
        <v>65</v>
      </c>
      <c r="AH793">
        <v>11</v>
      </c>
      <c r="AI793">
        <v>12</v>
      </c>
      <c r="AJ793">
        <v>0</v>
      </c>
      <c r="AK793">
        <v>3</v>
      </c>
      <c r="AL793" t="s">
        <v>1144</v>
      </c>
      <c r="AM793" t="s">
        <v>1145</v>
      </c>
      <c r="AN793" t="s">
        <v>1146</v>
      </c>
      <c r="AO793" t="s">
        <v>1147</v>
      </c>
      <c r="AP793" t="s">
        <v>1148</v>
      </c>
      <c r="AQ793" t="s">
        <v>74</v>
      </c>
      <c r="AR793" t="s">
        <v>1149</v>
      </c>
      <c r="AS793" t="s">
        <v>1150</v>
      </c>
      <c r="AT793" t="s">
        <v>15497</v>
      </c>
      <c r="AU793">
        <v>2020</v>
      </c>
      <c r="AV793">
        <v>101</v>
      </c>
      <c r="AW793">
        <v>7</v>
      </c>
      <c r="AX793" t="s">
        <v>74</v>
      </c>
      <c r="AY793" t="s">
        <v>74</v>
      </c>
      <c r="AZ793" t="s">
        <v>74</v>
      </c>
      <c r="BA793" t="s">
        <v>74</v>
      </c>
      <c r="BB793" t="s">
        <v>74</v>
      </c>
      <c r="BC793" t="s">
        <v>74</v>
      </c>
      <c r="BD793">
        <v>75039</v>
      </c>
      <c r="BE793" t="s">
        <v>15563</v>
      </c>
      <c r="BF793" t="str">
        <f>HYPERLINK("http://dx.doi.org/10.1103/PhysRevD.101.075039","http://dx.doi.org/10.1103/PhysRevD.101.075039")</f>
        <v>http://dx.doi.org/10.1103/PhysRevD.101.075039</v>
      </c>
      <c r="BG793" t="s">
        <v>74</v>
      </c>
      <c r="BH793" t="s">
        <v>74</v>
      </c>
      <c r="BI793">
        <v>13</v>
      </c>
      <c r="BJ793" t="s">
        <v>1152</v>
      </c>
      <c r="BK793" t="s">
        <v>102</v>
      </c>
      <c r="BL793" t="s">
        <v>1153</v>
      </c>
      <c r="BM793" t="s">
        <v>15564</v>
      </c>
      <c r="BN793" t="s">
        <v>74</v>
      </c>
      <c r="BO793" t="s">
        <v>4924</v>
      </c>
      <c r="BP793" t="s">
        <v>74</v>
      </c>
      <c r="BQ793" t="s">
        <v>74</v>
      </c>
      <c r="BR793" t="s">
        <v>106</v>
      </c>
      <c r="BS793" t="s">
        <v>15565</v>
      </c>
      <c r="BT793" t="str">
        <f>HYPERLINK("https%3A%2F%2Fwww.webofscience.com%2Fwos%2Fwoscc%2Ffull-record%2FWOS:000527127700005","View Full Record in Web of Science")</f>
        <v>View Full Record in Web of Science</v>
      </c>
    </row>
    <row r="794" spans="1:72" x14ac:dyDescent="0.15">
      <c r="A794" t="s">
        <v>72</v>
      </c>
      <c r="B794" t="s">
        <v>15566</v>
      </c>
      <c r="C794" t="s">
        <v>74</v>
      </c>
      <c r="D794" t="s">
        <v>74</v>
      </c>
      <c r="E794" t="s">
        <v>74</v>
      </c>
      <c r="F794" t="s">
        <v>15567</v>
      </c>
      <c r="G794" t="s">
        <v>74</v>
      </c>
      <c r="H794" t="s">
        <v>74</v>
      </c>
      <c r="I794" t="s">
        <v>15568</v>
      </c>
      <c r="J794" t="s">
        <v>1039</v>
      </c>
      <c r="K794" t="s">
        <v>74</v>
      </c>
      <c r="L794" t="s">
        <v>74</v>
      </c>
      <c r="M794" t="s">
        <v>78</v>
      </c>
      <c r="N794" t="s">
        <v>1040</v>
      </c>
      <c r="O794" t="s">
        <v>74</v>
      </c>
      <c r="P794" t="s">
        <v>74</v>
      </c>
      <c r="Q794" t="s">
        <v>74</v>
      </c>
      <c r="R794" t="s">
        <v>74</v>
      </c>
      <c r="S794" t="s">
        <v>74</v>
      </c>
      <c r="T794" t="s">
        <v>74</v>
      </c>
      <c r="U794" t="s">
        <v>15569</v>
      </c>
      <c r="V794" t="s">
        <v>15570</v>
      </c>
      <c r="W794" t="s">
        <v>15571</v>
      </c>
      <c r="X794" t="s">
        <v>15572</v>
      </c>
      <c r="Y794" t="s">
        <v>15573</v>
      </c>
      <c r="Z794" t="s">
        <v>15574</v>
      </c>
      <c r="AA794" t="s">
        <v>15575</v>
      </c>
      <c r="AB794" t="s">
        <v>15576</v>
      </c>
      <c r="AC794" t="s">
        <v>15577</v>
      </c>
      <c r="AD794" t="s">
        <v>15578</v>
      </c>
      <c r="AE794" t="s">
        <v>15579</v>
      </c>
      <c r="AF794" t="s">
        <v>74</v>
      </c>
      <c r="AG794">
        <v>36</v>
      </c>
      <c r="AH794">
        <v>7</v>
      </c>
      <c r="AI794">
        <v>7</v>
      </c>
      <c r="AJ794">
        <v>0</v>
      </c>
      <c r="AK794">
        <v>10</v>
      </c>
      <c r="AL794" t="s">
        <v>1049</v>
      </c>
      <c r="AM794" t="s">
        <v>1050</v>
      </c>
      <c r="AN794" t="s">
        <v>1051</v>
      </c>
      <c r="AO794" t="s">
        <v>1052</v>
      </c>
      <c r="AP794" t="s">
        <v>1053</v>
      </c>
      <c r="AQ794" t="s">
        <v>74</v>
      </c>
      <c r="AR794" t="s">
        <v>1054</v>
      </c>
      <c r="AS794" t="s">
        <v>1055</v>
      </c>
      <c r="AT794" t="s">
        <v>7785</v>
      </c>
      <c r="AU794">
        <v>2020</v>
      </c>
      <c r="AV794">
        <v>12</v>
      </c>
      <c r="AW794">
        <v>2</v>
      </c>
      <c r="AX794" t="s">
        <v>74</v>
      </c>
      <c r="AY794" t="s">
        <v>74</v>
      </c>
      <c r="AZ794" t="s">
        <v>74</v>
      </c>
      <c r="BA794" t="s">
        <v>74</v>
      </c>
      <c r="BB794">
        <v>887</v>
      </c>
      <c r="BC794">
        <v>896</v>
      </c>
      <c r="BD794" t="s">
        <v>74</v>
      </c>
      <c r="BE794" t="s">
        <v>15580</v>
      </c>
      <c r="BF794" t="str">
        <f>HYPERLINK("http://dx.doi.org/10.5194/essd-12-887-2020","http://dx.doi.org/10.5194/essd-12-887-2020")</f>
        <v>http://dx.doi.org/10.5194/essd-12-887-2020</v>
      </c>
      <c r="BG794" t="s">
        <v>74</v>
      </c>
      <c r="BH794" t="s">
        <v>74</v>
      </c>
      <c r="BI794">
        <v>10</v>
      </c>
      <c r="BJ794" t="s">
        <v>1057</v>
      </c>
      <c r="BK794" t="s">
        <v>102</v>
      </c>
      <c r="BL794" t="s">
        <v>1058</v>
      </c>
      <c r="BM794" t="s">
        <v>15581</v>
      </c>
      <c r="BN794" t="s">
        <v>74</v>
      </c>
      <c r="BO794" t="s">
        <v>15582</v>
      </c>
      <c r="BP794" t="s">
        <v>74</v>
      </c>
      <c r="BQ794" t="s">
        <v>74</v>
      </c>
      <c r="BR794" t="s">
        <v>106</v>
      </c>
      <c r="BS794" t="s">
        <v>15583</v>
      </c>
      <c r="BT794" t="str">
        <f>HYPERLINK("https%3A%2F%2Fwww.webofscience.com%2Fwos%2Fwoscc%2Ffull-record%2FWOS:000528791100003","View Full Record in Web of Science")</f>
        <v>View Full Record in Web of Science</v>
      </c>
    </row>
    <row r="795" spans="1:72" x14ac:dyDescent="0.15">
      <c r="A795" t="s">
        <v>72</v>
      </c>
      <c r="B795" t="s">
        <v>15584</v>
      </c>
      <c r="C795" t="s">
        <v>74</v>
      </c>
      <c r="D795" t="s">
        <v>74</v>
      </c>
      <c r="E795" t="s">
        <v>74</v>
      </c>
      <c r="F795" t="s">
        <v>15585</v>
      </c>
      <c r="G795" t="s">
        <v>74</v>
      </c>
      <c r="H795" t="s">
        <v>74</v>
      </c>
      <c r="I795" t="s">
        <v>15586</v>
      </c>
      <c r="J795" t="s">
        <v>15587</v>
      </c>
      <c r="K795" t="s">
        <v>74</v>
      </c>
      <c r="L795" t="s">
        <v>74</v>
      </c>
      <c r="M795" t="s">
        <v>78</v>
      </c>
      <c r="N795" t="s">
        <v>79</v>
      </c>
      <c r="O795" t="s">
        <v>74</v>
      </c>
      <c r="P795" t="s">
        <v>74</v>
      </c>
      <c r="Q795" t="s">
        <v>74</v>
      </c>
      <c r="R795" t="s">
        <v>74</v>
      </c>
      <c r="S795" t="s">
        <v>74</v>
      </c>
      <c r="T795" t="s">
        <v>74</v>
      </c>
      <c r="U795" t="s">
        <v>15588</v>
      </c>
      <c r="V795" t="s">
        <v>15589</v>
      </c>
      <c r="W795" t="s">
        <v>15590</v>
      </c>
      <c r="X795" t="s">
        <v>15591</v>
      </c>
      <c r="Y795" t="s">
        <v>15592</v>
      </c>
      <c r="Z795" t="s">
        <v>15593</v>
      </c>
      <c r="AA795" t="s">
        <v>74</v>
      </c>
      <c r="AB795" t="s">
        <v>15594</v>
      </c>
      <c r="AC795" t="s">
        <v>15595</v>
      </c>
      <c r="AD795" t="s">
        <v>788</v>
      </c>
      <c r="AE795" t="s">
        <v>15596</v>
      </c>
      <c r="AF795" t="s">
        <v>74</v>
      </c>
      <c r="AG795">
        <v>33</v>
      </c>
      <c r="AH795">
        <v>15</v>
      </c>
      <c r="AI795">
        <v>18</v>
      </c>
      <c r="AJ795">
        <v>1</v>
      </c>
      <c r="AK795">
        <v>18</v>
      </c>
      <c r="AL795" t="s">
        <v>15597</v>
      </c>
      <c r="AM795" t="s">
        <v>152</v>
      </c>
      <c r="AN795" t="s">
        <v>15598</v>
      </c>
      <c r="AO795" t="s">
        <v>15599</v>
      </c>
      <c r="AP795" t="s">
        <v>15600</v>
      </c>
      <c r="AQ795" t="s">
        <v>74</v>
      </c>
      <c r="AR795" t="s">
        <v>15601</v>
      </c>
      <c r="AS795" t="s">
        <v>15602</v>
      </c>
      <c r="AT795" t="s">
        <v>7785</v>
      </c>
      <c r="AU795">
        <v>2020</v>
      </c>
      <c r="AV795">
        <v>59</v>
      </c>
      <c r="AW795">
        <v>12</v>
      </c>
      <c r="AX795" t="s">
        <v>74</v>
      </c>
      <c r="AY795" t="s">
        <v>74</v>
      </c>
      <c r="AZ795" t="s">
        <v>74</v>
      </c>
      <c r="BA795" t="s">
        <v>74</v>
      </c>
      <c r="BB795">
        <v>3699</v>
      </c>
      <c r="BC795">
        <v>3705</v>
      </c>
      <c r="BD795" t="s">
        <v>74</v>
      </c>
      <c r="BE795" t="s">
        <v>15603</v>
      </c>
      <c r="BF795" t="str">
        <f>HYPERLINK("http://dx.doi.org/10.1364/AO.388959","http://dx.doi.org/10.1364/AO.388959")</f>
        <v>http://dx.doi.org/10.1364/AO.388959</v>
      </c>
      <c r="BG795" t="s">
        <v>74</v>
      </c>
      <c r="BH795" t="s">
        <v>74</v>
      </c>
      <c r="BI795">
        <v>7</v>
      </c>
      <c r="BJ795" t="s">
        <v>15604</v>
      </c>
      <c r="BK795" t="s">
        <v>102</v>
      </c>
      <c r="BL795" t="s">
        <v>15604</v>
      </c>
      <c r="BM795" t="s">
        <v>15605</v>
      </c>
      <c r="BN795">
        <v>32400493</v>
      </c>
      <c r="BO795" t="s">
        <v>74</v>
      </c>
      <c r="BP795" t="s">
        <v>74</v>
      </c>
      <c r="BQ795" t="s">
        <v>74</v>
      </c>
      <c r="BR795" t="s">
        <v>106</v>
      </c>
      <c r="BS795" t="s">
        <v>15606</v>
      </c>
      <c r="BT795" t="str">
        <f>HYPERLINK("https%3A%2F%2Fwww.webofscience.com%2Fwos%2Fwoscc%2Ffull-record%2FWOS:000528199400027","View Full Record in Web of Science")</f>
        <v>View Full Record in Web of Science</v>
      </c>
    </row>
    <row r="796" spans="1:72" x14ac:dyDescent="0.15">
      <c r="A796" t="s">
        <v>72</v>
      </c>
      <c r="B796" t="s">
        <v>15607</v>
      </c>
      <c r="C796" t="s">
        <v>74</v>
      </c>
      <c r="D796" t="s">
        <v>74</v>
      </c>
      <c r="E796" t="s">
        <v>74</v>
      </c>
      <c r="F796" t="s">
        <v>15608</v>
      </c>
      <c r="G796" t="s">
        <v>74</v>
      </c>
      <c r="H796" t="s">
        <v>74</v>
      </c>
      <c r="I796" t="s">
        <v>15609</v>
      </c>
      <c r="J796" t="s">
        <v>15610</v>
      </c>
      <c r="K796" t="s">
        <v>74</v>
      </c>
      <c r="L796" t="s">
        <v>74</v>
      </c>
      <c r="M796" t="s">
        <v>78</v>
      </c>
      <c r="N796" t="s">
        <v>79</v>
      </c>
      <c r="O796" t="s">
        <v>74</v>
      </c>
      <c r="P796" t="s">
        <v>74</v>
      </c>
      <c r="Q796" t="s">
        <v>74</v>
      </c>
      <c r="R796" t="s">
        <v>74</v>
      </c>
      <c r="S796" t="s">
        <v>74</v>
      </c>
      <c r="T796" t="s">
        <v>15611</v>
      </c>
      <c r="U796" t="s">
        <v>15612</v>
      </c>
      <c r="V796" t="s">
        <v>15613</v>
      </c>
      <c r="W796" t="s">
        <v>15614</v>
      </c>
      <c r="X796" t="s">
        <v>15615</v>
      </c>
      <c r="Y796" t="s">
        <v>15616</v>
      </c>
      <c r="Z796" t="s">
        <v>15617</v>
      </c>
      <c r="AA796" t="s">
        <v>15618</v>
      </c>
      <c r="AB796" t="s">
        <v>15619</v>
      </c>
      <c r="AC796" t="s">
        <v>15620</v>
      </c>
      <c r="AD796" t="s">
        <v>15621</v>
      </c>
      <c r="AE796" t="s">
        <v>15622</v>
      </c>
      <c r="AF796" t="s">
        <v>74</v>
      </c>
      <c r="AG796">
        <v>134</v>
      </c>
      <c r="AH796">
        <v>27</v>
      </c>
      <c r="AI796">
        <v>29</v>
      </c>
      <c r="AJ796">
        <v>3</v>
      </c>
      <c r="AK796">
        <v>45</v>
      </c>
      <c r="AL796" t="s">
        <v>284</v>
      </c>
      <c r="AM796" t="s">
        <v>285</v>
      </c>
      <c r="AN796" t="s">
        <v>286</v>
      </c>
      <c r="AO796" t="s">
        <v>15623</v>
      </c>
      <c r="AP796" t="s">
        <v>15624</v>
      </c>
      <c r="AQ796" t="s">
        <v>74</v>
      </c>
      <c r="AR796" t="s">
        <v>15625</v>
      </c>
      <c r="AS796" t="s">
        <v>15626</v>
      </c>
      <c r="AT796" t="s">
        <v>7785</v>
      </c>
      <c r="AU796">
        <v>2020</v>
      </c>
      <c r="AV796">
        <v>221</v>
      </c>
      <c r="AW796" t="s">
        <v>74</v>
      </c>
      <c r="AX796" t="s">
        <v>74</v>
      </c>
      <c r="AY796" t="s">
        <v>74</v>
      </c>
      <c r="AZ796" t="s">
        <v>74</v>
      </c>
      <c r="BA796" t="s">
        <v>74</v>
      </c>
      <c r="BB796" t="s">
        <v>74</v>
      </c>
      <c r="BC796" t="s">
        <v>74</v>
      </c>
      <c r="BD796">
        <v>103773</v>
      </c>
      <c r="BE796" t="s">
        <v>15627</v>
      </c>
      <c r="BF796" t="str">
        <f>HYPERLINK("http://dx.doi.org/10.1016/j.marchem.2020.103773","http://dx.doi.org/10.1016/j.marchem.2020.103773")</f>
        <v>http://dx.doi.org/10.1016/j.marchem.2020.103773</v>
      </c>
      <c r="BG796" t="s">
        <v>74</v>
      </c>
      <c r="BH796" t="s">
        <v>74</v>
      </c>
      <c r="BI796">
        <v>16</v>
      </c>
      <c r="BJ796" t="s">
        <v>15628</v>
      </c>
      <c r="BK796" t="s">
        <v>102</v>
      </c>
      <c r="BL796" t="s">
        <v>15629</v>
      </c>
      <c r="BM796" t="s">
        <v>15630</v>
      </c>
      <c r="BN796" t="s">
        <v>74</v>
      </c>
      <c r="BO796" t="s">
        <v>448</v>
      </c>
      <c r="BP796" t="s">
        <v>74</v>
      </c>
      <c r="BQ796" t="s">
        <v>74</v>
      </c>
      <c r="BR796" t="s">
        <v>106</v>
      </c>
      <c r="BS796" t="s">
        <v>15631</v>
      </c>
      <c r="BT796" t="str">
        <f>HYPERLINK("https%3A%2F%2Fwww.webofscience.com%2Fwos%2Fwoscc%2Ffull-record%2FWOS:000527361100002","View Full Record in Web of Science")</f>
        <v>View Full Record in Web of Science</v>
      </c>
    </row>
    <row r="797" spans="1:72" x14ac:dyDescent="0.15">
      <c r="A797" t="s">
        <v>72</v>
      </c>
      <c r="B797" t="s">
        <v>15632</v>
      </c>
      <c r="C797" t="s">
        <v>74</v>
      </c>
      <c r="D797" t="s">
        <v>74</v>
      </c>
      <c r="E797" t="s">
        <v>74</v>
      </c>
      <c r="F797" t="s">
        <v>15633</v>
      </c>
      <c r="G797" t="s">
        <v>74</v>
      </c>
      <c r="H797" t="s">
        <v>74</v>
      </c>
      <c r="I797" t="s">
        <v>15634</v>
      </c>
      <c r="J797" t="s">
        <v>15610</v>
      </c>
      <c r="K797" t="s">
        <v>74</v>
      </c>
      <c r="L797" t="s">
        <v>74</v>
      </c>
      <c r="M797" t="s">
        <v>78</v>
      </c>
      <c r="N797" t="s">
        <v>79</v>
      </c>
      <c r="O797" t="s">
        <v>74</v>
      </c>
      <c r="P797" t="s">
        <v>74</v>
      </c>
      <c r="Q797" t="s">
        <v>74</v>
      </c>
      <c r="R797" t="s">
        <v>74</v>
      </c>
      <c r="S797" t="s">
        <v>74</v>
      </c>
      <c r="T797" t="s">
        <v>15635</v>
      </c>
      <c r="U797" t="s">
        <v>15636</v>
      </c>
      <c r="V797" t="s">
        <v>15637</v>
      </c>
      <c r="W797" t="s">
        <v>15638</v>
      </c>
      <c r="X797" t="s">
        <v>15639</v>
      </c>
      <c r="Y797" t="s">
        <v>15640</v>
      </c>
      <c r="Z797" t="s">
        <v>15641</v>
      </c>
      <c r="AA797" t="s">
        <v>15642</v>
      </c>
      <c r="AB797" t="s">
        <v>15643</v>
      </c>
      <c r="AC797" t="s">
        <v>15644</v>
      </c>
      <c r="AD797" t="s">
        <v>15645</v>
      </c>
      <c r="AE797" t="s">
        <v>15646</v>
      </c>
      <c r="AF797" t="s">
        <v>74</v>
      </c>
      <c r="AG797">
        <v>64</v>
      </c>
      <c r="AH797">
        <v>5</v>
      </c>
      <c r="AI797">
        <v>7</v>
      </c>
      <c r="AJ797">
        <v>0</v>
      </c>
      <c r="AK797">
        <v>7</v>
      </c>
      <c r="AL797" t="s">
        <v>284</v>
      </c>
      <c r="AM797" t="s">
        <v>285</v>
      </c>
      <c r="AN797" t="s">
        <v>286</v>
      </c>
      <c r="AO797" t="s">
        <v>15623</v>
      </c>
      <c r="AP797" t="s">
        <v>15624</v>
      </c>
      <c r="AQ797" t="s">
        <v>74</v>
      </c>
      <c r="AR797" t="s">
        <v>15625</v>
      </c>
      <c r="AS797" t="s">
        <v>15626</v>
      </c>
      <c r="AT797" t="s">
        <v>7785</v>
      </c>
      <c r="AU797">
        <v>2020</v>
      </c>
      <c r="AV797">
        <v>221</v>
      </c>
      <c r="AW797" t="s">
        <v>74</v>
      </c>
      <c r="AX797" t="s">
        <v>74</v>
      </c>
      <c r="AY797" t="s">
        <v>74</v>
      </c>
      <c r="AZ797" t="s">
        <v>74</v>
      </c>
      <c r="BA797" t="s">
        <v>74</v>
      </c>
      <c r="BB797" t="s">
        <v>74</v>
      </c>
      <c r="BC797" t="s">
        <v>74</v>
      </c>
      <c r="BD797">
        <v>103774</v>
      </c>
      <c r="BE797" t="s">
        <v>15647</v>
      </c>
      <c r="BF797" t="str">
        <f>HYPERLINK("http://dx.doi.org/10.1016/j.marchem.2020.103774","http://dx.doi.org/10.1016/j.marchem.2020.103774")</f>
        <v>http://dx.doi.org/10.1016/j.marchem.2020.103774</v>
      </c>
      <c r="BG797" t="s">
        <v>74</v>
      </c>
      <c r="BH797" t="s">
        <v>74</v>
      </c>
      <c r="BI797">
        <v>8</v>
      </c>
      <c r="BJ797" t="s">
        <v>15628</v>
      </c>
      <c r="BK797" t="s">
        <v>102</v>
      </c>
      <c r="BL797" t="s">
        <v>15629</v>
      </c>
      <c r="BM797" t="s">
        <v>15630</v>
      </c>
      <c r="BN797" t="s">
        <v>74</v>
      </c>
      <c r="BO797" t="s">
        <v>74</v>
      </c>
      <c r="BP797" t="s">
        <v>74</v>
      </c>
      <c r="BQ797" t="s">
        <v>74</v>
      </c>
      <c r="BR797" t="s">
        <v>106</v>
      </c>
      <c r="BS797" t="s">
        <v>15648</v>
      </c>
      <c r="BT797" t="str">
        <f>HYPERLINK("https%3A%2F%2Fwww.webofscience.com%2Fwos%2Fwoscc%2Ffull-record%2FWOS:000527361100003","View Full Record in Web of Science")</f>
        <v>View Full Record in Web of Science</v>
      </c>
    </row>
    <row r="798" spans="1:72" x14ac:dyDescent="0.15">
      <c r="A798" t="s">
        <v>72</v>
      </c>
      <c r="B798" t="s">
        <v>15649</v>
      </c>
      <c r="C798" t="s">
        <v>74</v>
      </c>
      <c r="D798" t="s">
        <v>74</v>
      </c>
      <c r="E798" t="s">
        <v>74</v>
      </c>
      <c r="F798" t="s">
        <v>15650</v>
      </c>
      <c r="G798" t="s">
        <v>74</v>
      </c>
      <c r="H798" t="s">
        <v>74</v>
      </c>
      <c r="I798" t="s">
        <v>15651</v>
      </c>
      <c r="J798" t="s">
        <v>15652</v>
      </c>
      <c r="K798" t="s">
        <v>74</v>
      </c>
      <c r="L798" t="s">
        <v>74</v>
      </c>
      <c r="M798" t="s">
        <v>78</v>
      </c>
      <c r="N798" t="s">
        <v>79</v>
      </c>
      <c r="O798" t="s">
        <v>74</v>
      </c>
      <c r="P798" t="s">
        <v>74</v>
      </c>
      <c r="Q798" t="s">
        <v>74</v>
      </c>
      <c r="R798" t="s">
        <v>74</v>
      </c>
      <c r="S798" t="s">
        <v>74</v>
      </c>
      <c r="T798" t="s">
        <v>74</v>
      </c>
      <c r="U798" t="s">
        <v>15653</v>
      </c>
      <c r="V798" t="s">
        <v>15654</v>
      </c>
      <c r="W798" t="s">
        <v>15655</v>
      </c>
      <c r="X798" t="s">
        <v>15656</v>
      </c>
      <c r="Y798" t="s">
        <v>15657</v>
      </c>
      <c r="Z798" t="s">
        <v>15658</v>
      </c>
      <c r="AA798" t="s">
        <v>74</v>
      </c>
      <c r="AB798" t="s">
        <v>15659</v>
      </c>
      <c r="AC798" t="s">
        <v>15660</v>
      </c>
      <c r="AD798" t="s">
        <v>15661</v>
      </c>
      <c r="AE798" t="s">
        <v>15662</v>
      </c>
      <c r="AF798" t="s">
        <v>74</v>
      </c>
      <c r="AG798">
        <v>41</v>
      </c>
      <c r="AH798">
        <v>100</v>
      </c>
      <c r="AI798">
        <v>110</v>
      </c>
      <c r="AJ798">
        <v>7</v>
      </c>
      <c r="AK798">
        <v>50</v>
      </c>
      <c r="AL798" t="s">
        <v>1743</v>
      </c>
      <c r="AM798" t="s">
        <v>1744</v>
      </c>
      <c r="AN798" t="s">
        <v>1745</v>
      </c>
      <c r="AO798" t="s">
        <v>15663</v>
      </c>
      <c r="AP798" t="s">
        <v>15664</v>
      </c>
      <c r="AQ798" t="s">
        <v>74</v>
      </c>
      <c r="AR798" t="s">
        <v>15665</v>
      </c>
      <c r="AS798" t="s">
        <v>15666</v>
      </c>
      <c r="AT798" t="s">
        <v>7785</v>
      </c>
      <c r="AU798">
        <v>2020</v>
      </c>
      <c r="AV798">
        <v>30</v>
      </c>
      <c r="AW798">
        <v>8</v>
      </c>
      <c r="AX798" t="s">
        <v>74</v>
      </c>
      <c r="AY798" t="s">
        <v>74</v>
      </c>
      <c r="AZ798" t="s">
        <v>74</v>
      </c>
      <c r="BA798" t="s">
        <v>74</v>
      </c>
      <c r="BB798">
        <v>1572</v>
      </c>
      <c r="BC798" t="s">
        <v>1244</v>
      </c>
      <c r="BD798" t="s">
        <v>74</v>
      </c>
      <c r="BE798" t="s">
        <v>15667</v>
      </c>
      <c r="BF798" t="str">
        <f>HYPERLINK("http://dx.doi.org/10.1016/j.cub.2020.02.043","http://dx.doi.org/10.1016/j.cub.2020.02.043")</f>
        <v>http://dx.doi.org/10.1016/j.cub.2020.02.043</v>
      </c>
      <c r="BG798" t="s">
        <v>74</v>
      </c>
      <c r="BH798" t="s">
        <v>74</v>
      </c>
      <c r="BI798">
        <v>8</v>
      </c>
      <c r="BJ798" t="s">
        <v>15668</v>
      </c>
      <c r="BK798" t="s">
        <v>102</v>
      </c>
      <c r="BL798" t="s">
        <v>15669</v>
      </c>
      <c r="BM798" t="s">
        <v>15670</v>
      </c>
      <c r="BN798">
        <v>32220327</v>
      </c>
      <c r="BO798" t="s">
        <v>15671</v>
      </c>
      <c r="BP798" t="s">
        <v>74</v>
      </c>
      <c r="BQ798" t="s">
        <v>74</v>
      </c>
      <c r="BR798" t="s">
        <v>106</v>
      </c>
      <c r="BS798" t="s">
        <v>15672</v>
      </c>
      <c r="BT798" t="str">
        <f>HYPERLINK("https%3A%2F%2Fwww.webofscience.com%2Fwos%2Fwoscc%2Ffull-record%2FWOS:000529117300036","View Full Record in Web of Science")</f>
        <v>View Full Record in Web of Science</v>
      </c>
    </row>
    <row r="799" spans="1:72" x14ac:dyDescent="0.15">
      <c r="A799" t="s">
        <v>72</v>
      </c>
      <c r="B799" t="s">
        <v>15673</v>
      </c>
      <c r="C799" t="s">
        <v>74</v>
      </c>
      <c r="D799" t="s">
        <v>74</v>
      </c>
      <c r="E799" t="s">
        <v>74</v>
      </c>
      <c r="F799" t="s">
        <v>15674</v>
      </c>
      <c r="G799" t="s">
        <v>74</v>
      </c>
      <c r="H799" t="s">
        <v>74</v>
      </c>
      <c r="I799" t="s">
        <v>15675</v>
      </c>
      <c r="J799" t="s">
        <v>299</v>
      </c>
      <c r="K799" t="s">
        <v>74</v>
      </c>
      <c r="L799" t="s">
        <v>74</v>
      </c>
      <c r="M799" t="s">
        <v>78</v>
      </c>
      <c r="N799" t="s">
        <v>79</v>
      </c>
      <c r="O799" t="s">
        <v>74</v>
      </c>
      <c r="P799" t="s">
        <v>74</v>
      </c>
      <c r="Q799" t="s">
        <v>74</v>
      </c>
      <c r="R799" t="s">
        <v>74</v>
      </c>
      <c r="S799" t="s">
        <v>74</v>
      </c>
      <c r="T799" t="s">
        <v>15676</v>
      </c>
      <c r="U799" t="s">
        <v>15677</v>
      </c>
      <c r="V799" t="s">
        <v>15678</v>
      </c>
      <c r="W799" t="s">
        <v>15679</v>
      </c>
      <c r="X799" t="s">
        <v>15680</v>
      </c>
      <c r="Y799" t="s">
        <v>15681</v>
      </c>
      <c r="Z799" t="s">
        <v>15682</v>
      </c>
      <c r="AA799" t="s">
        <v>15683</v>
      </c>
      <c r="AB799" t="s">
        <v>15684</v>
      </c>
      <c r="AC799" t="s">
        <v>15685</v>
      </c>
      <c r="AD799" t="s">
        <v>15685</v>
      </c>
      <c r="AE799" t="s">
        <v>15686</v>
      </c>
      <c r="AF799" t="s">
        <v>74</v>
      </c>
      <c r="AG799">
        <v>79</v>
      </c>
      <c r="AH799">
        <v>13</v>
      </c>
      <c r="AI799">
        <v>13</v>
      </c>
      <c r="AJ799">
        <v>4</v>
      </c>
      <c r="AK799">
        <v>15</v>
      </c>
      <c r="AL799" t="s">
        <v>284</v>
      </c>
      <c r="AM799" t="s">
        <v>285</v>
      </c>
      <c r="AN799" t="s">
        <v>286</v>
      </c>
      <c r="AO799" t="s">
        <v>312</v>
      </c>
      <c r="AP799" t="s">
        <v>313</v>
      </c>
      <c r="AQ799" t="s">
        <v>74</v>
      </c>
      <c r="AR799" t="s">
        <v>314</v>
      </c>
      <c r="AS799" t="s">
        <v>315</v>
      </c>
      <c r="AT799" t="s">
        <v>7785</v>
      </c>
      <c r="AU799">
        <v>2020</v>
      </c>
      <c r="AV799">
        <v>714</v>
      </c>
      <c r="AW799" t="s">
        <v>74</v>
      </c>
      <c r="AX799" t="s">
        <v>74</v>
      </c>
      <c r="AY799" t="s">
        <v>74</v>
      </c>
      <c r="AZ799" t="s">
        <v>74</v>
      </c>
      <c r="BA799" t="s">
        <v>74</v>
      </c>
      <c r="BB799" t="s">
        <v>74</v>
      </c>
      <c r="BC799" t="s">
        <v>74</v>
      </c>
      <c r="BD799">
        <v>136714</v>
      </c>
      <c r="BE799" t="s">
        <v>15687</v>
      </c>
      <c r="BF799" t="str">
        <f>HYPERLINK("http://dx.doi.org/10.1016/j.scitotenv.2020.136714","http://dx.doi.org/10.1016/j.scitotenv.2020.136714")</f>
        <v>http://dx.doi.org/10.1016/j.scitotenv.2020.136714</v>
      </c>
      <c r="BG799" t="s">
        <v>74</v>
      </c>
      <c r="BH799" t="s">
        <v>74</v>
      </c>
      <c r="BI799">
        <v>12</v>
      </c>
      <c r="BJ799" t="s">
        <v>101</v>
      </c>
      <c r="BK799" t="s">
        <v>102</v>
      </c>
      <c r="BL799" t="s">
        <v>103</v>
      </c>
      <c r="BM799" t="s">
        <v>15688</v>
      </c>
      <c r="BN799">
        <v>31978775</v>
      </c>
      <c r="BO799" t="s">
        <v>189</v>
      </c>
      <c r="BP799" t="s">
        <v>74</v>
      </c>
      <c r="BQ799" t="s">
        <v>74</v>
      </c>
      <c r="BR799" t="s">
        <v>106</v>
      </c>
      <c r="BS799" t="s">
        <v>15689</v>
      </c>
      <c r="BT799" t="str">
        <f>HYPERLINK("https%3A%2F%2Fwww.webofscience.com%2Fwos%2Fwoscc%2Ffull-record%2FWOS:000517760200012","View Full Record in Web of Science")</f>
        <v>View Full Record in Web of Science</v>
      </c>
    </row>
    <row r="800" spans="1:72" x14ac:dyDescent="0.15">
      <c r="A800" t="s">
        <v>72</v>
      </c>
      <c r="B800" t="s">
        <v>15690</v>
      </c>
      <c r="C800" t="s">
        <v>74</v>
      </c>
      <c r="D800" t="s">
        <v>74</v>
      </c>
      <c r="E800" t="s">
        <v>74</v>
      </c>
      <c r="F800" t="s">
        <v>15691</v>
      </c>
      <c r="G800" t="s">
        <v>74</v>
      </c>
      <c r="H800" t="s">
        <v>74</v>
      </c>
      <c r="I800" t="s">
        <v>15692</v>
      </c>
      <c r="J800" t="s">
        <v>6000</v>
      </c>
      <c r="K800" t="s">
        <v>74</v>
      </c>
      <c r="L800" t="s">
        <v>74</v>
      </c>
      <c r="M800" t="s">
        <v>78</v>
      </c>
      <c r="N800" t="s">
        <v>79</v>
      </c>
      <c r="O800" t="s">
        <v>74</v>
      </c>
      <c r="P800" t="s">
        <v>74</v>
      </c>
      <c r="Q800" t="s">
        <v>74</v>
      </c>
      <c r="R800" t="s">
        <v>74</v>
      </c>
      <c r="S800" t="s">
        <v>74</v>
      </c>
      <c r="T800" t="s">
        <v>74</v>
      </c>
      <c r="U800" t="s">
        <v>15693</v>
      </c>
      <c r="V800" t="s">
        <v>15694</v>
      </c>
      <c r="W800" t="s">
        <v>15695</v>
      </c>
      <c r="X800" t="s">
        <v>15696</v>
      </c>
      <c r="Y800" t="s">
        <v>15697</v>
      </c>
      <c r="Z800" t="s">
        <v>15698</v>
      </c>
      <c r="AA800" t="s">
        <v>74</v>
      </c>
      <c r="AB800" t="s">
        <v>15699</v>
      </c>
      <c r="AC800" t="s">
        <v>15700</v>
      </c>
      <c r="AD800" t="s">
        <v>15701</v>
      </c>
      <c r="AE800" t="s">
        <v>15702</v>
      </c>
      <c r="AF800" t="s">
        <v>74</v>
      </c>
      <c r="AG800">
        <v>91</v>
      </c>
      <c r="AH800">
        <v>22</v>
      </c>
      <c r="AI800">
        <v>24</v>
      </c>
      <c r="AJ800">
        <v>0</v>
      </c>
      <c r="AK800">
        <v>9</v>
      </c>
      <c r="AL800" t="s">
        <v>994</v>
      </c>
      <c r="AM800" t="s">
        <v>995</v>
      </c>
      <c r="AN800" t="s">
        <v>996</v>
      </c>
      <c r="AO800" t="s">
        <v>6012</v>
      </c>
      <c r="AP800" t="s">
        <v>6013</v>
      </c>
      <c r="AQ800" t="s">
        <v>74</v>
      </c>
      <c r="AR800" t="s">
        <v>6014</v>
      </c>
      <c r="AS800" t="s">
        <v>6015</v>
      </c>
      <c r="AT800" t="s">
        <v>5993</v>
      </c>
      <c r="AU800">
        <v>2020</v>
      </c>
      <c r="AV800">
        <v>55</v>
      </c>
      <c r="AW800">
        <v>4</v>
      </c>
      <c r="AX800" t="s">
        <v>74</v>
      </c>
      <c r="AY800" t="s">
        <v>74</v>
      </c>
      <c r="AZ800" t="s">
        <v>74</v>
      </c>
      <c r="BA800" t="s">
        <v>74</v>
      </c>
      <c r="BB800">
        <v>832</v>
      </c>
      <c r="BC800">
        <v>856</v>
      </c>
      <c r="BD800" t="s">
        <v>74</v>
      </c>
      <c r="BE800" t="s">
        <v>15703</v>
      </c>
      <c r="BF800" t="str">
        <f>HYPERLINK("http://dx.doi.org/10.1111/maps.13471","http://dx.doi.org/10.1111/maps.13471")</f>
        <v>http://dx.doi.org/10.1111/maps.13471</v>
      </c>
      <c r="BG800" t="s">
        <v>74</v>
      </c>
      <c r="BH800" t="s">
        <v>14775</v>
      </c>
      <c r="BI800">
        <v>25</v>
      </c>
      <c r="BJ800" t="s">
        <v>131</v>
      </c>
      <c r="BK800" t="s">
        <v>102</v>
      </c>
      <c r="BL800" t="s">
        <v>131</v>
      </c>
      <c r="BM800" t="s">
        <v>12827</v>
      </c>
      <c r="BN800" t="s">
        <v>74</v>
      </c>
      <c r="BO800" t="s">
        <v>74</v>
      </c>
      <c r="BP800" t="s">
        <v>74</v>
      </c>
      <c r="BQ800" t="s">
        <v>74</v>
      </c>
      <c r="BR800" t="s">
        <v>106</v>
      </c>
      <c r="BS800" t="s">
        <v>15704</v>
      </c>
      <c r="BT800" t="str">
        <f>HYPERLINK("https%3A%2F%2Fwww.webofscience.com%2Fwos%2Fwoscc%2Ffull-record%2FWOS:000527086200001","View Full Record in Web of Science")</f>
        <v>View Full Record in Web of Science</v>
      </c>
    </row>
    <row r="801" spans="1:72" x14ac:dyDescent="0.15">
      <c r="A801" t="s">
        <v>72</v>
      </c>
      <c r="B801" t="s">
        <v>15705</v>
      </c>
      <c r="C801" t="s">
        <v>74</v>
      </c>
      <c r="D801" t="s">
        <v>74</v>
      </c>
      <c r="E801" t="s">
        <v>74</v>
      </c>
      <c r="F801" t="s">
        <v>15706</v>
      </c>
      <c r="G801" t="s">
        <v>74</v>
      </c>
      <c r="H801" t="s">
        <v>74</v>
      </c>
      <c r="I801" t="s">
        <v>15707</v>
      </c>
      <c r="J801" t="s">
        <v>15708</v>
      </c>
      <c r="K801" t="s">
        <v>74</v>
      </c>
      <c r="L801" t="s">
        <v>74</v>
      </c>
      <c r="M801" t="s">
        <v>78</v>
      </c>
      <c r="N801" t="s">
        <v>79</v>
      </c>
      <c r="O801" t="s">
        <v>74</v>
      </c>
      <c r="P801" t="s">
        <v>74</v>
      </c>
      <c r="Q801" t="s">
        <v>74</v>
      </c>
      <c r="R801" t="s">
        <v>74</v>
      </c>
      <c r="S801" t="s">
        <v>74</v>
      </c>
      <c r="T801" t="s">
        <v>15709</v>
      </c>
      <c r="U801" t="s">
        <v>15710</v>
      </c>
      <c r="V801" t="s">
        <v>15711</v>
      </c>
      <c r="W801" t="s">
        <v>15712</v>
      </c>
      <c r="X801" t="s">
        <v>15713</v>
      </c>
      <c r="Y801" t="s">
        <v>15714</v>
      </c>
      <c r="Z801" t="s">
        <v>15715</v>
      </c>
      <c r="AA801" t="s">
        <v>15716</v>
      </c>
      <c r="AB801" t="s">
        <v>15717</v>
      </c>
      <c r="AC801" t="s">
        <v>15718</v>
      </c>
      <c r="AD801" t="s">
        <v>15719</v>
      </c>
      <c r="AE801" t="s">
        <v>15720</v>
      </c>
      <c r="AF801" t="s">
        <v>74</v>
      </c>
      <c r="AG801">
        <v>74</v>
      </c>
      <c r="AH801">
        <v>17</v>
      </c>
      <c r="AI801">
        <v>17</v>
      </c>
      <c r="AJ801">
        <v>2</v>
      </c>
      <c r="AK801">
        <v>12</v>
      </c>
      <c r="AL801" t="s">
        <v>994</v>
      </c>
      <c r="AM801" t="s">
        <v>995</v>
      </c>
      <c r="AN801" t="s">
        <v>996</v>
      </c>
      <c r="AO801" t="s">
        <v>15721</v>
      </c>
      <c r="AP801" t="s">
        <v>15722</v>
      </c>
      <c r="AQ801" t="s">
        <v>74</v>
      </c>
      <c r="AR801" t="s">
        <v>15723</v>
      </c>
      <c r="AS801" t="s">
        <v>15724</v>
      </c>
      <c r="AT801" t="s">
        <v>99</v>
      </c>
      <c r="AU801">
        <v>2020</v>
      </c>
      <c r="AV801">
        <v>47</v>
      </c>
      <c r="AW801">
        <v>8</v>
      </c>
      <c r="AX801" t="s">
        <v>74</v>
      </c>
      <c r="AY801" t="s">
        <v>74</v>
      </c>
      <c r="AZ801" t="s">
        <v>74</v>
      </c>
      <c r="BA801" t="s">
        <v>74</v>
      </c>
      <c r="BB801">
        <v>1663</v>
      </c>
      <c r="BC801">
        <v>1673</v>
      </c>
      <c r="BD801" t="s">
        <v>74</v>
      </c>
      <c r="BE801" t="s">
        <v>15725</v>
      </c>
      <c r="BF801" t="str">
        <f>HYPERLINK("http://dx.doi.org/10.1111/jbi.13843","http://dx.doi.org/10.1111/jbi.13843")</f>
        <v>http://dx.doi.org/10.1111/jbi.13843</v>
      </c>
      <c r="BG801" t="s">
        <v>74</v>
      </c>
      <c r="BH801" t="s">
        <v>14775</v>
      </c>
      <c r="BI801">
        <v>11</v>
      </c>
      <c r="BJ801" t="s">
        <v>15726</v>
      </c>
      <c r="BK801" t="s">
        <v>102</v>
      </c>
      <c r="BL801" t="s">
        <v>15727</v>
      </c>
      <c r="BM801" t="s">
        <v>15728</v>
      </c>
      <c r="BN801" t="s">
        <v>74</v>
      </c>
      <c r="BO801" t="s">
        <v>3716</v>
      </c>
      <c r="BP801" t="s">
        <v>74</v>
      </c>
      <c r="BQ801" t="s">
        <v>74</v>
      </c>
      <c r="BR801" t="s">
        <v>106</v>
      </c>
      <c r="BS801" t="s">
        <v>15729</v>
      </c>
      <c r="BT801" t="str">
        <f>HYPERLINK("https%3A%2F%2Fwww.webofscience.com%2Fwos%2Fwoscc%2Ffull-record%2FWOS:000526840000001","View Full Record in Web of Science")</f>
        <v>View Full Record in Web of Science</v>
      </c>
    </row>
    <row r="802" spans="1:72" x14ac:dyDescent="0.15">
      <c r="A802" t="s">
        <v>72</v>
      </c>
      <c r="B802" t="s">
        <v>15730</v>
      </c>
      <c r="C802" t="s">
        <v>74</v>
      </c>
      <c r="D802" t="s">
        <v>74</v>
      </c>
      <c r="E802" t="s">
        <v>74</v>
      </c>
      <c r="F802" t="s">
        <v>15731</v>
      </c>
      <c r="G802" t="s">
        <v>74</v>
      </c>
      <c r="H802" t="s">
        <v>74</v>
      </c>
      <c r="I802" t="s">
        <v>15732</v>
      </c>
      <c r="J802" t="s">
        <v>1783</v>
      </c>
      <c r="K802" t="s">
        <v>74</v>
      </c>
      <c r="L802" t="s">
        <v>74</v>
      </c>
      <c r="M802" t="s">
        <v>78</v>
      </c>
      <c r="N802" t="s">
        <v>79</v>
      </c>
      <c r="O802" t="s">
        <v>74</v>
      </c>
      <c r="P802" t="s">
        <v>74</v>
      </c>
      <c r="Q802" t="s">
        <v>74</v>
      </c>
      <c r="R802" t="s">
        <v>74</v>
      </c>
      <c r="S802" t="s">
        <v>74</v>
      </c>
      <c r="T802" t="s">
        <v>15733</v>
      </c>
      <c r="U802" t="s">
        <v>15734</v>
      </c>
      <c r="V802" t="s">
        <v>15735</v>
      </c>
      <c r="W802" t="s">
        <v>15736</v>
      </c>
      <c r="X802" t="s">
        <v>15737</v>
      </c>
      <c r="Y802" t="s">
        <v>15738</v>
      </c>
      <c r="Z802" t="s">
        <v>15739</v>
      </c>
      <c r="AA802" t="s">
        <v>74</v>
      </c>
      <c r="AB802" t="s">
        <v>74</v>
      </c>
      <c r="AC802" t="s">
        <v>15740</v>
      </c>
      <c r="AD802" t="s">
        <v>15741</v>
      </c>
      <c r="AE802" t="s">
        <v>15742</v>
      </c>
      <c r="AF802" t="s">
        <v>74</v>
      </c>
      <c r="AG802">
        <v>54</v>
      </c>
      <c r="AH802">
        <v>5</v>
      </c>
      <c r="AI802">
        <v>6</v>
      </c>
      <c r="AJ802">
        <v>0</v>
      </c>
      <c r="AK802">
        <v>3</v>
      </c>
      <c r="AL802" t="s">
        <v>1440</v>
      </c>
      <c r="AM802" t="s">
        <v>399</v>
      </c>
      <c r="AN802" t="s">
        <v>1441</v>
      </c>
      <c r="AO802" t="s">
        <v>1796</v>
      </c>
      <c r="AP802" t="s">
        <v>1797</v>
      </c>
      <c r="AQ802" t="s">
        <v>74</v>
      </c>
      <c r="AR802" t="s">
        <v>1798</v>
      </c>
      <c r="AS802" t="s">
        <v>1799</v>
      </c>
      <c r="AT802" t="s">
        <v>11250</v>
      </c>
      <c r="AU802">
        <v>2020</v>
      </c>
      <c r="AV802">
        <v>43</v>
      </c>
      <c r="AW802">
        <v>5</v>
      </c>
      <c r="AX802" t="s">
        <v>74</v>
      </c>
      <c r="AY802" t="s">
        <v>74</v>
      </c>
      <c r="AZ802" t="s">
        <v>74</v>
      </c>
      <c r="BA802" t="s">
        <v>74</v>
      </c>
      <c r="BB802">
        <v>597</v>
      </c>
      <c r="BC802">
        <v>606</v>
      </c>
      <c r="BD802" t="s">
        <v>74</v>
      </c>
      <c r="BE802" t="s">
        <v>15743</v>
      </c>
      <c r="BF802" t="str">
        <f>HYPERLINK("http://dx.doi.org/10.1007/s00300-020-02664-9","http://dx.doi.org/10.1007/s00300-020-02664-9")</f>
        <v>http://dx.doi.org/10.1007/s00300-020-02664-9</v>
      </c>
      <c r="BG802" t="s">
        <v>74</v>
      </c>
      <c r="BH802" t="s">
        <v>14775</v>
      </c>
      <c r="BI802">
        <v>10</v>
      </c>
      <c r="BJ802" t="s">
        <v>1004</v>
      </c>
      <c r="BK802" t="s">
        <v>102</v>
      </c>
      <c r="BL802" t="s">
        <v>1005</v>
      </c>
      <c r="BM802" t="s">
        <v>13979</v>
      </c>
      <c r="BN802" t="s">
        <v>74</v>
      </c>
      <c r="BO802" t="s">
        <v>74</v>
      </c>
      <c r="BP802" t="s">
        <v>74</v>
      </c>
      <c r="BQ802" t="s">
        <v>74</v>
      </c>
      <c r="BR802" t="s">
        <v>106</v>
      </c>
      <c r="BS802" t="s">
        <v>15744</v>
      </c>
      <c r="BT802" t="str">
        <f>HYPERLINK("https%3A%2F%2Fwww.webofscience.com%2Fwos%2Fwoscc%2Ffull-record%2FWOS:000527443100001","View Full Record in Web of Science")</f>
        <v>View Full Record in Web of Science</v>
      </c>
    </row>
    <row r="803" spans="1:72" x14ac:dyDescent="0.15">
      <c r="A803" t="s">
        <v>72</v>
      </c>
      <c r="B803" t="s">
        <v>15745</v>
      </c>
      <c r="C803" t="s">
        <v>74</v>
      </c>
      <c r="D803" t="s">
        <v>74</v>
      </c>
      <c r="E803" t="s">
        <v>74</v>
      </c>
      <c r="F803" t="s">
        <v>15746</v>
      </c>
      <c r="G803" t="s">
        <v>74</v>
      </c>
      <c r="H803" t="s">
        <v>74</v>
      </c>
      <c r="I803" t="s">
        <v>15747</v>
      </c>
      <c r="J803" t="s">
        <v>1783</v>
      </c>
      <c r="K803" t="s">
        <v>74</v>
      </c>
      <c r="L803" t="s">
        <v>74</v>
      </c>
      <c r="M803" t="s">
        <v>78</v>
      </c>
      <c r="N803" t="s">
        <v>79</v>
      </c>
      <c r="O803" t="s">
        <v>74</v>
      </c>
      <c r="P803" t="s">
        <v>74</v>
      </c>
      <c r="Q803" t="s">
        <v>74</v>
      </c>
      <c r="R803" t="s">
        <v>74</v>
      </c>
      <c r="S803" t="s">
        <v>74</v>
      </c>
      <c r="T803" t="s">
        <v>15748</v>
      </c>
      <c r="U803" t="s">
        <v>15749</v>
      </c>
      <c r="V803" t="s">
        <v>15750</v>
      </c>
      <c r="W803" t="s">
        <v>15751</v>
      </c>
      <c r="X803" t="s">
        <v>15752</v>
      </c>
      <c r="Y803" t="s">
        <v>15753</v>
      </c>
      <c r="Z803" t="s">
        <v>15754</v>
      </c>
      <c r="AA803" t="s">
        <v>15755</v>
      </c>
      <c r="AB803" t="s">
        <v>15756</v>
      </c>
      <c r="AC803" t="s">
        <v>74</v>
      </c>
      <c r="AD803" t="s">
        <v>74</v>
      </c>
      <c r="AE803" t="s">
        <v>74</v>
      </c>
      <c r="AF803" t="s">
        <v>74</v>
      </c>
      <c r="AG803">
        <v>75</v>
      </c>
      <c r="AH803">
        <v>2</v>
      </c>
      <c r="AI803">
        <v>3</v>
      </c>
      <c r="AJ803">
        <v>0</v>
      </c>
      <c r="AK803">
        <v>13</v>
      </c>
      <c r="AL803" t="s">
        <v>1440</v>
      </c>
      <c r="AM803" t="s">
        <v>399</v>
      </c>
      <c r="AN803" t="s">
        <v>1441</v>
      </c>
      <c r="AO803" t="s">
        <v>1796</v>
      </c>
      <c r="AP803" t="s">
        <v>1797</v>
      </c>
      <c r="AQ803" t="s">
        <v>74</v>
      </c>
      <c r="AR803" t="s">
        <v>1798</v>
      </c>
      <c r="AS803" t="s">
        <v>1799</v>
      </c>
      <c r="AT803" t="s">
        <v>7663</v>
      </c>
      <c r="AU803">
        <v>2020</v>
      </c>
      <c r="AV803">
        <v>43</v>
      </c>
      <c r="AW803">
        <v>6</v>
      </c>
      <c r="AX803" t="s">
        <v>74</v>
      </c>
      <c r="AY803" t="s">
        <v>74</v>
      </c>
      <c r="AZ803" t="s">
        <v>74</v>
      </c>
      <c r="BA803" t="s">
        <v>74</v>
      </c>
      <c r="BB803">
        <v>665</v>
      </c>
      <c r="BC803">
        <v>677</v>
      </c>
      <c r="BD803" t="s">
        <v>74</v>
      </c>
      <c r="BE803" t="s">
        <v>15757</v>
      </c>
      <c r="BF803" t="str">
        <f>HYPERLINK("http://dx.doi.org/10.1007/s00300-020-02670-x","http://dx.doi.org/10.1007/s00300-020-02670-x")</f>
        <v>http://dx.doi.org/10.1007/s00300-020-02670-x</v>
      </c>
      <c r="BG803" t="s">
        <v>74</v>
      </c>
      <c r="BH803" t="s">
        <v>14775</v>
      </c>
      <c r="BI803">
        <v>13</v>
      </c>
      <c r="BJ803" t="s">
        <v>1004</v>
      </c>
      <c r="BK803" t="s">
        <v>102</v>
      </c>
      <c r="BL803" t="s">
        <v>1005</v>
      </c>
      <c r="BM803" t="s">
        <v>12163</v>
      </c>
      <c r="BN803" t="s">
        <v>74</v>
      </c>
      <c r="BO803" t="s">
        <v>976</v>
      </c>
      <c r="BP803" t="s">
        <v>74</v>
      </c>
      <c r="BQ803" t="s">
        <v>74</v>
      </c>
      <c r="BR803" t="s">
        <v>106</v>
      </c>
      <c r="BS803" t="s">
        <v>15758</v>
      </c>
      <c r="BT803" t="str">
        <f>HYPERLINK("https%3A%2F%2Fwww.webofscience.com%2Fwos%2Fwoscc%2Ffull-record%2FWOS:000527443100002","View Full Record in Web of Science")</f>
        <v>View Full Record in Web of Science</v>
      </c>
    </row>
    <row r="804" spans="1:72" x14ac:dyDescent="0.15">
      <c r="A804" t="s">
        <v>72</v>
      </c>
      <c r="B804" t="s">
        <v>15759</v>
      </c>
      <c r="C804" t="s">
        <v>74</v>
      </c>
      <c r="D804" t="s">
        <v>74</v>
      </c>
      <c r="E804" t="s">
        <v>74</v>
      </c>
      <c r="F804" t="s">
        <v>15760</v>
      </c>
      <c r="G804" t="s">
        <v>74</v>
      </c>
      <c r="H804" t="s">
        <v>74</v>
      </c>
      <c r="I804" t="s">
        <v>15761</v>
      </c>
      <c r="J804" t="s">
        <v>15762</v>
      </c>
      <c r="K804" t="s">
        <v>74</v>
      </c>
      <c r="L804" t="s">
        <v>74</v>
      </c>
      <c r="M804" t="s">
        <v>78</v>
      </c>
      <c r="N804" t="s">
        <v>245</v>
      </c>
      <c r="O804" t="s">
        <v>74</v>
      </c>
      <c r="P804" t="s">
        <v>74</v>
      </c>
      <c r="Q804" t="s">
        <v>74</v>
      </c>
      <c r="R804" t="s">
        <v>74</v>
      </c>
      <c r="S804" t="s">
        <v>74</v>
      </c>
      <c r="T804" t="s">
        <v>15763</v>
      </c>
      <c r="U804" t="s">
        <v>15764</v>
      </c>
      <c r="V804" t="s">
        <v>15765</v>
      </c>
      <c r="W804" t="s">
        <v>15766</v>
      </c>
      <c r="X804" t="s">
        <v>11442</v>
      </c>
      <c r="Y804" t="s">
        <v>15767</v>
      </c>
      <c r="Z804" t="s">
        <v>15768</v>
      </c>
      <c r="AA804" t="s">
        <v>15769</v>
      </c>
      <c r="AB804" t="s">
        <v>15770</v>
      </c>
      <c r="AC804" t="s">
        <v>15771</v>
      </c>
      <c r="AD804" t="s">
        <v>15772</v>
      </c>
      <c r="AE804" t="s">
        <v>15773</v>
      </c>
      <c r="AF804" t="s">
        <v>74</v>
      </c>
      <c r="AG804">
        <v>41</v>
      </c>
      <c r="AH804">
        <v>15</v>
      </c>
      <c r="AI804">
        <v>16</v>
      </c>
      <c r="AJ804">
        <v>5</v>
      </c>
      <c r="AK804">
        <v>32</v>
      </c>
      <c r="AL804" t="s">
        <v>1321</v>
      </c>
      <c r="AM804" t="s">
        <v>1322</v>
      </c>
      <c r="AN804" t="s">
        <v>1323</v>
      </c>
      <c r="AO804" t="s">
        <v>15774</v>
      </c>
      <c r="AP804" t="s">
        <v>15775</v>
      </c>
      <c r="AQ804" t="s">
        <v>74</v>
      </c>
      <c r="AR804" t="s">
        <v>15776</v>
      </c>
      <c r="AS804" t="s">
        <v>15777</v>
      </c>
      <c r="AT804" t="s">
        <v>15778</v>
      </c>
      <c r="AU804">
        <v>2020</v>
      </c>
      <c r="AV804">
        <v>24</v>
      </c>
      <c r="AW804">
        <v>3</v>
      </c>
      <c r="AX804" t="s">
        <v>74</v>
      </c>
      <c r="AY804" t="s">
        <v>74</v>
      </c>
      <c r="AZ804" t="s">
        <v>74</v>
      </c>
      <c r="BA804" t="s">
        <v>74</v>
      </c>
      <c r="BB804" t="s">
        <v>74</v>
      </c>
      <c r="BC804" t="s">
        <v>74</v>
      </c>
      <c r="BD804">
        <v>68</v>
      </c>
      <c r="BE804" t="s">
        <v>15779</v>
      </c>
      <c r="BF804" t="str">
        <f>HYPERLINK("http://dx.doi.org/10.1007/s10291-020-00981-4","http://dx.doi.org/10.1007/s10291-020-00981-4")</f>
        <v>http://dx.doi.org/10.1007/s10291-020-00981-4</v>
      </c>
      <c r="BG804" t="s">
        <v>74</v>
      </c>
      <c r="BH804" t="s">
        <v>74</v>
      </c>
      <c r="BI804">
        <v>19</v>
      </c>
      <c r="BJ804" t="s">
        <v>15780</v>
      </c>
      <c r="BK804" t="s">
        <v>102</v>
      </c>
      <c r="BL804" t="s">
        <v>15780</v>
      </c>
      <c r="BM804" t="s">
        <v>15781</v>
      </c>
      <c r="BN804" t="s">
        <v>74</v>
      </c>
      <c r="BO804" t="s">
        <v>74</v>
      </c>
      <c r="BP804" t="s">
        <v>74</v>
      </c>
      <c r="BQ804" t="s">
        <v>74</v>
      </c>
      <c r="BR804" t="s">
        <v>106</v>
      </c>
      <c r="BS804" t="s">
        <v>15782</v>
      </c>
      <c r="BT804" t="str">
        <f>HYPERLINK("https%3A%2F%2Fwww.webofscience.com%2Fwos%2Fwoscc%2Ffull-record%2FWOS:000526534400001","View Full Record in Web of Science")</f>
        <v>View Full Record in Web of Science</v>
      </c>
    </row>
    <row r="805" spans="1:72" x14ac:dyDescent="0.15">
      <c r="A805" t="s">
        <v>72</v>
      </c>
      <c r="B805" t="s">
        <v>15783</v>
      </c>
      <c r="C805" t="s">
        <v>74</v>
      </c>
      <c r="D805" t="s">
        <v>74</v>
      </c>
      <c r="E805" t="s">
        <v>74</v>
      </c>
      <c r="F805" t="s">
        <v>15784</v>
      </c>
      <c r="G805" t="s">
        <v>74</v>
      </c>
      <c r="H805" t="s">
        <v>74</v>
      </c>
      <c r="I805" t="s">
        <v>15785</v>
      </c>
      <c r="J805" t="s">
        <v>2456</v>
      </c>
      <c r="K805" t="s">
        <v>74</v>
      </c>
      <c r="L805" t="s">
        <v>74</v>
      </c>
      <c r="M805" t="s">
        <v>78</v>
      </c>
      <c r="N805" t="s">
        <v>79</v>
      </c>
      <c r="O805" t="s">
        <v>74</v>
      </c>
      <c r="P805" t="s">
        <v>74</v>
      </c>
      <c r="Q805" t="s">
        <v>74</v>
      </c>
      <c r="R805" t="s">
        <v>74</v>
      </c>
      <c r="S805" t="s">
        <v>74</v>
      </c>
      <c r="T805" t="s">
        <v>15786</v>
      </c>
      <c r="U805" t="s">
        <v>15787</v>
      </c>
      <c r="V805" t="s">
        <v>15788</v>
      </c>
      <c r="W805" t="s">
        <v>15789</v>
      </c>
      <c r="X805" t="s">
        <v>15790</v>
      </c>
      <c r="Y805" t="s">
        <v>15791</v>
      </c>
      <c r="Z805" t="s">
        <v>15792</v>
      </c>
      <c r="AA805" t="s">
        <v>15793</v>
      </c>
      <c r="AB805" t="s">
        <v>15794</v>
      </c>
      <c r="AC805" t="s">
        <v>15795</v>
      </c>
      <c r="AD805" t="s">
        <v>15796</v>
      </c>
      <c r="AE805" t="s">
        <v>15797</v>
      </c>
      <c r="AF805" t="s">
        <v>74</v>
      </c>
      <c r="AG805">
        <v>63</v>
      </c>
      <c r="AH805">
        <v>4</v>
      </c>
      <c r="AI805">
        <v>5</v>
      </c>
      <c r="AJ805">
        <v>0</v>
      </c>
      <c r="AK805">
        <v>9</v>
      </c>
      <c r="AL805" t="s">
        <v>1024</v>
      </c>
      <c r="AM805" t="s">
        <v>1025</v>
      </c>
      <c r="AN805" t="s">
        <v>1026</v>
      </c>
      <c r="AO805" t="s">
        <v>74</v>
      </c>
      <c r="AP805" t="s">
        <v>2469</v>
      </c>
      <c r="AQ805" t="s">
        <v>74</v>
      </c>
      <c r="AR805" t="s">
        <v>2470</v>
      </c>
      <c r="AS805" t="s">
        <v>2471</v>
      </c>
      <c r="AT805" t="s">
        <v>15798</v>
      </c>
      <c r="AU805">
        <v>2020</v>
      </c>
      <c r="AV805">
        <v>8</v>
      </c>
      <c r="AW805" t="s">
        <v>74</v>
      </c>
      <c r="AX805" t="s">
        <v>74</v>
      </c>
      <c r="AY805" t="s">
        <v>74</v>
      </c>
      <c r="AZ805" t="s">
        <v>74</v>
      </c>
      <c r="BA805" t="s">
        <v>74</v>
      </c>
      <c r="BB805" t="s">
        <v>74</v>
      </c>
      <c r="BC805" t="s">
        <v>74</v>
      </c>
      <c r="BD805">
        <v>101</v>
      </c>
      <c r="BE805" t="s">
        <v>15799</v>
      </c>
      <c r="BF805" t="str">
        <f>HYPERLINK("http://dx.doi.org/10.3389/feart.2020.00101","http://dx.doi.org/10.3389/feart.2020.00101")</f>
        <v>http://dx.doi.org/10.3389/feart.2020.00101</v>
      </c>
      <c r="BG805" t="s">
        <v>74</v>
      </c>
      <c r="BH805" t="s">
        <v>74</v>
      </c>
      <c r="BI805">
        <v>15</v>
      </c>
      <c r="BJ805" t="s">
        <v>471</v>
      </c>
      <c r="BK805" t="s">
        <v>102</v>
      </c>
      <c r="BL805" t="s">
        <v>472</v>
      </c>
      <c r="BM805" t="s">
        <v>15800</v>
      </c>
      <c r="BN805" t="s">
        <v>74</v>
      </c>
      <c r="BO805" t="s">
        <v>1778</v>
      </c>
      <c r="BP805" t="s">
        <v>74</v>
      </c>
      <c r="BQ805" t="s">
        <v>74</v>
      </c>
      <c r="BR805" t="s">
        <v>106</v>
      </c>
      <c r="BS805" t="s">
        <v>15801</v>
      </c>
      <c r="BT805" t="str">
        <f>HYPERLINK("https%3A%2F%2Fwww.webofscience.com%2Fwos%2Fwoscc%2Ffull-record%2FWOS:000531236000001","View Full Record in Web of Science")</f>
        <v>View Full Record in Web of Science</v>
      </c>
    </row>
    <row r="806" spans="1:72" x14ac:dyDescent="0.15">
      <c r="A806" t="s">
        <v>72</v>
      </c>
      <c r="B806" t="s">
        <v>15802</v>
      </c>
      <c r="C806" t="s">
        <v>74</v>
      </c>
      <c r="D806" t="s">
        <v>74</v>
      </c>
      <c r="E806" t="s">
        <v>74</v>
      </c>
      <c r="F806" t="s">
        <v>15803</v>
      </c>
      <c r="G806" t="s">
        <v>74</v>
      </c>
      <c r="H806" t="s">
        <v>74</v>
      </c>
      <c r="I806" t="s">
        <v>15804</v>
      </c>
      <c r="J806" t="s">
        <v>2051</v>
      </c>
      <c r="K806" t="s">
        <v>74</v>
      </c>
      <c r="L806" t="s">
        <v>74</v>
      </c>
      <c r="M806" t="s">
        <v>78</v>
      </c>
      <c r="N806" t="s">
        <v>79</v>
      </c>
      <c r="O806" t="s">
        <v>74</v>
      </c>
      <c r="P806" t="s">
        <v>74</v>
      </c>
      <c r="Q806" t="s">
        <v>74</v>
      </c>
      <c r="R806" t="s">
        <v>74</v>
      </c>
      <c r="S806" t="s">
        <v>74</v>
      </c>
      <c r="T806" t="s">
        <v>74</v>
      </c>
      <c r="U806" t="s">
        <v>15805</v>
      </c>
      <c r="V806" t="s">
        <v>15806</v>
      </c>
      <c r="W806" t="s">
        <v>15807</v>
      </c>
      <c r="X806" t="s">
        <v>15808</v>
      </c>
      <c r="Y806" t="s">
        <v>15809</v>
      </c>
      <c r="Z806" t="s">
        <v>3472</v>
      </c>
      <c r="AA806" t="s">
        <v>15810</v>
      </c>
      <c r="AB806" t="s">
        <v>15811</v>
      </c>
      <c r="AC806" t="s">
        <v>15812</v>
      </c>
      <c r="AD806" t="s">
        <v>15813</v>
      </c>
      <c r="AE806" t="s">
        <v>15814</v>
      </c>
      <c r="AF806" t="s">
        <v>74</v>
      </c>
      <c r="AG806">
        <v>82</v>
      </c>
      <c r="AH806">
        <v>18</v>
      </c>
      <c r="AI806">
        <v>18</v>
      </c>
      <c r="AJ806">
        <v>5</v>
      </c>
      <c r="AK806">
        <v>23</v>
      </c>
      <c r="AL806" t="s">
        <v>1049</v>
      </c>
      <c r="AM806" t="s">
        <v>1050</v>
      </c>
      <c r="AN806" t="s">
        <v>1051</v>
      </c>
      <c r="AO806" t="s">
        <v>2063</v>
      </c>
      <c r="AP806" t="s">
        <v>2064</v>
      </c>
      <c r="AQ806" t="s">
        <v>74</v>
      </c>
      <c r="AR806" t="s">
        <v>2065</v>
      </c>
      <c r="AS806" t="s">
        <v>2066</v>
      </c>
      <c r="AT806" t="s">
        <v>15798</v>
      </c>
      <c r="AU806">
        <v>2020</v>
      </c>
      <c r="AV806">
        <v>20</v>
      </c>
      <c r="AW806">
        <v>7</v>
      </c>
      <c r="AX806" t="s">
        <v>74</v>
      </c>
      <c r="AY806" t="s">
        <v>74</v>
      </c>
      <c r="AZ806" t="s">
        <v>74</v>
      </c>
      <c r="BA806" t="s">
        <v>74</v>
      </c>
      <c r="BB806">
        <v>4461</v>
      </c>
      <c r="BC806">
        <v>4476</v>
      </c>
      <c r="BD806" t="s">
        <v>74</v>
      </c>
      <c r="BE806" t="s">
        <v>15815</v>
      </c>
      <c r="BF806" t="str">
        <f>HYPERLINK("http://dx.doi.org/10.5194/acp-20-4461-2020","http://dx.doi.org/10.5194/acp-20-4461-2020")</f>
        <v>http://dx.doi.org/10.5194/acp-20-4461-2020</v>
      </c>
      <c r="BG806" t="s">
        <v>74</v>
      </c>
      <c r="BH806" t="s">
        <v>74</v>
      </c>
      <c r="BI806">
        <v>16</v>
      </c>
      <c r="BJ806" t="s">
        <v>2068</v>
      </c>
      <c r="BK806" t="s">
        <v>102</v>
      </c>
      <c r="BL806" t="s">
        <v>2069</v>
      </c>
      <c r="BM806" t="s">
        <v>15816</v>
      </c>
      <c r="BN806" t="s">
        <v>74</v>
      </c>
      <c r="BO806" t="s">
        <v>2089</v>
      </c>
      <c r="BP806" t="s">
        <v>74</v>
      </c>
      <c r="BQ806" t="s">
        <v>74</v>
      </c>
      <c r="BR806" t="s">
        <v>106</v>
      </c>
      <c r="BS806" t="s">
        <v>15817</v>
      </c>
      <c r="BT806" t="str">
        <f>HYPERLINK("https%3A%2F%2Fwww.webofscience.com%2Fwos%2Fwoscc%2Ffull-record%2FWOS:000527802200003","View Full Record in Web of Science")</f>
        <v>View Full Record in Web of Science</v>
      </c>
    </row>
    <row r="807" spans="1:72" x14ac:dyDescent="0.15">
      <c r="A807" t="s">
        <v>72</v>
      </c>
      <c r="B807" t="s">
        <v>15818</v>
      </c>
      <c r="C807" t="s">
        <v>74</v>
      </c>
      <c r="D807" t="s">
        <v>74</v>
      </c>
      <c r="E807" t="s">
        <v>74</v>
      </c>
      <c r="F807" t="s">
        <v>15819</v>
      </c>
      <c r="G807" t="s">
        <v>74</v>
      </c>
      <c r="H807" t="s">
        <v>74</v>
      </c>
      <c r="I807" t="s">
        <v>15820</v>
      </c>
      <c r="J807" t="s">
        <v>15821</v>
      </c>
      <c r="K807" t="s">
        <v>74</v>
      </c>
      <c r="L807" t="s">
        <v>74</v>
      </c>
      <c r="M807" t="s">
        <v>78</v>
      </c>
      <c r="N807" t="s">
        <v>79</v>
      </c>
      <c r="O807" t="s">
        <v>74</v>
      </c>
      <c r="P807" t="s">
        <v>74</v>
      </c>
      <c r="Q807" t="s">
        <v>74</v>
      </c>
      <c r="R807" t="s">
        <v>74</v>
      </c>
      <c r="S807" t="s">
        <v>74</v>
      </c>
      <c r="T807" t="s">
        <v>15822</v>
      </c>
      <c r="U807" t="s">
        <v>15823</v>
      </c>
      <c r="V807" t="s">
        <v>15824</v>
      </c>
      <c r="W807" t="s">
        <v>15825</v>
      </c>
      <c r="X807" t="s">
        <v>15826</v>
      </c>
      <c r="Y807" t="s">
        <v>15827</v>
      </c>
      <c r="Z807" t="s">
        <v>15828</v>
      </c>
      <c r="AA807" t="s">
        <v>15829</v>
      </c>
      <c r="AB807" t="s">
        <v>15830</v>
      </c>
      <c r="AC807" t="s">
        <v>15831</v>
      </c>
      <c r="AD807" t="s">
        <v>15832</v>
      </c>
      <c r="AE807" t="s">
        <v>15833</v>
      </c>
      <c r="AF807" t="s">
        <v>74</v>
      </c>
      <c r="AG807">
        <v>21</v>
      </c>
      <c r="AH807">
        <v>9</v>
      </c>
      <c r="AI807">
        <v>9</v>
      </c>
      <c r="AJ807">
        <v>8</v>
      </c>
      <c r="AK807">
        <v>18</v>
      </c>
      <c r="AL807" t="s">
        <v>15834</v>
      </c>
      <c r="AM807" t="s">
        <v>15835</v>
      </c>
      <c r="AN807" t="s">
        <v>15836</v>
      </c>
      <c r="AO807" t="s">
        <v>15837</v>
      </c>
      <c r="AP807" t="s">
        <v>74</v>
      </c>
      <c r="AQ807" t="s">
        <v>74</v>
      </c>
      <c r="AR807" t="s">
        <v>15838</v>
      </c>
      <c r="AS807" t="s">
        <v>15839</v>
      </c>
      <c r="AT807" t="s">
        <v>15798</v>
      </c>
      <c r="AU807">
        <v>2020</v>
      </c>
      <c r="AV807">
        <v>10</v>
      </c>
      <c r="AW807" t="s">
        <v>74</v>
      </c>
      <c r="AX807" t="s">
        <v>74</v>
      </c>
      <c r="AY807" t="s">
        <v>74</v>
      </c>
      <c r="AZ807" t="s">
        <v>74</v>
      </c>
      <c r="BA807" t="s">
        <v>74</v>
      </c>
      <c r="BB807" t="s">
        <v>74</v>
      </c>
      <c r="BC807" t="s">
        <v>74</v>
      </c>
      <c r="BD807">
        <v>14</v>
      </c>
      <c r="BE807" t="s">
        <v>15840</v>
      </c>
      <c r="BF807" t="str">
        <f>HYPERLINK("http://dx.doi.org/10.1051/swsc/2020012","http://dx.doi.org/10.1051/swsc/2020012")</f>
        <v>http://dx.doi.org/10.1051/swsc/2020012</v>
      </c>
      <c r="BG807" t="s">
        <v>74</v>
      </c>
      <c r="BH807" t="s">
        <v>74</v>
      </c>
      <c r="BI807">
        <v>23</v>
      </c>
      <c r="BJ807" t="s">
        <v>9097</v>
      </c>
      <c r="BK807" t="s">
        <v>102</v>
      </c>
      <c r="BL807" t="s">
        <v>9097</v>
      </c>
      <c r="BM807" t="s">
        <v>15841</v>
      </c>
      <c r="BN807" t="s">
        <v>74</v>
      </c>
      <c r="BO807" t="s">
        <v>1034</v>
      </c>
      <c r="BP807" t="s">
        <v>74</v>
      </c>
      <c r="BQ807" t="s">
        <v>74</v>
      </c>
      <c r="BR807" t="s">
        <v>106</v>
      </c>
      <c r="BS807" t="s">
        <v>15842</v>
      </c>
      <c r="BT807" t="str">
        <f>HYPERLINK("https%3A%2F%2Fwww.webofscience.com%2Fwos%2Fwoscc%2Ffull-record%2FWOS:000528594300002","View Full Record in Web of Science")</f>
        <v>View Full Record in Web of Science</v>
      </c>
    </row>
    <row r="808" spans="1:72" x14ac:dyDescent="0.15">
      <c r="A808" t="s">
        <v>72</v>
      </c>
      <c r="B808" t="s">
        <v>15843</v>
      </c>
      <c r="C808" t="s">
        <v>74</v>
      </c>
      <c r="D808" t="s">
        <v>74</v>
      </c>
      <c r="E808" t="s">
        <v>74</v>
      </c>
      <c r="F808" t="s">
        <v>15844</v>
      </c>
      <c r="G808" t="s">
        <v>74</v>
      </c>
      <c r="H808" t="s">
        <v>74</v>
      </c>
      <c r="I808" t="s">
        <v>15845</v>
      </c>
      <c r="J808" t="s">
        <v>5711</v>
      </c>
      <c r="K808" t="s">
        <v>74</v>
      </c>
      <c r="L808" t="s">
        <v>74</v>
      </c>
      <c r="M808" t="s">
        <v>78</v>
      </c>
      <c r="N808" t="s">
        <v>79</v>
      </c>
      <c r="O808" t="s">
        <v>74</v>
      </c>
      <c r="P808" t="s">
        <v>74</v>
      </c>
      <c r="Q808" t="s">
        <v>74</v>
      </c>
      <c r="R808" t="s">
        <v>74</v>
      </c>
      <c r="S808" t="s">
        <v>74</v>
      </c>
      <c r="T808" t="s">
        <v>74</v>
      </c>
      <c r="U808" t="s">
        <v>15846</v>
      </c>
      <c r="V808" t="s">
        <v>15847</v>
      </c>
      <c r="W808" t="s">
        <v>15848</v>
      </c>
      <c r="X808" t="s">
        <v>15849</v>
      </c>
      <c r="Y808" t="s">
        <v>15850</v>
      </c>
      <c r="Z808" t="s">
        <v>15851</v>
      </c>
      <c r="AA808" t="s">
        <v>15852</v>
      </c>
      <c r="AB808" t="s">
        <v>15853</v>
      </c>
      <c r="AC808" t="s">
        <v>15854</v>
      </c>
      <c r="AD808" t="s">
        <v>15855</v>
      </c>
      <c r="AE808" t="s">
        <v>15856</v>
      </c>
      <c r="AF808" t="s">
        <v>74</v>
      </c>
      <c r="AG808">
        <v>50</v>
      </c>
      <c r="AH808">
        <v>11</v>
      </c>
      <c r="AI808">
        <v>11</v>
      </c>
      <c r="AJ808">
        <v>3</v>
      </c>
      <c r="AK808">
        <v>13</v>
      </c>
      <c r="AL808" t="s">
        <v>1049</v>
      </c>
      <c r="AM808" t="s">
        <v>1050</v>
      </c>
      <c r="AN808" t="s">
        <v>1051</v>
      </c>
      <c r="AO808" t="s">
        <v>5723</v>
      </c>
      <c r="AP808" t="s">
        <v>5724</v>
      </c>
      <c r="AQ808" t="s">
        <v>74</v>
      </c>
      <c r="AR808" t="s">
        <v>5725</v>
      </c>
      <c r="AS808" t="s">
        <v>5726</v>
      </c>
      <c r="AT808" t="s">
        <v>15798</v>
      </c>
      <c r="AU808">
        <v>2020</v>
      </c>
      <c r="AV808">
        <v>13</v>
      </c>
      <c r="AW808">
        <v>4</v>
      </c>
      <c r="AX808" t="s">
        <v>74</v>
      </c>
      <c r="AY808" t="s">
        <v>74</v>
      </c>
      <c r="AZ808" t="s">
        <v>74</v>
      </c>
      <c r="BA808" t="s">
        <v>74</v>
      </c>
      <c r="BB808">
        <v>1937</v>
      </c>
      <c r="BC808">
        <v>1952</v>
      </c>
      <c r="BD808" t="s">
        <v>74</v>
      </c>
      <c r="BE808" t="s">
        <v>15857</v>
      </c>
      <c r="BF808" t="str">
        <f>HYPERLINK("http://dx.doi.org/10.5194/amt-13-1937-2020","http://dx.doi.org/10.5194/amt-13-1937-2020")</f>
        <v>http://dx.doi.org/10.5194/amt-13-1937-2020</v>
      </c>
      <c r="BG808" t="s">
        <v>74</v>
      </c>
      <c r="BH808" t="s">
        <v>74</v>
      </c>
      <c r="BI808">
        <v>16</v>
      </c>
      <c r="BJ808" t="s">
        <v>159</v>
      </c>
      <c r="BK808" t="s">
        <v>102</v>
      </c>
      <c r="BL808" t="s">
        <v>159</v>
      </c>
      <c r="BM808" t="s">
        <v>15858</v>
      </c>
      <c r="BN808" t="s">
        <v>74</v>
      </c>
      <c r="BO808" t="s">
        <v>1352</v>
      </c>
      <c r="BP808" t="s">
        <v>74</v>
      </c>
      <c r="BQ808" t="s">
        <v>74</v>
      </c>
      <c r="BR808" t="s">
        <v>106</v>
      </c>
      <c r="BS808" t="s">
        <v>15859</v>
      </c>
      <c r="BT808" t="str">
        <f>HYPERLINK("https%3A%2F%2Fwww.webofscience.com%2Fwos%2Fwoscc%2Ffull-record%2FWOS:000527801200001","View Full Record in Web of Science")</f>
        <v>View Full Record in Web of Science</v>
      </c>
    </row>
    <row r="809" spans="1:72" x14ac:dyDescent="0.15">
      <c r="A809" t="s">
        <v>72</v>
      </c>
      <c r="B809" t="s">
        <v>15860</v>
      </c>
      <c r="C809" t="s">
        <v>74</v>
      </c>
      <c r="D809" t="s">
        <v>74</v>
      </c>
      <c r="E809" t="s">
        <v>74</v>
      </c>
      <c r="F809" t="s">
        <v>15861</v>
      </c>
      <c r="G809" t="s">
        <v>74</v>
      </c>
      <c r="H809" t="s">
        <v>74</v>
      </c>
      <c r="I809" t="s">
        <v>15862</v>
      </c>
      <c r="J809" t="s">
        <v>1505</v>
      </c>
      <c r="K809" t="s">
        <v>74</v>
      </c>
      <c r="L809" t="s">
        <v>74</v>
      </c>
      <c r="M809" t="s">
        <v>78</v>
      </c>
      <c r="N809" t="s">
        <v>79</v>
      </c>
      <c r="O809" t="s">
        <v>74</v>
      </c>
      <c r="P809" t="s">
        <v>74</v>
      </c>
      <c r="Q809" t="s">
        <v>74</v>
      </c>
      <c r="R809" t="s">
        <v>74</v>
      </c>
      <c r="S809" t="s">
        <v>74</v>
      </c>
      <c r="T809" t="s">
        <v>15863</v>
      </c>
      <c r="U809" t="s">
        <v>15864</v>
      </c>
      <c r="V809" t="s">
        <v>15865</v>
      </c>
      <c r="W809" t="s">
        <v>15866</v>
      </c>
      <c r="X809" t="s">
        <v>15867</v>
      </c>
      <c r="Y809" t="s">
        <v>15868</v>
      </c>
      <c r="Z809" t="s">
        <v>15869</v>
      </c>
      <c r="AA809" t="s">
        <v>15870</v>
      </c>
      <c r="AB809" t="s">
        <v>15871</v>
      </c>
      <c r="AC809" t="s">
        <v>15872</v>
      </c>
      <c r="AD809" t="s">
        <v>15873</v>
      </c>
      <c r="AE809" t="s">
        <v>15874</v>
      </c>
      <c r="AF809" t="s">
        <v>74</v>
      </c>
      <c r="AG809">
        <v>38</v>
      </c>
      <c r="AH809">
        <v>10</v>
      </c>
      <c r="AI809">
        <v>10</v>
      </c>
      <c r="AJ809">
        <v>1</v>
      </c>
      <c r="AK809">
        <v>3</v>
      </c>
      <c r="AL809" t="s">
        <v>151</v>
      </c>
      <c r="AM809" t="s">
        <v>152</v>
      </c>
      <c r="AN809" t="s">
        <v>153</v>
      </c>
      <c r="AO809" t="s">
        <v>1517</v>
      </c>
      <c r="AP809" t="s">
        <v>1518</v>
      </c>
      <c r="AQ809" t="s">
        <v>74</v>
      </c>
      <c r="AR809" t="s">
        <v>1519</v>
      </c>
      <c r="AS809" t="s">
        <v>1520</v>
      </c>
      <c r="AT809" t="s">
        <v>15875</v>
      </c>
      <c r="AU809">
        <v>2020</v>
      </c>
      <c r="AV809">
        <v>47</v>
      </c>
      <c r="AW809">
        <v>7</v>
      </c>
      <c r="AX809" t="s">
        <v>74</v>
      </c>
      <c r="AY809" t="s">
        <v>74</v>
      </c>
      <c r="AZ809" t="s">
        <v>74</v>
      </c>
      <c r="BA809" t="s">
        <v>74</v>
      </c>
      <c r="BB809" t="s">
        <v>74</v>
      </c>
      <c r="BC809" t="s">
        <v>74</v>
      </c>
      <c r="BD809" t="s">
        <v>15876</v>
      </c>
      <c r="BE809" t="s">
        <v>15877</v>
      </c>
      <c r="BF809" t="str">
        <f>HYPERLINK("http://dx.doi.org/10.1029/2019GL086599","http://dx.doi.org/10.1029/2019GL086599")</f>
        <v>http://dx.doi.org/10.1029/2019GL086599</v>
      </c>
      <c r="BG809" t="s">
        <v>74</v>
      </c>
      <c r="BH809" t="s">
        <v>74</v>
      </c>
      <c r="BI809">
        <v>10</v>
      </c>
      <c r="BJ809" t="s">
        <v>471</v>
      </c>
      <c r="BK809" t="s">
        <v>102</v>
      </c>
      <c r="BL809" t="s">
        <v>472</v>
      </c>
      <c r="BM809" t="s">
        <v>15878</v>
      </c>
      <c r="BN809" t="s">
        <v>74</v>
      </c>
      <c r="BO809" t="s">
        <v>15879</v>
      </c>
      <c r="BP809" t="s">
        <v>74</v>
      </c>
      <c r="BQ809" t="s">
        <v>74</v>
      </c>
      <c r="BR809" t="s">
        <v>106</v>
      </c>
      <c r="BS809" t="s">
        <v>15880</v>
      </c>
      <c r="BT809" t="str">
        <f>HYPERLINK("https%3A%2F%2Fwww.webofscience.com%2Fwos%2Fwoscc%2Ffull-record%2FWOS:000560367600013","View Full Record in Web of Science")</f>
        <v>View Full Record in Web of Science</v>
      </c>
    </row>
    <row r="810" spans="1:72" x14ac:dyDescent="0.15">
      <c r="A810" t="s">
        <v>72</v>
      </c>
      <c r="B810" t="s">
        <v>15881</v>
      </c>
      <c r="C810" t="s">
        <v>74</v>
      </c>
      <c r="D810" t="s">
        <v>74</v>
      </c>
      <c r="E810" t="s">
        <v>74</v>
      </c>
      <c r="F810" t="s">
        <v>15882</v>
      </c>
      <c r="G810" t="s">
        <v>74</v>
      </c>
      <c r="H810" t="s">
        <v>74</v>
      </c>
      <c r="I810" t="s">
        <v>15883</v>
      </c>
      <c r="J810" t="s">
        <v>1505</v>
      </c>
      <c r="K810" t="s">
        <v>74</v>
      </c>
      <c r="L810" t="s">
        <v>74</v>
      </c>
      <c r="M810" t="s">
        <v>78</v>
      </c>
      <c r="N810" t="s">
        <v>79</v>
      </c>
      <c r="O810" t="s">
        <v>74</v>
      </c>
      <c r="P810" t="s">
        <v>74</v>
      </c>
      <c r="Q810" t="s">
        <v>74</v>
      </c>
      <c r="R810" t="s">
        <v>74</v>
      </c>
      <c r="S810" t="s">
        <v>74</v>
      </c>
      <c r="T810" t="s">
        <v>15884</v>
      </c>
      <c r="U810" t="s">
        <v>15885</v>
      </c>
      <c r="V810" t="s">
        <v>15886</v>
      </c>
      <c r="W810" t="s">
        <v>15887</v>
      </c>
      <c r="X810" t="s">
        <v>15888</v>
      </c>
      <c r="Y810" t="s">
        <v>15889</v>
      </c>
      <c r="Z810" t="s">
        <v>15890</v>
      </c>
      <c r="AA810" t="s">
        <v>15891</v>
      </c>
      <c r="AB810" t="s">
        <v>15892</v>
      </c>
      <c r="AC810" t="s">
        <v>15893</v>
      </c>
      <c r="AD810" t="s">
        <v>15894</v>
      </c>
      <c r="AE810" t="s">
        <v>15895</v>
      </c>
      <c r="AF810" t="s">
        <v>74</v>
      </c>
      <c r="AG810">
        <v>68</v>
      </c>
      <c r="AH810">
        <v>14</v>
      </c>
      <c r="AI810">
        <v>14</v>
      </c>
      <c r="AJ810">
        <v>3</v>
      </c>
      <c r="AK810">
        <v>19</v>
      </c>
      <c r="AL810" t="s">
        <v>151</v>
      </c>
      <c r="AM810" t="s">
        <v>152</v>
      </c>
      <c r="AN810" t="s">
        <v>153</v>
      </c>
      <c r="AO810" t="s">
        <v>1517</v>
      </c>
      <c r="AP810" t="s">
        <v>1518</v>
      </c>
      <c r="AQ810" t="s">
        <v>74</v>
      </c>
      <c r="AR810" t="s">
        <v>1519</v>
      </c>
      <c r="AS810" t="s">
        <v>1520</v>
      </c>
      <c r="AT810" t="s">
        <v>15875</v>
      </c>
      <c r="AU810">
        <v>2020</v>
      </c>
      <c r="AV810">
        <v>47</v>
      </c>
      <c r="AW810">
        <v>7</v>
      </c>
      <c r="AX810" t="s">
        <v>74</v>
      </c>
      <c r="AY810" t="s">
        <v>74</v>
      </c>
      <c r="AZ810" t="s">
        <v>74</v>
      </c>
      <c r="BA810" t="s">
        <v>74</v>
      </c>
      <c r="BB810" t="s">
        <v>74</v>
      </c>
      <c r="BC810" t="s">
        <v>74</v>
      </c>
      <c r="BD810" t="s">
        <v>15896</v>
      </c>
      <c r="BE810" t="s">
        <v>15897</v>
      </c>
      <c r="BF810" t="str">
        <f>HYPERLINK("http://dx.doi.org/10.1029/2019GL086685","http://dx.doi.org/10.1029/2019GL086685")</f>
        <v>http://dx.doi.org/10.1029/2019GL086685</v>
      </c>
      <c r="BG810" t="s">
        <v>74</v>
      </c>
      <c r="BH810" t="s">
        <v>74</v>
      </c>
      <c r="BI810">
        <v>11</v>
      </c>
      <c r="BJ810" t="s">
        <v>471</v>
      </c>
      <c r="BK810" t="s">
        <v>102</v>
      </c>
      <c r="BL810" t="s">
        <v>472</v>
      </c>
      <c r="BM810" t="s">
        <v>15878</v>
      </c>
      <c r="BN810" t="s">
        <v>74</v>
      </c>
      <c r="BO810" t="s">
        <v>15898</v>
      </c>
      <c r="BP810" t="s">
        <v>74</v>
      </c>
      <c r="BQ810" t="s">
        <v>74</v>
      </c>
      <c r="BR810" t="s">
        <v>106</v>
      </c>
      <c r="BS810" t="s">
        <v>15899</v>
      </c>
      <c r="BT810" t="str">
        <f>HYPERLINK("https%3A%2F%2Fwww.webofscience.com%2Fwos%2Fwoscc%2Ffull-record%2FWOS:000560367600053","View Full Record in Web of Science")</f>
        <v>View Full Record in Web of Science</v>
      </c>
    </row>
    <row r="811" spans="1:72" x14ac:dyDescent="0.15">
      <c r="A811" t="s">
        <v>72</v>
      </c>
      <c r="B811" t="s">
        <v>15900</v>
      </c>
      <c r="C811" t="s">
        <v>74</v>
      </c>
      <c r="D811" t="s">
        <v>74</v>
      </c>
      <c r="E811" t="s">
        <v>74</v>
      </c>
      <c r="F811" t="s">
        <v>15901</v>
      </c>
      <c r="G811" t="s">
        <v>74</v>
      </c>
      <c r="H811" t="s">
        <v>74</v>
      </c>
      <c r="I811" t="s">
        <v>15902</v>
      </c>
      <c r="J811" t="s">
        <v>1106</v>
      </c>
      <c r="K811" t="s">
        <v>74</v>
      </c>
      <c r="L811" t="s">
        <v>74</v>
      </c>
      <c r="M811" t="s">
        <v>78</v>
      </c>
      <c r="N811" t="s">
        <v>79</v>
      </c>
      <c r="O811" t="s">
        <v>74</v>
      </c>
      <c r="P811" t="s">
        <v>74</v>
      </c>
      <c r="Q811" t="s">
        <v>74</v>
      </c>
      <c r="R811" t="s">
        <v>74</v>
      </c>
      <c r="S811" t="s">
        <v>74</v>
      </c>
      <c r="T811" t="s">
        <v>74</v>
      </c>
      <c r="U811" t="s">
        <v>15903</v>
      </c>
      <c r="V811" t="s">
        <v>15904</v>
      </c>
      <c r="W811" t="s">
        <v>15905</v>
      </c>
      <c r="X811" t="s">
        <v>15906</v>
      </c>
      <c r="Y811" t="s">
        <v>15907</v>
      </c>
      <c r="Z811" t="s">
        <v>15908</v>
      </c>
      <c r="AA811" t="s">
        <v>15909</v>
      </c>
      <c r="AB811" t="s">
        <v>15910</v>
      </c>
      <c r="AC811" t="s">
        <v>15911</v>
      </c>
      <c r="AD811" t="s">
        <v>15912</v>
      </c>
      <c r="AE811" t="s">
        <v>15913</v>
      </c>
      <c r="AF811" t="s">
        <v>74</v>
      </c>
      <c r="AG811">
        <v>88</v>
      </c>
      <c r="AH811">
        <v>18</v>
      </c>
      <c r="AI811">
        <v>20</v>
      </c>
      <c r="AJ811">
        <v>0</v>
      </c>
      <c r="AK811">
        <v>8</v>
      </c>
      <c r="AL811" t="s">
        <v>1118</v>
      </c>
      <c r="AM811" t="s">
        <v>1119</v>
      </c>
      <c r="AN811" t="s">
        <v>1120</v>
      </c>
      <c r="AO811" t="s">
        <v>1121</v>
      </c>
      <c r="AP811" t="s">
        <v>74</v>
      </c>
      <c r="AQ811" t="s">
        <v>74</v>
      </c>
      <c r="AR811" t="s">
        <v>1122</v>
      </c>
      <c r="AS811" t="s">
        <v>1123</v>
      </c>
      <c r="AT811" t="s">
        <v>15914</v>
      </c>
      <c r="AU811">
        <v>2020</v>
      </c>
      <c r="AV811">
        <v>10</v>
      </c>
      <c r="AW811">
        <v>1</v>
      </c>
      <c r="AX811" t="s">
        <v>74</v>
      </c>
      <c r="AY811" t="s">
        <v>74</v>
      </c>
      <c r="AZ811" t="s">
        <v>74</v>
      </c>
      <c r="BA811" t="s">
        <v>74</v>
      </c>
      <c r="BB811" t="s">
        <v>74</v>
      </c>
      <c r="BC811" t="s">
        <v>74</v>
      </c>
      <c r="BD811">
        <v>6275</v>
      </c>
      <c r="BE811" t="s">
        <v>15915</v>
      </c>
      <c r="BF811" t="str">
        <f>HYPERLINK("http://dx.doi.org/10.1038/s41598-020-62888-x","http://dx.doi.org/10.1038/s41598-020-62888-x")</f>
        <v>http://dx.doi.org/10.1038/s41598-020-62888-x</v>
      </c>
      <c r="BG811" t="s">
        <v>74</v>
      </c>
      <c r="BH811" t="s">
        <v>74</v>
      </c>
      <c r="BI811">
        <v>11</v>
      </c>
      <c r="BJ811" t="s">
        <v>1125</v>
      </c>
      <c r="BK811" t="s">
        <v>102</v>
      </c>
      <c r="BL811" t="s">
        <v>1126</v>
      </c>
      <c r="BM811" t="s">
        <v>15916</v>
      </c>
      <c r="BN811">
        <v>32296075</v>
      </c>
      <c r="BO811" t="s">
        <v>1778</v>
      </c>
      <c r="BP811" t="s">
        <v>74</v>
      </c>
      <c r="BQ811" t="s">
        <v>74</v>
      </c>
      <c r="BR811" t="s">
        <v>106</v>
      </c>
      <c r="BS811" t="s">
        <v>15917</v>
      </c>
      <c r="BT811" t="str">
        <f>HYPERLINK("https%3A%2F%2Fwww.webofscience.com%2Fwos%2Fwoscc%2Ffull-record%2FWOS:000540488200001","View Full Record in Web of Science")</f>
        <v>View Full Record in Web of Science</v>
      </c>
    </row>
    <row r="812" spans="1:72" x14ac:dyDescent="0.15">
      <c r="A812" t="s">
        <v>72</v>
      </c>
      <c r="B812" t="s">
        <v>15918</v>
      </c>
      <c r="C812" t="s">
        <v>74</v>
      </c>
      <c r="D812" t="s">
        <v>74</v>
      </c>
      <c r="E812" t="s">
        <v>74</v>
      </c>
      <c r="F812" t="s">
        <v>15919</v>
      </c>
      <c r="G812" t="s">
        <v>74</v>
      </c>
      <c r="H812" t="s">
        <v>74</v>
      </c>
      <c r="I812" t="s">
        <v>15920</v>
      </c>
      <c r="J812" t="s">
        <v>657</v>
      </c>
      <c r="K812" t="s">
        <v>74</v>
      </c>
      <c r="L812" t="s">
        <v>74</v>
      </c>
      <c r="M812" t="s">
        <v>78</v>
      </c>
      <c r="N812" t="s">
        <v>79</v>
      </c>
      <c r="O812" t="s">
        <v>74</v>
      </c>
      <c r="P812" t="s">
        <v>74</v>
      </c>
      <c r="Q812" t="s">
        <v>74</v>
      </c>
      <c r="R812" t="s">
        <v>74</v>
      </c>
      <c r="S812" t="s">
        <v>74</v>
      </c>
      <c r="T812" t="s">
        <v>15921</v>
      </c>
      <c r="U812" t="s">
        <v>15922</v>
      </c>
      <c r="V812" t="s">
        <v>15923</v>
      </c>
      <c r="W812" t="s">
        <v>15924</v>
      </c>
      <c r="X812" t="s">
        <v>15925</v>
      </c>
      <c r="Y812" t="s">
        <v>15926</v>
      </c>
      <c r="Z812" t="s">
        <v>15927</v>
      </c>
      <c r="AA812" t="s">
        <v>15928</v>
      </c>
      <c r="AB812" t="s">
        <v>74</v>
      </c>
      <c r="AC812" t="s">
        <v>15929</v>
      </c>
      <c r="AD812" t="s">
        <v>15930</v>
      </c>
      <c r="AE812" t="s">
        <v>15931</v>
      </c>
      <c r="AF812" t="s">
        <v>74</v>
      </c>
      <c r="AG812">
        <v>49</v>
      </c>
      <c r="AH812">
        <v>10</v>
      </c>
      <c r="AI812">
        <v>11</v>
      </c>
      <c r="AJ812">
        <v>1</v>
      </c>
      <c r="AK812">
        <v>8</v>
      </c>
      <c r="AL812" t="s">
        <v>284</v>
      </c>
      <c r="AM812" t="s">
        <v>285</v>
      </c>
      <c r="AN812" t="s">
        <v>286</v>
      </c>
      <c r="AO812" t="s">
        <v>667</v>
      </c>
      <c r="AP812" t="s">
        <v>668</v>
      </c>
      <c r="AQ812" t="s">
        <v>74</v>
      </c>
      <c r="AR812" t="s">
        <v>669</v>
      </c>
      <c r="AS812" t="s">
        <v>670</v>
      </c>
      <c r="AT812" t="s">
        <v>15914</v>
      </c>
      <c r="AU812">
        <v>2020</v>
      </c>
      <c r="AV812">
        <v>536</v>
      </c>
      <c r="AW812" t="s">
        <v>74</v>
      </c>
      <c r="AX812" t="s">
        <v>74</v>
      </c>
      <c r="AY812" t="s">
        <v>74</v>
      </c>
      <c r="AZ812" t="s">
        <v>74</v>
      </c>
      <c r="BA812" t="s">
        <v>74</v>
      </c>
      <c r="BB812" t="s">
        <v>74</v>
      </c>
      <c r="BC812" t="s">
        <v>74</v>
      </c>
      <c r="BD812">
        <v>116142</v>
      </c>
      <c r="BE812" t="s">
        <v>15932</v>
      </c>
      <c r="BF812" t="str">
        <f>HYPERLINK("http://dx.doi.org/10.1016/j.epsl.2020.116142","http://dx.doi.org/10.1016/j.epsl.2020.116142")</f>
        <v>http://dx.doi.org/10.1016/j.epsl.2020.116142</v>
      </c>
      <c r="BG812" t="s">
        <v>74</v>
      </c>
      <c r="BH812" t="s">
        <v>74</v>
      </c>
      <c r="BI812">
        <v>11</v>
      </c>
      <c r="BJ812" t="s">
        <v>131</v>
      </c>
      <c r="BK812" t="s">
        <v>102</v>
      </c>
      <c r="BL812" t="s">
        <v>131</v>
      </c>
      <c r="BM812" t="s">
        <v>15933</v>
      </c>
      <c r="BN812" t="s">
        <v>74</v>
      </c>
      <c r="BO812" t="s">
        <v>448</v>
      </c>
      <c r="BP812" t="s">
        <v>74</v>
      </c>
      <c r="BQ812" t="s">
        <v>74</v>
      </c>
      <c r="BR812" t="s">
        <v>106</v>
      </c>
      <c r="BS812" t="s">
        <v>15934</v>
      </c>
      <c r="BT812" t="str">
        <f>HYPERLINK("https%3A%2F%2Fwww.webofscience.com%2Fwos%2Fwoscc%2Ffull-record%2FWOS:000530914400007","View Full Record in Web of Science")</f>
        <v>View Full Record in Web of Science</v>
      </c>
    </row>
    <row r="813" spans="1:72" x14ac:dyDescent="0.15">
      <c r="A813" t="s">
        <v>72</v>
      </c>
      <c r="B813" t="s">
        <v>15935</v>
      </c>
      <c r="C813" t="s">
        <v>74</v>
      </c>
      <c r="D813" t="s">
        <v>74</v>
      </c>
      <c r="E813" t="s">
        <v>74</v>
      </c>
      <c r="F813" t="s">
        <v>15936</v>
      </c>
      <c r="G813" t="s">
        <v>74</v>
      </c>
      <c r="H813" t="s">
        <v>74</v>
      </c>
      <c r="I813" t="s">
        <v>15937</v>
      </c>
      <c r="J813" t="s">
        <v>15938</v>
      </c>
      <c r="K813" t="s">
        <v>74</v>
      </c>
      <c r="L813" t="s">
        <v>74</v>
      </c>
      <c r="M813" t="s">
        <v>78</v>
      </c>
      <c r="N813" t="s">
        <v>79</v>
      </c>
      <c r="O813" t="s">
        <v>74</v>
      </c>
      <c r="P813" t="s">
        <v>74</v>
      </c>
      <c r="Q813" t="s">
        <v>74</v>
      </c>
      <c r="R813" t="s">
        <v>74</v>
      </c>
      <c r="S813" t="s">
        <v>74</v>
      </c>
      <c r="T813" t="s">
        <v>15939</v>
      </c>
      <c r="U813" t="s">
        <v>15940</v>
      </c>
      <c r="V813" t="s">
        <v>15941</v>
      </c>
      <c r="W813" t="s">
        <v>15942</v>
      </c>
      <c r="X813" t="s">
        <v>15943</v>
      </c>
      <c r="Y813" t="s">
        <v>15944</v>
      </c>
      <c r="Z813" t="s">
        <v>15945</v>
      </c>
      <c r="AA813" t="s">
        <v>74</v>
      </c>
      <c r="AB813" t="s">
        <v>15946</v>
      </c>
      <c r="AC813" t="s">
        <v>15947</v>
      </c>
      <c r="AD813" t="s">
        <v>15948</v>
      </c>
      <c r="AE813" t="s">
        <v>15949</v>
      </c>
      <c r="AF813" t="s">
        <v>74</v>
      </c>
      <c r="AG813">
        <v>61</v>
      </c>
      <c r="AH813">
        <v>57</v>
      </c>
      <c r="AI813">
        <v>60</v>
      </c>
      <c r="AJ813">
        <v>7</v>
      </c>
      <c r="AK813">
        <v>42</v>
      </c>
      <c r="AL813" t="s">
        <v>1024</v>
      </c>
      <c r="AM813" t="s">
        <v>1025</v>
      </c>
      <c r="AN813" t="s">
        <v>1026</v>
      </c>
      <c r="AO813" t="s">
        <v>15950</v>
      </c>
      <c r="AP813" t="s">
        <v>74</v>
      </c>
      <c r="AQ813" t="s">
        <v>74</v>
      </c>
      <c r="AR813" t="s">
        <v>15951</v>
      </c>
      <c r="AS813" t="s">
        <v>15952</v>
      </c>
      <c r="AT813" t="s">
        <v>15914</v>
      </c>
      <c r="AU813">
        <v>2020</v>
      </c>
      <c r="AV813">
        <v>11</v>
      </c>
      <c r="AW813" t="s">
        <v>74</v>
      </c>
      <c r="AX813" t="s">
        <v>74</v>
      </c>
      <c r="AY813" t="s">
        <v>74</v>
      </c>
      <c r="AZ813" t="s">
        <v>74</v>
      </c>
      <c r="BA813" t="s">
        <v>74</v>
      </c>
      <c r="BB813" t="s">
        <v>74</v>
      </c>
      <c r="BC813" t="s">
        <v>74</v>
      </c>
      <c r="BD813">
        <v>426</v>
      </c>
      <c r="BE813" t="s">
        <v>15953</v>
      </c>
      <c r="BF813" t="str">
        <f>HYPERLINK("http://dx.doi.org/10.3389/fimmu.2020.00426","http://dx.doi.org/10.3389/fimmu.2020.00426")</f>
        <v>http://dx.doi.org/10.3389/fimmu.2020.00426</v>
      </c>
      <c r="BG813" t="s">
        <v>74</v>
      </c>
      <c r="BH813" t="s">
        <v>74</v>
      </c>
      <c r="BI813">
        <v>11</v>
      </c>
      <c r="BJ813" t="s">
        <v>15954</v>
      </c>
      <c r="BK813" t="s">
        <v>102</v>
      </c>
      <c r="BL813" t="s">
        <v>15954</v>
      </c>
      <c r="BM813" t="s">
        <v>15955</v>
      </c>
      <c r="BN813">
        <v>32351496</v>
      </c>
      <c r="BO813" t="s">
        <v>1778</v>
      </c>
      <c r="BP813" t="s">
        <v>74</v>
      </c>
      <c r="BQ813" t="s">
        <v>74</v>
      </c>
      <c r="BR813" t="s">
        <v>106</v>
      </c>
      <c r="BS813" t="s">
        <v>15956</v>
      </c>
      <c r="BT813" t="str">
        <f>HYPERLINK("https%3A%2F%2Fwww.webofscience.com%2Fwos%2Fwoscc%2Ffull-record%2FWOS:000530482500001","View Full Record in Web of Science")</f>
        <v>View Full Record in Web of Science</v>
      </c>
    </row>
    <row r="814" spans="1:72" x14ac:dyDescent="0.15">
      <c r="A814" t="s">
        <v>72</v>
      </c>
      <c r="B814" t="s">
        <v>15957</v>
      </c>
      <c r="C814" t="s">
        <v>74</v>
      </c>
      <c r="D814" t="s">
        <v>74</v>
      </c>
      <c r="E814" t="s">
        <v>74</v>
      </c>
      <c r="F814" t="s">
        <v>15958</v>
      </c>
      <c r="G814" t="s">
        <v>74</v>
      </c>
      <c r="H814" t="s">
        <v>74</v>
      </c>
      <c r="I814" t="s">
        <v>15959</v>
      </c>
      <c r="J814" t="s">
        <v>15960</v>
      </c>
      <c r="K814" t="s">
        <v>74</v>
      </c>
      <c r="L814" t="s">
        <v>74</v>
      </c>
      <c r="M814" t="s">
        <v>78</v>
      </c>
      <c r="N814" t="s">
        <v>79</v>
      </c>
      <c r="O814" t="s">
        <v>74</v>
      </c>
      <c r="P814" t="s">
        <v>74</v>
      </c>
      <c r="Q814" t="s">
        <v>74</v>
      </c>
      <c r="R814" t="s">
        <v>74</v>
      </c>
      <c r="S814" t="s">
        <v>74</v>
      </c>
      <c r="T814" t="s">
        <v>15961</v>
      </c>
      <c r="U814" t="s">
        <v>15962</v>
      </c>
      <c r="V814" t="s">
        <v>15963</v>
      </c>
      <c r="W814" t="s">
        <v>15964</v>
      </c>
      <c r="X814" t="s">
        <v>15965</v>
      </c>
      <c r="Y814" t="s">
        <v>15966</v>
      </c>
      <c r="Z814" t="s">
        <v>15967</v>
      </c>
      <c r="AA814" t="s">
        <v>15968</v>
      </c>
      <c r="AB814" t="s">
        <v>15969</v>
      </c>
      <c r="AC814" t="s">
        <v>15970</v>
      </c>
      <c r="AD814" t="s">
        <v>15971</v>
      </c>
      <c r="AE814" t="s">
        <v>15972</v>
      </c>
      <c r="AF814" t="s">
        <v>74</v>
      </c>
      <c r="AG814">
        <v>46</v>
      </c>
      <c r="AH814">
        <v>4</v>
      </c>
      <c r="AI814">
        <v>7</v>
      </c>
      <c r="AJ814">
        <v>0</v>
      </c>
      <c r="AK814">
        <v>16</v>
      </c>
      <c r="AL814" t="s">
        <v>15834</v>
      </c>
      <c r="AM814" t="s">
        <v>15835</v>
      </c>
      <c r="AN814" t="s">
        <v>15836</v>
      </c>
      <c r="AO814" t="s">
        <v>15973</v>
      </c>
      <c r="AP814" t="s">
        <v>15974</v>
      </c>
      <c r="AQ814" t="s">
        <v>74</v>
      </c>
      <c r="AR814" t="s">
        <v>15975</v>
      </c>
      <c r="AS814" t="s">
        <v>15976</v>
      </c>
      <c r="AT814" t="s">
        <v>15914</v>
      </c>
      <c r="AU814">
        <v>2020</v>
      </c>
      <c r="AV814">
        <v>636</v>
      </c>
      <c r="AW814" t="s">
        <v>74</v>
      </c>
      <c r="AX814" t="s">
        <v>74</v>
      </c>
      <c r="AY814" t="s">
        <v>74</v>
      </c>
      <c r="AZ814" t="s">
        <v>74</v>
      </c>
      <c r="BA814" t="s">
        <v>74</v>
      </c>
      <c r="BB814" t="s">
        <v>74</v>
      </c>
      <c r="BC814" t="s">
        <v>74</v>
      </c>
      <c r="BD814" t="s">
        <v>74</v>
      </c>
      <c r="BE814" t="s">
        <v>15977</v>
      </c>
      <c r="BF814" t="str">
        <f>HYPERLINK("http://dx.doi.org/10.1051/0004-6361/201936802","http://dx.doi.org/10.1051/0004-6361/201936802")</f>
        <v>http://dx.doi.org/10.1051/0004-6361/201936802</v>
      </c>
      <c r="BG814" t="s">
        <v>74</v>
      </c>
      <c r="BH814" t="s">
        <v>74</v>
      </c>
      <c r="BI814">
        <v>11</v>
      </c>
      <c r="BJ814" t="s">
        <v>774</v>
      </c>
      <c r="BK814" t="s">
        <v>102</v>
      </c>
      <c r="BL814" t="s">
        <v>774</v>
      </c>
      <c r="BM814" t="s">
        <v>15978</v>
      </c>
      <c r="BN814" t="s">
        <v>74</v>
      </c>
      <c r="BO814" t="s">
        <v>9194</v>
      </c>
      <c r="BP814" t="s">
        <v>74</v>
      </c>
      <c r="BQ814" t="s">
        <v>74</v>
      </c>
      <c r="BR814" t="s">
        <v>106</v>
      </c>
      <c r="BS814" t="s">
        <v>15979</v>
      </c>
      <c r="BT814" t="str">
        <f>HYPERLINK("https%3A%2F%2Fwww.webofscience.com%2Fwos%2Fwoscc%2Ffull-record%2FWOS:000528577600001","View Full Record in Web of Science")</f>
        <v>View Full Record in Web of Science</v>
      </c>
    </row>
    <row r="815" spans="1:72" x14ac:dyDescent="0.15">
      <c r="A815" t="s">
        <v>72</v>
      </c>
      <c r="B815" t="s">
        <v>15980</v>
      </c>
      <c r="C815" t="s">
        <v>74</v>
      </c>
      <c r="D815" t="s">
        <v>74</v>
      </c>
      <c r="E815" t="s">
        <v>74</v>
      </c>
      <c r="F815" t="s">
        <v>15981</v>
      </c>
      <c r="G815" t="s">
        <v>74</v>
      </c>
      <c r="H815" t="s">
        <v>74</v>
      </c>
      <c r="I815" t="s">
        <v>15982</v>
      </c>
      <c r="J815" t="s">
        <v>8102</v>
      </c>
      <c r="K815" t="s">
        <v>74</v>
      </c>
      <c r="L815" t="s">
        <v>74</v>
      </c>
      <c r="M815" t="s">
        <v>78</v>
      </c>
      <c r="N815" t="s">
        <v>79</v>
      </c>
      <c r="O815" t="s">
        <v>74</v>
      </c>
      <c r="P815" t="s">
        <v>74</v>
      </c>
      <c r="Q815" t="s">
        <v>74</v>
      </c>
      <c r="R815" t="s">
        <v>74</v>
      </c>
      <c r="S815" t="s">
        <v>74</v>
      </c>
      <c r="T815" t="s">
        <v>15983</v>
      </c>
      <c r="U815" t="s">
        <v>15984</v>
      </c>
      <c r="V815" t="s">
        <v>15985</v>
      </c>
      <c r="W815" t="s">
        <v>15986</v>
      </c>
      <c r="X815" t="s">
        <v>15987</v>
      </c>
      <c r="Y815" t="s">
        <v>10916</v>
      </c>
      <c r="Z815" t="s">
        <v>10917</v>
      </c>
      <c r="AA815" t="s">
        <v>15988</v>
      </c>
      <c r="AB815" t="s">
        <v>15989</v>
      </c>
      <c r="AC815" t="s">
        <v>15990</v>
      </c>
      <c r="AD815" t="s">
        <v>15527</v>
      </c>
      <c r="AE815" t="s">
        <v>15991</v>
      </c>
      <c r="AF815" t="s">
        <v>74</v>
      </c>
      <c r="AG815">
        <v>48</v>
      </c>
      <c r="AH815">
        <v>11</v>
      </c>
      <c r="AI815">
        <v>13</v>
      </c>
      <c r="AJ815">
        <v>7</v>
      </c>
      <c r="AK815">
        <v>27</v>
      </c>
      <c r="AL815" t="s">
        <v>2377</v>
      </c>
      <c r="AM815" t="s">
        <v>945</v>
      </c>
      <c r="AN815" t="s">
        <v>2378</v>
      </c>
      <c r="AO815" t="s">
        <v>74</v>
      </c>
      <c r="AP815" t="s">
        <v>8113</v>
      </c>
      <c r="AQ815" t="s">
        <v>74</v>
      </c>
      <c r="AR815" t="s">
        <v>8114</v>
      </c>
      <c r="AS815" t="s">
        <v>8115</v>
      </c>
      <c r="AT815" t="s">
        <v>15914</v>
      </c>
      <c r="AU815">
        <v>2020</v>
      </c>
      <c r="AV815">
        <v>20</v>
      </c>
      <c r="AW815">
        <v>1</v>
      </c>
      <c r="AX815" t="s">
        <v>74</v>
      </c>
      <c r="AY815" t="s">
        <v>74</v>
      </c>
      <c r="AZ815" t="s">
        <v>74</v>
      </c>
      <c r="BA815" t="s">
        <v>74</v>
      </c>
      <c r="BB815" t="s">
        <v>74</v>
      </c>
      <c r="BC815" t="s">
        <v>74</v>
      </c>
      <c r="BD815">
        <v>21</v>
      </c>
      <c r="BE815" t="s">
        <v>15992</v>
      </c>
      <c r="BF815" t="str">
        <f>HYPERLINK("http://dx.doi.org/10.1186/s12898-020-00288-5","http://dx.doi.org/10.1186/s12898-020-00288-5")</f>
        <v>http://dx.doi.org/10.1186/s12898-020-00288-5</v>
      </c>
      <c r="BG815" t="s">
        <v>74</v>
      </c>
      <c r="BH815" t="s">
        <v>74</v>
      </c>
      <c r="BI815">
        <v>12</v>
      </c>
      <c r="BJ815" t="s">
        <v>1446</v>
      </c>
      <c r="BK815" t="s">
        <v>102</v>
      </c>
      <c r="BL815" t="s">
        <v>103</v>
      </c>
      <c r="BM815" t="s">
        <v>15993</v>
      </c>
      <c r="BN815">
        <v>32293412</v>
      </c>
      <c r="BO815" t="s">
        <v>1778</v>
      </c>
      <c r="BP815" t="s">
        <v>74</v>
      </c>
      <c r="BQ815" t="s">
        <v>74</v>
      </c>
      <c r="BR815" t="s">
        <v>106</v>
      </c>
      <c r="BS815" t="s">
        <v>15994</v>
      </c>
      <c r="BT815" t="str">
        <f>HYPERLINK("https%3A%2F%2Fwww.webofscience.com%2Fwos%2Fwoscc%2Ffull-record%2FWOS:000529044000001","View Full Record in Web of Science")</f>
        <v>View Full Record in Web of Science</v>
      </c>
    </row>
    <row r="816" spans="1:72" x14ac:dyDescent="0.15">
      <c r="A816" t="s">
        <v>72</v>
      </c>
      <c r="B816" t="s">
        <v>15995</v>
      </c>
      <c r="C816" t="s">
        <v>74</v>
      </c>
      <c r="D816" t="s">
        <v>74</v>
      </c>
      <c r="E816" t="s">
        <v>74</v>
      </c>
      <c r="F816" t="s">
        <v>15996</v>
      </c>
      <c r="G816" t="s">
        <v>74</v>
      </c>
      <c r="H816" t="s">
        <v>74</v>
      </c>
      <c r="I816" t="s">
        <v>15997</v>
      </c>
      <c r="J816" t="s">
        <v>14021</v>
      </c>
      <c r="K816" t="s">
        <v>74</v>
      </c>
      <c r="L816" t="s">
        <v>74</v>
      </c>
      <c r="M816" t="s">
        <v>78</v>
      </c>
      <c r="N816" t="s">
        <v>79</v>
      </c>
      <c r="O816" t="s">
        <v>74</v>
      </c>
      <c r="P816" t="s">
        <v>74</v>
      </c>
      <c r="Q816" t="s">
        <v>74</v>
      </c>
      <c r="R816" t="s">
        <v>74</v>
      </c>
      <c r="S816" t="s">
        <v>74</v>
      </c>
      <c r="T816" t="s">
        <v>15998</v>
      </c>
      <c r="U816" t="s">
        <v>15999</v>
      </c>
      <c r="V816" t="s">
        <v>16000</v>
      </c>
      <c r="W816" t="s">
        <v>16001</v>
      </c>
      <c r="X816" t="s">
        <v>16002</v>
      </c>
      <c r="Y816" t="s">
        <v>16003</v>
      </c>
      <c r="Z816" t="s">
        <v>16004</v>
      </c>
      <c r="AA816" t="s">
        <v>74</v>
      </c>
      <c r="AB816" t="s">
        <v>16005</v>
      </c>
      <c r="AC816" t="s">
        <v>16006</v>
      </c>
      <c r="AD816" t="s">
        <v>16007</v>
      </c>
      <c r="AE816" t="s">
        <v>16008</v>
      </c>
      <c r="AF816" t="s">
        <v>74</v>
      </c>
      <c r="AG816">
        <v>61</v>
      </c>
      <c r="AH816">
        <v>2</v>
      </c>
      <c r="AI816">
        <v>2</v>
      </c>
      <c r="AJ816">
        <v>2</v>
      </c>
      <c r="AK816">
        <v>4</v>
      </c>
      <c r="AL816" t="s">
        <v>284</v>
      </c>
      <c r="AM816" t="s">
        <v>285</v>
      </c>
      <c r="AN816" t="s">
        <v>286</v>
      </c>
      <c r="AO816" t="s">
        <v>14034</v>
      </c>
      <c r="AP816" t="s">
        <v>14035</v>
      </c>
      <c r="AQ816" t="s">
        <v>74</v>
      </c>
      <c r="AR816" t="s">
        <v>14036</v>
      </c>
      <c r="AS816" t="s">
        <v>14037</v>
      </c>
      <c r="AT816" t="s">
        <v>15914</v>
      </c>
      <c r="AU816">
        <v>2020</v>
      </c>
      <c r="AV816">
        <v>395</v>
      </c>
      <c r="AW816" t="s">
        <v>74</v>
      </c>
      <c r="AX816" t="s">
        <v>74</v>
      </c>
      <c r="AY816" t="s">
        <v>74</v>
      </c>
      <c r="AZ816" t="s">
        <v>74</v>
      </c>
      <c r="BA816" t="s">
        <v>74</v>
      </c>
      <c r="BB816" t="s">
        <v>74</v>
      </c>
      <c r="BC816" t="s">
        <v>74</v>
      </c>
      <c r="BD816">
        <v>106828</v>
      </c>
      <c r="BE816" t="s">
        <v>16009</v>
      </c>
      <c r="BF816" t="str">
        <f>HYPERLINK("http://dx.doi.org/10.1016/j.jvolgeores.2020.106828","http://dx.doi.org/10.1016/j.jvolgeores.2020.106828")</f>
        <v>http://dx.doi.org/10.1016/j.jvolgeores.2020.106828</v>
      </c>
      <c r="BG816" t="s">
        <v>74</v>
      </c>
      <c r="BH816" t="s">
        <v>74</v>
      </c>
      <c r="BI816">
        <v>12</v>
      </c>
      <c r="BJ816" t="s">
        <v>471</v>
      </c>
      <c r="BK816" t="s">
        <v>102</v>
      </c>
      <c r="BL816" t="s">
        <v>472</v>
      </c>
      <c r="BM816" t="s">
        <v>16010</v>
      </c>
      <c r="BN816" t="s">
        <v>74</v>
      </c>
      <c r="BO816" t="s">
        <v>189</v>
      </c>
      <c r="BP816" t="s">
        <v>74</v>
      </c>
      <c r="BQ816" t="s">
        <v>74</v>
      </c>
      <c r="BR816" t="s">
        <v>106</v>
      </c>
      <c r="BS816" t="s">
        <v>16011</v>
      </c>
      <c r="BT816" t="str">
        <f>HYPERLINK("https%3A%2F%2Fwww.webofscience.com%2Fwos%2Fwoscc%2Ffull-record%2FWOS:000527364300008","View Full Record in Web of Science")</f>
        <v>View Full Record in Web of Science</v>
      </c>
    </row>
    <row r="817" spans="1:72" x14ac:dyDescent="0.15">
      <c r="A817" t="s">
        <v>72</v>
      </c>
      <c r="B817" t="s">
        <v>16012</v>
      </c>
      <c r="C817" t="s">
        <v>74</v>
      </c>
      <c r="D817" t="s">
        <v>74</v>
      </c>
      <c r="E817" t="s">
        <v>74</v>
      </c>
      <c r="F817" t="s">
        <v>16013</v>
      </c>
      <c r="G817" t="s">
        <v>74</v>
      </c>
      <c r="H817" t="s">
        <v>74</v>
      </c>
      <c r="I817" t="s">
        <v>16014</v>
      </c>
      <c r="J817" t="s">
        <v>1783</v>
      </c>
      <c r="K817" t="s">
        <v>74</v>
      </c>
      <c r="L817" t="s">
        <v>74</v>
      </c>
      <c r="M817" t="s">
        <v>78</v>
      </c>
      <c r="N817" t="s">
        <v>79</v>
      </c>
      <c r="O817" t="s">
        <v>74</v>
      </c>
      <c r="P817" t="s">
        <v>74</v>
      </c>
      <c r="Q817" t="s">
        <v>74</v>
      </c>
      <c r="R817" t="s">
        <v>74</v>
      </c>
      <c r="S817" t="s">
        <v>74</v>
      </c>
      <c r="T817" t="s">
        <v>16015</v>
      </c>
      <c r="U817" t="s">
        <v>16016</v>
      </c>
      <c r="V817" t="s">
        <v>16017</v>
      </c>
      <c r="W817" t="s">
        <v>16018</v>
      </c>
      <c r="X817" t="s">
        <v>16019</v>
      </c>
      <c r="Y817" t="s">
        <v>16020</v>
      </c>
      <c r="Z817" t="s">
        <v>16021</v>
      </c>
      <c r="AA817" t="s">
        <v>16022</v>
      </c>
      <c r="AB817" t="s">
        <v>16023</v>
      </c>
      <c r="AC817" t="s">
        <v>16024</v>
      </c>
      <c r="AD817" t="s">
        <v>16025</v>
      </c>
      <c r="AE817" t="s">
        <v>16026</v>
      </c>
      <c r="AF817" t="s">
        <v>74</v>
      </c>
      <c r="AG817">
        <v>61</v>
      </c>
      <c r="AH817">
        <v>4</v>
      </c>
      <c r="AI817">
        <v>4</v>
      </c>
      <c r="AJ817">
        <v>1</v>
      </c>
      <c r="AK817">
        <v>12</v>
      </c>
      <c r="AL817" t="s">
        <v>1440</v>
      </c>
      <c r="AM817" t="s">
        <v>399</v>
      </c>
      <c r="AN817" t="s">
        <v>1441</v>
      </c>
      <c r="AO817" t="s">
        <v>1796</v>
      </c>
      <c r="AP817" t="s">
        <v>1797</v>
      </c>
      <c r="AQ817" t="s">
        <v>74</v>
      </c>
      <c r="AR817" t="s">
        <v>1798</v>
      </c>
      <c r="AS817" t="s">
        <v>1799</v>
      </c>
      <c r="AT817" t="s">
        <v>7663</v>
      </c>
      <c r="AU817">
        <v>2020</v>
      </c>
      <c r="AV817">
        <v>43</v>
      </c>
      <c r="AW817">
        <v>6</v>
      </c>
      <c r="AX817" t="s">
        <v>74</v>
      </c>
      <c r="AY817" t="s">
        <v>74</v>
      </c>
      <c r="AZ817" t="s">
        <v>74</v>
      </c>
      <c r="BA817" t="s">
        <v>74</v>
      </c>
      <c r="BB817">
        <v>637</v>
      </c>
      <c r="BC817">
        <v>646</v>
      </c>
      <c r="BD817" t="s">
        <v>74</v>
      </c>
      <c r="BE817" t="s">
        <v>16027</v>
      </c>
      <c r="BF817" t="str">
        <f>HYPERLINK("http://dx.doi.org/10.1007/s00300-020-02666-7","http://dx.doi.org/10.1007/s00300-020-02666-7")</f>
        <v>http://dx.doi.org/10.1007/s00300-020-02666-7</v>
      </c>
      <c r="BG817" t="s">
        <v>74</v>
      </c>
      <c r="BH817" t="s">
        <v>14775</v>
      </c>
      <c r="BI817">
        <v>10</v>
      </c>
      <c r="BJ817" t="s">
        <v>1004</v>
      </c>
      <c r="BK817" t="s">
        <v>102</v>
      </c>
      <c r="BL817" t="s">
        <v>1005</v>
      </c>
      <c r="BM817" t="s">
        <v>12163</v>
      </c>
      <c r="BN817" t="s">
        <v>74</v>
      </c>
      <c r="BO817" t="s">
        <v>74</v>
      </c>
      <c r="BP817" t="s">
        <v>74</v>
      </c>
      <c r="BQ817" t="s">
        <v>74</v>
      </c>
      <c r="BR817" t="s">
        <v>106</v>
      </c>
      <c r="BS817" t="s">
        <v>16028</v>
      </c>
      <c r="BT817" t="str">
        <f>HYPERLINK("https%3A%2F%2Fwww.webofscience.com%2Fwos%2Fwoscc%2Ffull-record%2FWOS:000526799800001","View Full Record in Web of Science")</f>
        <v>View Full Record in Web of Science</v>
      </c>
    </row>
    <row r="818" spans="1:72" x14ac:dyDescent="0.15">
      <c r="A818" t="s">
        <v>72</v>
      </c>
      <c r="B818" t="s">
        <v>16029</v>
      </c>
      <c r="C818" t="s">
        <v>74</v>
      </c>
      <c r="D818" t="s">
        <v>74</v>
      </c>
      <c r="E818" t="s">
        <v>74</v>
      </c>
      <c r="F818" t="s">
        <v>16030</v>
      </c>
      <c r="G818" t="s">
        <v>74</v>
      </c>
      <c r="H818" t="s">
        <v>74</v>
      </c>
      <c r="I818" t="s">
        <v>16031</v>
      </c>
      <c r="J818" t="s">
        <v>2007</v>
      </c>
      <c r="K818" t="s">
        <v>74</v>
      </c>
      <c r="L818" t="s">
        <v>74</v>
      </c>
      <c r="M818" t="s">
        <v>78</v>
      </c>
      <c r="N818" t="s">
        <v>79</v>
      </c>
      <c r="O818" t="s">
        <v>74</v>
      </c>
      <c r="P818" t="s">
        <v>74</v>
      </c>
      <c r="Q818" t="s">
        <v>74</v>
      </c>
      <c r="R818" t="s">
        <v>74</v>
      </c>
      <c r="S818" t="s">
        <v>74</v>
      </c>
      <c r="T818" t="s">
        <v>74</v>
      </c>
      <c r="U818" t="s">
        <v>16032</v>
      </c>
      <c r="V818" t="s">
        <v>16033</v>
      </c>
      <c r="W818" t="s">
        <v>16034</v>
      </c>
      <c r="X818" t="s">
        <v>16035</v>
      </c>
      <c r="Y818" t="s">
        <v>16036</v>
      </c>
      <c r="Z818" t="s">
        <v>16037</v>
      </c>
      <c r="AA818" t="s">
        <v>16038</v>
      </c>
      <c r="AB818" t="s">
        <v>16039</v>
      </c>
      <c r="AC818" t="s">
        <v>16040</v>
      </c>
      <c r="AD818" t="s">
        <v>688</v>
      </c>
      <c r="AE818" t="s">
        <v>74</v>
      </c>
      <c r="AF818" t="s">
        <v>74</v>
      </c>
      <c r="AG818">
        <v>78</v>
      </c>
      <c r="AH818">
        <v>8</v>
      </c>
      <c r="AI818">
        <v>10</v>
      </c>
      <c r="AJ818">
        <v>0</v>
      </c>
      <c r="AK818">
        <v>8</v>
      </c>
      <c r="AL818" t="s">
        <v>1049</v>
      </c>
      <c r="AM818" t="s">
        <v>1050</v>
      </c>
      <c r="AN818" t="s">
        <v>1051</v>
      </c>
      <c r="AO818" t="s">
        <v>2019</v>
      </c>
      <c r="AP818" t="s">
        <v>2020</v>
      </c>
      <c r="AQ818" t="s">
        <v>74</v>
      </c>
      <c r="AR818" t="s">
        <v>2007</v>
      </c>
      <c r="AS818" t="s">
        <v>2021</v>
      </c>
      <c r="AT818" t="s">
        <v>15914</v>
      </c>
      <c r="AU818">
        <v>2020</v>
      </c>
      <c r="AV818">
        <v>14</v>
      </c>
      <c r="AW818">
        <v>4</v>
      </c>
      <c r="AX818" t="s">
        <v>74</v>
      </c>
      <c r="AY818" t="s">
        <v>74</v>
      </c>
      <c r="AZ818" t="s">
        <v>74</v>
      </c>
      <c r="BA818" t="s">
        <v>74</v>
      </c>
      <c r="BB818">
        <v>1245</v>
      </c>
      <c r="BC818">
        <v>1258</v>
      </c>
      <c r="BD818" t="s">
        <v>74</v>
      </c>
      <c r="BE818" t="s">
        <v>16041</v>
      </c>
      <c r="BF818" t="str">
        <f>HYPERLINK("http://dx.doi.org/10.5194/tc-14-1245-2020","http://dx.doi.org/10.5194/tc-14-1245-2020")</f>
        <v>http://dx.doi.org/10.5194/tc-14-1245-2020</v>
      </c>
      <c r="BG818" t="s">
        <v>74</v>
      </c>
      <c r="BH818" t="s">
        <v>74</v>
      </c>
      <c r="BI818">
        <v>14</v>
      </c>
      <c r="BJ818" t="s">
        <v>694</v>
      </c>
      <c r="BK818" t="s">
        <v>102</v>
      </c>
      <c r="BL818" t="s">
        <v>695</v>
      </c>
      <c r="BM818" t="s">
        <v>16042</v>
      </c>
      <c r="BN818" t="s">
        <v>74</v>
      </c>
      <c r="BO818" t="s">
        <v>1060</v>
      </c>
      <c r="BP818" t="s">
        <v>74</v>
      </c>
      <c r="BQ818" t="s">
        <v>74</v>
      </c>
      <c r="BR818" t="s">
        <v>106</v>
      </c>
      <c r="BS818" t="s">
        <v>16043</v>
      </c>
      <c r="BT818" t="str">
        <f>HYPERLINK("https%3A%2F%2Fwww.webofscience.com%2Fwos%2Fwoscc%2Ffull-record%2FWOS:000526059400001","View Full Record in Web of Science")</f>
        <v>View Full Record in Web of Science</v>
      </c>
    </row>
    <row r="819" spans="1:72" x14ac:dyDescent="0.15">
      <c r="A819" t="s">
        <v>72</v>
      </c>
      <c r="B819" t="s">
        <v>16044</v>
      </c>
      <c r="C819" t="s">
        <v>74</v>
      </c>
      <c r="D819" t="s">
        <v>74</v>
      </c>
      <c r="E819" t="s">
        <v>74</v>
      </c>
      <c r="F819" t="s">
        <v>16045</v>
      </c>
      <c r="G819" t="s">
        <v>74</v>
      </c>
      <c r="H819" t="s">
        <v>74</v>
      </c>
      <c r="I819" t="s">
        <v>16046</v>
      </c>
      <c r="J819" t="s">
        <v>2785</v>
      </c>
      <c r="K819" t="s">
        <v>74</v>
      </c>
      <c r="L819" t="s">
        <v>74</v>
      </c>
      <c r="M819" t="s">
        <v>78</v>
      </c>
      <c r="N819" t="s">
        <v>2846</v>
      </c>
      <c r="O819" t="s">
        <v>74</v>
      </c>
      <c r="P819" t="s">
        <v>74</v>
      </c>
      <c r="Q819" t="s">
        <v>74</v>
      </c>
      <c r="R819" t="s">
        <v>74</v>
      </c>
      <c r="S819" t="s">
        <v>74</v>
      </c>
      <c r="T819" t="s">
        <v>74</v>
      </c>
      <c r="U819" t="s">
        <v>74</v>
      </c>
      <c r="V819" t="s">
        <v>74</v>
      </c>
      <c r="W819" t="s">
        <v>16047</v>
      </c>
      <c r="X819" t="s">
        <v>16048</v>
      </c>
      <c r="Y819" t="s">
        <v>16049</v>
      </c>
      <c r="Z819" t="s">
        <v>16050</v>
      </c>
      <c r="AA819" t="s">
        <v>74</v>
      </c>
      <c r="AB819" t="s">
        <v>74</v>
      </c>
      <c r="AC819" t="s">
        <v>74</v>
      </c>
      <c r="AD819" t="s">
        <v>74</v>
      </c>
      <c r="AE819" t="s">
        <v>74</v>
      </c>
      <c r="AF819" t="s">
        <v>74</v>
      </c>
      <c r="AG819">
        <v>1</v>
      </c>
      <c r="AH819">
        <v>0</v>
      </c>
      <c r="AI819">
        <v>0</v>
      </c>
      <c r="AJ819">
        <v>0</v>
      </c>
      <c r="AK819">
        <v>4</v>
      </c>
      <c r="AL819" t="s">
        <v>92</v>
      </c>
      <c r="AM819" t="s">
        <v>93</v>
      </c>
      <c r="AN819" t="s">
        <v>94</v>
      </c>
      <c r="AO819" t="s">
        <v>2797</v>
      </c>
      <c r="AP819" t="s">
        <v>2798</v>
      </c>
      <c r="AQ819" t="s">
        <v>74</v>
      </c>
      <c r="AR819" t="s">
        <v>2799</v>
      </c>
      <c r="AS819" t="s">
        <v>2800</v>
      </c>
      <c r="AT819" t="s">
        <v>15914</v>
      </c>
      <c r="AU819">
        <v>2020</v>
      </c>
      <c r="AV819">
        <v>234</v>
      </c>
      <c r="AW819" t="s">
        <v>74</v>
      </c>
      <c r="AX819" t="s">
        <v>74</v>
      </c>
      <c r="AY819" t="s">
        <v>74</v>
      </c>
      <c r="AZ819" t="s">
        <v>74</v>
      </c>
      <c r="BA819" t="s">
        <v>74</v>
      </c>
      <c r="BB819" t="s">
        <v>74</v>
      </c>
      <c r="BC819" t="s">
        <v>74</v>
      </c>
      <c r="BD819">
        <v>106260</v>
      </c>
      <c r="BE819" t="s">
        <v>16051</v>
      </c>
      <c r="BF819" t="str">
        <f>HYPERLINK("http://dx.doi.org/10.1016/j.quascirev.2020.106260","http://dx.doi.org/10.1016/j.quascirev.2020.106260")</f>
        <v>http://dx.doi.org/10.1016/j.quascirev.2020.106260</v>
      </c>
      <c r="BG819" t="s">
        <v>74</v>
      </c>
      <c r="BH819" t="s">
        <v>74</v>
      </c>
      <c r="BI819">
        <v>2</v>
      </c>
      <c r="BJ819" t="s">
        <v>694</v>
      </c>
      <c r="BK819" t="s">
        <v>102</v>
      </c>
      <c r="BL819" t="s">
        <v>695</v>
      </c>
      <c r="BM819" t="s">
        <v>16052</v>
      </c>
      <c r="BN819" t="s">
        <v>74</v>
      </c>
      <c r="BO819" t="s">
        <v>74</v>
      </c>
      <c r="BP819" t="s">
        <v>74</v>
      </c>
      <c r="BQ819" t="s">
        <v>74</v>
      </c>
      <c r="BR819" t="s">
        <v>106</v>
      </c>
      <c r="BS819" t="s">
        <v>16053</v>
      </c>
      <c r="BT819" t="str">
        <f>HYPERLINK("https%3A%2F%2Fwww.webofscience.com%2Fwos%2Fwoscc%2Ffull-record%2FWOS:000525791800011","View Full Record in Web of Science")</f>
        <v>View Full Record in Web of Science</v>
      </c>
    </row>
    <row r="820" spans="1:72" x14ac:dyDescent="0.15">
      <c r="A820" t="s">
        <v>72</v>
      </c>
      <c r="B820" t="s">
        <v>16054</v>
      </c>
      <c r="C820" t="s">
        <v>74</v>
      </c>
      <c r="D820" t="s">
        <v>74</v>
      </c>
      <c r="E820" t="s">
        <v>74</v>
      </c>
      <c r="F820" t="s">
        <v>16055</v>
      </c>
      <c r="G820" t="s">
        <v>74</v>
      </c>
      <c r="H820" t="s">
        <v>16056</v>
      </c>
      <c r="I820" t="s">
        <v>16057</v>
      </c>
      <c r="J820" t="s">
        <v>2785</v>
      </c>
      <c r="K820" t="s">
        <v>74</v>
      </c>
      <c r="L820" t="s">
        <v>74</v>
      </c>
      <c r="M820" t="s">
        <v>78</v>
      </c>
      <c r="N820" t="s">
        <v>79</v>
      </c>
      <c r="O820" t="s">
        <v>74</v>
      </c>
      <c r="P820" t="s">
        <v>74</v>
      </c>
      <c r="Q820" t="s">
        <v>74</v>
      </c>
      <c r="R820" t="s">
        <v>74</v>
      </c>
      <c r="S820" t="s">
        <v>74</v>
      </c>
      <c r="T820" t="s">
        <v>16058</v>
      </c>
      <c r="U820" t="s">
        <v>16059</v>
      </c>
      <c r="V820" t="s">
        <v>16060</v>
      </c>
      <c r="W820" t="s">
        <v>16061</v>
      </c>
      <c r="X820" t="s">
        <v>16062</v>
      </c>
      <c r="Y820" t="s">
        <v>16063</v>
      </c>
      <c r="Z820" t="s">
        <v>16064</v>
      </c>
      <c r="AA820" t="s">
        <v>16065</v>
      </c>
      <c r="AB820" t="s">
        <v>16066</v>
      </c>
      <c r="AC820" t="s">
        <v>16067</v>
      </c>
      <c r="AD820" t="s">
        <v>16068</v>
      </c>
      <c r="AE820" t="s">
        <v>16069</v>
      </c>
      <c r="AF820" t="s">
        <v>74</v>
      </c>
      <c r="AG820">
        <v>176</v>
      </c>
      <c r="AH820">
        <v>11</v>
      </c>
      <c r="AI820">
        <v>13</v>
      </c>
      <c r="AJ820">
        <v>4</v>
      </c>
      <c r="AK820">
        <v>16</v>
      </c>
      <c r="AL820" t="s">
        <v>92</v>
      </c>
      <c r="AM820" t="s">
        <v>93</v>
      </c>
      <c r="AN820" t="s">
        <v>94</v>
      </c>
      <c r="AO820" t="s">
        <v>2797</v>
      </c>
      <c r="AP820" t="s">
        <v>2798</v>
      </c>
      <c r="AQ820" t="s">
        <v>74</v>
      </c>
      <c r="AR820" t="s">
        <v>2799</v>
      </c>
      <c r="AS820" t="s">
        <v>2800</v>
      </c>
      <c r="AT820" t="s">
        <v>15914</v>
      </c>
      <c r="AU820">
        <v>2020</v>
      </c>
      <c r="AV820">
        <v>234</v>
      </c>
      <c r="AW820" t="s">
        <v>74</v>
      </c>
      <c r="AX820" t="s">
        <v>74</v>
      </c>
      <c r="AY820" t="s">
        <v>74</v>
      </c>
      <c r="AZ820" t="s">
        <v>74</v>
      </c>
      <c r="BA820" t="s">
        <v>74</v>
      </c>
      <c r="BB820" t="s">
        <v>74</v>
      </c>
      <c r="BC820" t="s">
        <v>74</v>
      </c>
      <c r="BD820">
        <v>106248</v>
      </c>
      <c r="BE820" t="s">
        <v>16070</v>
      </c>
      <c r="BF820" t="str">
        <f>HYPERLINK("http://dx.doi.org/10.1016/j.quascirev.2020.106248","http://dx.doi.org/10.1016/j.quascirev.2020.106248")</f>
        <v>http://dx.doi.org/10.1016/j.quascirev.2020.106248</v>
      </c>
      <c r="BG820" t="s">
        <v>74</v>
      </c>
      <c r="BH820" t="s">
        <v>74</v>
      </c>
      <c r="BI820">
        <v>24</v>
      </c>
      <c r="BJ820" t="s">
        <v>694</v>
      </c>
      <c r="BK820" t="s">
        <v>102</v>
      </c>
      <c r="BL820" t="s">
        <v>695</v>
      </c>
      <c r="BM820" t="s">
        <v>16052</v>
      </c>
      <c r="BN820" t="s">
        <v>74</v>
      </c>
      <c r="BO820" t="s">
        <v>976</v>
      </c>
      <c r="BP820" t="s">
        <v>74</v>
      </c>
      <c r="BQ820" t="s">
        <v>74</v>
      </c>
      <c r="BR820" t="s">
        <v>106</v>
      </c>
      <c r="BS820" t="s">
        <v>16071</v>
      </c>
      <c r="BT820" t="str">
        <f>HYPERLINK("https%3A%2F%2Fwww.webofscience.com%2Fwos%2Fwoscc%2Ffull-record%2FWOS:000525791800008","View Full Record in Web of Science")</f>
        <v>View Full Record in Web of Science</v>
      </c>
    </row>
    <row r="821" spans="1:72" x14ac:dyDescent="0.15">
      <c r="A821" t="s">
        <v>72</v>
      </c>
      <c r="B821" t="s">
        <v>16072</v>
      </c>
      <c r="C821" t="s">
        <v>74</v>
      </c>
      <c r="D821" t="s">
        <v>74</v>
      </c>
      <c r="E821" t="s">
        <v>74</v>
      </c>
      <c r="F821" t="s">
        <v>16073</v>
      </c>
      <c r="G821" t="s">
        <v>74</v>
      </c>
      <c r="H821" t="s">
        <v>74</v>
      </c>
      <c r="I821" t="s">
        <v>16074</v>
      </c>
      <c r="J821" t="s">
        <v>2785</v>
      </c>
      <c r="K821" t="s">
        <v>74</v>
      </c>
      <c r="L821" t="s">
        <v>74</v>
      </c>
      <c r="M821" t="s">
        <v>78</v>
      </c>
      <c r="N821" t="s">
        <v>79</v>
      </c>
      <c r="O821" t="s">
        <v>74</v>
      </c>
      <c r="P821" t="s">
        <v>74</v>
      </c>
      <c r="Q821" t="s">
        <v>74</v>
      </c>
      <c r="R821" t="s">
        <v>74</v>
      </c>
      <c r="S821" t="s">
        <v>74</v>
      </c>
      <c r="T821" t="s">
        <v>16075</v>
      </c>
      <c r="U821" t="s">
        <v>16076</v>
      </c>
      <c r="V821" t="s">
        <v>16077</v>
      </c>
      <c r="W821" t="s">
        <v>16078</v>
      </c>
      <c r="X821" t="s">
        <v>16079</v>
      </c>
      <c r="Y821" t="s">
        <v>16080</v>
      </c>
      <c r="Z821" t="s">
        <v>16081</v>
      </c>
      <c r="AA821" t="s">
        <v>16082</v>
      </c>
      <c r="AB821" t="s">
        <v>16083</v>
      </c>
      <c r="AC821" t="s">
        <v>16084</v>
      </c>
      <c r="AD821" t="s">
        <v>16085</v>
      </c>
      <c r="AE821" t="s">
        <v>16086</v>
      </c>
      <c r="AF821" t="s">
        <v>74</v>
      </c>
      <c r="AG821">
        <v>100</v>
      </c>
      <c r="AH821">
        <v>36</v>
      </c>
      <c r="AI821">
        <v>42</v>
      </c>
      <c r="AJ821">
        <v>9</v>
      </c>
      <c r="AK821">
        <v>67</v>
      </c>
      <c r="AL821" t="s">
        <v>92</v>
      </c>
      <c r="AM821" t="s">
        <v>93</v>
      </c>
      <c r="AN821" t="s">
        <v>94</v>
      </c>
      <c r="AO821" t="s">
        <v>2797</v>
      </c>
      <c r="AP821" t="s">
        <v>2798</v>
      </c>
      <c r="AQ821" t="s">
        <v>74</v>
      </c>
      <c r="AR821" t="s">
        <v>2799</v>
      </c>
      <c r="AS821" t="s">
        <v>2800</v>
      </c>
      <c r="AT821" t="s">
        <v>15914</v>
      </c>
      <c r="AU821">
        <v>2020</v>
      </c>
      <c r="AV821">
        <v>234</v>
      </c>
      <c r="AW821" t="s">
        <v>74</v>
      </c>
      <c r="AX821" t="s">
        <v>74</v>
      </c>
      <c r="AY821" t="s">
        <v>74</v>
      </c>
      <c r="AZ821" t="s">
        <v>74</v>
      </c>
      <c r="BA821" t="s">
        <v>74</v>
      </c>
      <c r="BB821" t="s">
        <v>74</v>
      </c>
      <c r="BC821" t="s">
        <v>74</v>
      </c>
      <c r="BD821">
        <v>106261</v>
      </c>
      <c r="BE821" t="s">
        <v>16087</v>
      </c>
      <c r="BF821" t="str">
        <f>HYPERLINK("http://dx.doi.org/10.1016/j.quascirev.2020.106261","http://dx.doi.org/10.1016/j.quascirev.2020.106261")</f>
        <v>http://dx.doi.org/10.1016/j.quascirev.2020.106261</v>
      </c>
      <c r="BG821" t="s">
        <v>74</v>
      </c>
      <c r="BH821" t="s">
        <v>74</v>
      </c>
      <c r="BI821">
        <v>14</v>
      </c>
      <c r="BJ821" t="s">
        <v>694</v>
      </c>
      <c r="BK821" t="s">
        <v>102</v>
      </c>
      <c r="BL821" t="s">
        <v>695</v>
      </c>
      <c r="BM821" t="s">
        <v>16052</v>
      </c>
      <c r="BN821" t="s">
        <v>74</v>
      </c>
      <c r="BO821" t="s">
        <v>74</v>
      </c>
      <c r="BP821" t="s">
        <v>74</v>
      </c>
      <c r="BQ821" t="s">
        <v>74</v>
      </c>
      <c r="BR821" t="s">
        <v>106</v>
      </c>
      <c r="BS821" t="s">
        <v>16088</v>
      </c>
      <c r="BT821" t="str">
        <f>HYPERLINK("https%3A%2F%2Fwww.webofscience.com%2Fwos%2Fwoscc%2Ffull-record%2FWOS:000525791800012","View Full Record in Web of Science")</f>
        <v>View Full Record in Web of Science</v>
      </c>
    </row>
    <row r="822" spans="1:72" x14ac:dyDescent="0.15">
      <c r="A822" t="s">
        <v>72</v>
      </c>
      <c r="B822" t="s">
        <v>16089</v>
      </c>
      <c r="C822" t="s">
        <v>74</v>
      </c>
      <c r="D822" t="s">
        <v>74</v>
      </c>
      <c r="E822" t="s">
        <v>74</v>
      </c>
      <c r="F822" t="s">
        <v>16090</v>
      </c>
      <c r="G822" t="s">
        <v>74</v>
      </c>
      <c r="H822" t="s">
        <v>74</v>
      </c>
      <c r="I822" t="s">
        <v>16091</v>
      </c>
      <c r="J822" t="s">
        <v>3281</v>
      </c>
      <c r="K822" t="s">
        <v>74</v>
      </c>
      <c r="L822" t="s">
        <v>74</v>
      </c>
      <c r="M822" t="s">
        <v>78</v>
      </c>
      <c r="N822" t="s">
        <v>79</v>
      </c>
      <c r="O822" t="s">
        <v>74</v>
      </c>
      <c r="P822" t="s">
        <v>74</v>
      </c>
      <c r="Q822" t="s">
        <v>74</v>
      </c>
      <c r="R822" t="s">
        <v>74</v>
      </c>
      <c r="S822" t="s">
        <v>74</v>
      </c>
      <c r="T822" t="s">
        <v>16092</v>
      </c>
      <c r="U822" t="s">
        <v>16093</v>
      </c>
      <c r="V822" t="s">
        <v>16094</v>
      </c>
      <c r="W822" t="s">
        <v>16095</v>
      </c>
      <c r="X822" t="s">
        <v>16096</v>
      </c>
      <c r="Y822" t="s">
        <v>16097</v>
      </c>
      <c r="Z822" t="s">
        <v>16098</v>
      </c>
      <c r="AA822" t="s">
        <v>16099</v>
      </c>
      <c r="AB822" t="s">
        <v>16100</v>
      </c>
      <c r="AC822" t="s">
        <v>16101</v>
      </c>
      <c r="AD822" t="s">
        <v>16102</v>
      </c>
      <c r="AE822" t="s">
        <v>16103</v>
      </c>
      <c r="AF822" t="s">
        <v>74</v>
      </c>
      <c r="AG822">
        <v>46</v>
      </c>
      <c r="AH822">
        <v>22</v>
      </c>
      <c r="AI822">
        <v>26</v>
      </c>
      <c r="AJ822">
        <v>0</v>
      </c>
      <c r="AK822">
        <v>6</v>
      </c>
      <c r="AL822" t="s">
        <v>3293</v>
      </c>
      <c r="AM822" t="s">
        <v>3294</v>
      </c>
      <c r="AN822" t="s">
        <v>3295</v>
      </c>
      <c r="AO822" t="s">
        <v>3296</v>
      </c>
      <c r="AP822" t="s">
        <v>3297</v>
      </c>
      <c r="AQ822" t="s">
        <v>74</v>
      </c>
      <c r="AR822" t="s">
        <v>3281</v>
      </c>
      <c r="AS822" t="s">
        <v>3298</v>
      </c>
      <c r="AT822" t="s">
        <v>15914</v>
      </c>
      <c r="AU822">
        <v>2020</v>
      </c>
      <c r="AV822">
        <v>4763</v>
      </c>
      <c r="AW822">
        <v>4</v>
      </c>
      <c r="AX822" t="s">
        <v>74</v>
      </c>
      <c r="AY822" t="s">
        <v>74</v>
      </c>
      <c r="AZ822" t="s">
        <v>74</v>
      </c>
      <c r="BA822" t="s">
        <v>74</v>
      </c>
      <c r="BB822">
        <v>451</v>
      </c>
      <c r="BC822">
        <v>484</v>
      </c>
      <c r="BD822" t="s">
        <v>74</v>
      </c>
      <c r="BE822" t="s">
        <v>16104</v>
      </c>
      <c r="BF822" t="str">
        <f>HYPERLINK("http://dx.doi.org/10.11646/zootaxa.4763.4.1","http://dx.doi.org/10.11646/zootaxa.4763.4.1")</f>
        <v>http://dx.doi.org/10.11646/zootaxa.4763.4.1</v>
      </c>
      <c r="BG822" t="s">
        <v>74</v>
      </c>
      <c r="BH822" t="s">
        <v>74</v>
      </c>
      <c r="BI822">
        <v>34</v>
      </c>
      <c r="BJ822" t="s">
        <v>1499</v>
      </c>
      <c r="BK822" t="s">
        <v>102</v>
      </c>
      <c r="BL822" t="s">
        <v>1499</v>
      </c>
      <c r="BM822" t="s">
        <v>16105</v>
      </c>
      <c r="BN822">
        <v>33056842</v>
      </c>
      <c r="BO822" t="s">
        <v>74</v>
      </c>
      <c r="BP822" t="s">
        <v>74</v>
      </c>
      <c r="BQ822" t="s">
        <v>74</v>
      </c>
      <c r="BR822" t="s">
        <v>106</v>
      </c>
      <c r="BS822" t="s">
        <v>16106</v>
      </c>
      <c r="BT822" t="str">
        <f>HYPERLINK("https%3A%2F%2Fwww.webofscience.com%2Fwos%2Fwoscc%2Ffull-record%2FWOS:000525957600001","View Full Record in Web of Science")</f>
        <v>View Full Record in Web of Science</v>
      </c>
    </row>
    <row r="823" spans="1:72" x14ac:dyDescent="0.15">
      <c r="A823" t="s">
        <v>72</v>
      </c>
      <c r="B823" t="s">
        <v>16107</v>
      </c>
      <c r="C823" t="s">
        <v>74</v>
      </c>
      <c r="D823" t="s">
        <v>74</v>
      </c>
      <c r="E823" t="s">
        <v>74</v>
      </c>
      <c r="F823" t="s">
        <v>16108</v>
      </c>
      <c r="G823" t="s">
        <v>74</v>
      </c>
      <c r="H823" t="s">
        <v>74</v>
      </c>
      <c r="I823" t="s">
        <v>16109</v>
      </c>
      <c r="J823" t="s">
        <v>16110</v>
      </c>
      <c r="K823" t="s">
        <v>74</v>
      </c>
      <c r="L823" t="s">
        <v>74</v>
      </c>
      <c r="M823" t="s">
        <v>78</v>
      </c>
      <c r="N823" t="s">
        <v>79</v>
      </c>
      <c r="O823" t="s">
        <v>74</v>
      </c>
      <c r="P823" t="s">
        <v>74</v>
      </c>
      <c r="Q823" t="s">
        <v>74</v>
      </c>
      <c r="R823" t="s">
        <v>74</v>
      </c>
      <c r="S823" t="s">
        <v>74</v>
      </c>
      <c r="T823" t="s">
        <v>16111</v>
      </c>
      <c r="U823" t="s">
        <v>16112</v>
      </c>
      <c r="V823" t="s">
        <v>16113</v>
      </c>
      <c r="W823" t="s">
        <v>16114</v>
      </c>
      <c r="X823" t="s">
        <v>16115</v>
      </c>
      <c r="Y823" t="s">
        <v>16116</v>
      </c>
      <c r="Z823" t="s">
        <v>16117</v>
      </c>
      <c r="AA823" t="s">
        <v>74</v>
      </c>
      <c r="AB823" t="s">
        <v>16118</v>
      </c>
      <c r="AC823" t="s">
        <v>16119</v>
      </c>
      <c r="AD823" t="s">
        <v>16120</v>
      </c>
      <c r="AE823" t="s">
        <v>16121</v>
      </c>
      <c r="AF823" t="s">
        <v>74</v>
      </c>
      <c r="AG823">
        <v>62</v>
      </c>
      <c r="AH823">
        <v>13</v>
      </c>
      <c r="AI823">
        <v>13</v>
      </c>
      <c r="AJ823">
        <v>2</v>
      </c>
      <c r="AK823">
        <v>26</v>
      </c>
      <c r="AL823" t="s">
        <v>994</v>
      </c>
      <c r="AM823" t="s">
        <v>995</v>
      </c>
      <c r="AN823" t="s">
        <v>996</v>
      </c>
      <c r="AO823" t="s">
        <v>16122</v>
      </c>
      <c r="AP823" t="s">
        <v>16123</v>
      </c>
      <c r="AQ823" t="s">
        <v>74</v>
      </c>
      <c r="AR823" t="s">
        <v>16124</v>
      </c>
      <c r="AS823" t="s">
        <v>16125</v>
      </c>
      <c r="AT823" t="s">
        <v>1930</v>
      </c>
      <c r="AU823">
        <v>2020</v>
      </c>
      <c r="AV823">
        <v>30</v>
      </c>
      <c r="AW823">
        <v>6</v>
      </c>
      <c r="AX823" t="s">
        <v>74</v>
      </c>
      <c r="AY823" t="s">
        <v>74</v>
      </c>
      <c r="AZ823" t="s">
        <v>74</v>
      </c>
      <c r="BA823" t="s">
        <v>74</v>
      </c>
      <c r="BB823" t="s">
        <v>74</v>
      </c>
      <c r="BC823" t="s">
        <v>74</v>
      </c>
      <c r="BD823" t="s">
        <v>74</v>
      </c>
      <c r="BE823" t="s">
        <v>16126</v>
      </c>
      <c r="BF823" t="str">
        <f>HYPERLINK("http://dx.doi.org/10.1002/eap.2122","http://dx.doi.org/10.1002/eap.2122")</f>
        <v>http://dx.doi.org/10.1002/eap.2122</v>
      </c>
      <c r="BG823" t="s">
        <v>74</v>
      </c>
      <c r="BH823" t="s">
        <v>14775</v>
      </c>
      <c r="BI823">
        <v>13</v>
      </c>
      <c r="BJ823" t="s">
        <v>4849</v>
      </c>
      <c r="BK823" t="s">
        <v>925</v>
      </c>
      <c r="BL823" t="s">
        <v>103</v>
      </c>
      <c r="BM823" t="s">
        <v>16127</v>
      </c>
      <c r="BN823">
        <v>32159898</v>
      </c>
      <c r="BO823" t="s">
        <v>294</v>
      </c>
      <c r="BP823" t="s">
        <v>74</v>
      </c>
      <c r="BQ823" t="s">
        <v>74</v>
      </c>
      <c r="BR823" t="s">
        <v>106</v>
      </c>
      <c r="BS823" t="s">
        <v>16128</v>
      </c>
      <c r="BT823" t="str">
        <f>HYPERLINK("https%3A%2F%2Fwww.webofscience.com%2Fwos%2Fwoscc%2Ffull-record%2FWOS:000525804800001","View Full Record in Web of Science")</f>
        <v>View Full Record in Web of Science</v>
      </c>
    </row>
    <row r="824" spans="1:72" x14ac:dyDescent="0.15">
      <c r="A824" t="s">
        <v>72</v>
      </c>
      <c r="B824" t="s">
        <v>16129</v>
      </c>
      <c r="C824" t="s">
        <v>74</v>
      </c>
      <c r="D824" t="s">
        <v>74</v>
      </c>
      <c r="E824" t="s">
        <v>74</v>
      </c>
      <c r="F824" t="s">
        <v>16130</v>
      </c>
      <c r="G824" t="s">
        <v>74</v>
      </c>
      <c r="H824" t="s">
        <v>74</v>
      </c>
      <c r="I824" t="s">
        <v>16131</v>
      </c>
      <c r="J824" t="s">
        <v>3502</v>
      </c>
      <c r="K824" t="s">
        <v>74</v>
      </c>
      <c r="L824" t="s">
        <v>74</v>
      </c>
      <c r="M824" t="s">
        <v>78</v>
      </c>
      <c r="N824" t="s">
        <v>79</v>
      </c>
      <c r="O824" t="s">
        <v>74</v>
      </c>
      <c r="P824" t="s">
        <v>74</v>
      </c>
      <c r="Q824" t="s">
        <v>74</v>
      </c>
      <c r="R824" t="s">
        <v>74</v>
      </c>
      <c r="S824" t="s">
        <v>74</v>
      </c>
      <c r="T824" t="s">
        <v>16132</v>
      </c>
      <c r="U824" t="s">
        <v>16133</v>
      </c>
      <c r="V824" t="s">
        <v>16134</v>
      </c>
      <c r="W824" t="s">
        <v>16135</v>
      </c>
      <c r="X824" t="s">
        <v>16136</v>
      </c>
      <c r="Y824" t="s">
        <v>16137</v>
      </c>
      <c r="Z824" t="s">
        <v>16138</v>
      </c>
      <c r="AA824" t="s">
        <v>16139</v>
      </c>
      <c r="AB824" t="s">
        <v>16140</v>
      </c>
      <c r="AC824" t="s">
        <v>16141</v>
      </c>
      <c r="AD824" t="s">
        <v>16142</v>
      </c>
      <c r="AE824" t="s">
        <v>16143</v>
      </c>
      <c r="AF824" t="s">
        <v>74</v>
      </c>
      <c r="AG824">
        <v>82</v>
      </c>
      <c r="AH824">
        <v>7</v>
      </c>
      <c r="AI824">
        <v>7</v>
      </c>
      <c r="AJ824">
        <v>4</v>
      </c>
      <c r="AK824">
        <v>17</v>
      </c>
      <c r="AL824" t="s">
        <v>994</v>
      </c>
      <c r="AM824" t="s">
        <v>995</v>
      </c>
      <c r="AN824" t="s">
        <v>996</v>
      </c>
      <c r="AO824" t="s">
        <v>3515</v>
      </c>
      <c r="AP824" t="s">
        <v>3516</v>
      </c>
      <c r="AQ824" t="s">
        <v>74</v>
      </c>
      <c r="AR824" t="s">
        <v>3517</v>
      </c>
      <c r="AS824" t="s">
        <v>3518</v>
      </c>
      <c r="AT824" t="s">
        <v>7663</v>
      </c>
      <c r="AU824">
        <v>2020</v>
      </c>
      <c r="AV824">
        <v>56</v>
      </c>
      <c r="AW824">
        <v>3</v>
      </c>
      <c r="AX824" t="s">
        <v>74</v>
      </c>
      <c r="AY824" t="s">
        <v>74</v>
      </c>
      <c r="AZ824" t="s">
        <v>74</v>
      </c>
      <c r="BA824" t="s">
        <v>74</v>
      </c>
      <c r="BB824">
        <v>747</v>
      </c>
      <c r="BC824">
        <v>760</v>
      </c>
      <c r="BD824" t="s">
        <v>74</v>
      </c>
      <c r="BE824" t="s">
        <v>16144</v>
      </c>
      <c r="BF824" t="str">
        <f>HYPERLINK("http://dx.doi.org/10.1111/jpy.12979","http://dx.doi.org/10.1111/jpy.12979")</f>
        <v>http://dx.doi.org/10.1111/jpy.12979</v>
      </c>
      <c r="BG824" t="s">
        <v>74</v>
      </c>
      <c r="BH824" t="s">
        <v>14775</v>
      </c>
      <c r="BI824">
        <v>14</v>
      </c>
      <c r="BJ824" t="s">
        <v>3520</v>
      </c>
      <c r="BK824" t="s">
        <v>102</v>
      </c>
      <c r="BL824" t="s">
        <v>3520</v>
      </c>
      <c r="BM824" t="s">
        <v>16145</v>
      </c>
      <c r="BN824">
        <v>32068264</v>
      </c>
      <c r="BO824" t="s">
        <v>189</v>
      </c>
      <c r="BP824" t="s">
        <v>74</v>
      </c>
      <c r="BQ824" t="s">
        <v>74</v>
      </c>
      <c r="BR824" t="s">
        <v>106</v>
      </c>
      <c r="BS824" t="s">
        <v>16146</v>
      </c>
      <c r="BT824" t="str">
        <f>HYPERLINK("https%3A%2F%2Fwww.webofscience.com%2Fwos%2Fwoscc%2Ffull-record%2FWOS:000525781800001","View Full Record in Web of Science")</f>
        <v>View Full Record in Web of Science</v>
      </c>
    </row>
    <row r="825" spans="1:72" x14ac:dyDescent="0.15">
      <c r="A825" t="s">
        <v>72</v>
      </c>
      <c r="B825" t="s">
        <v>16147</v>
      </c>
      <c r="C825" t="s">
        <v>74</v>
      </c>
      <c r="D825" t="s">
        <v>74</v>
      </c>
      <c r="E825" t="s">
        <v>74</v>
      </c>
      <c r="F825" t="s">
        <v>16148</v>
      </c>
      <c r="G825" t="s">
        <v>74</v>
      </c>
      <c r="H825" t="s">
        <v>74</v>
      </c>
      <c r="I825" t="s">
        <v>16149</v>
      </c>
      <c r="J825" t="s">
        <v>299</v>
      </c>
      <c r="K825" t="s">
        <v>74</v>
      </c>
      <c r="L825" t="s">
        <v>74</v>
      </c>
      <c r="M825" t="s">
        <v>78</v>
      </c>
      <c r="N825" t="s">
        <v>79</v>
      </c>
      <c r="O825" t="s">
        <v>74</v>
      </c>
      <c r="P825" t="s">
        <v>74</v>
      </c>
      <c r="Q825" t="s">
        <v>74</v>
      </c>
      <c r="R825" t="s">
        <v>74</v>
      </c>
      <c r="S825" t="s">
        <v>74</v>
      </c>
      <c r="T825" t="s">
        <v>16150</v>
      </c>
      <c r="U825" t="s">
        <v>16151</v>
      </c>
      <c r="V825" t="s">
        <v>16152</v>
      </c>
      <c r="W825" t="s">
        <v>16153</v>
      </c>
      <c r="X825" t="s">
        <v>390</v>
      </c>
      <c r="Y825" t="s">
        <v>16154</v>
      </c>
      <c r="Z825" t="s">
        <v>16155</v>
      </c>
      <c r="AA825" t="s">
        <v>16156</v>
      </c>
      <c r="AB825" t="s">
        <v>16157</v>
      </c>
      <c r="AC825" t="s">
        <v>16158</v>
      </c>
      <c r="AD825" t="s">
        <v>16159</v>
      </c>
      <c r="AE825" t="s">
        <v>16160</v>
      </c>
      <c r="AF825" t="s">
        <v>74</v>
      </c>
      <c r="AG825">
        <v>66</v>
      </c>
      <c r="AH825">
        <v>3</v>
      </c>
      <c r="AI825">
        <v>3</v>
      </c>
      <c r="AJ825">
        <v>1</v>
      </c>
      <c r="AK825">
        <v>22</v>
      </c>
      <c r="AL825" t="s">
        <v>284</v>
      </c>
      <c r="AM825" t="s">
        <v>285</v>
      </c>
      <c r="AN825" t="s">
        <v>286</v>
      </c>
      <c r="AO825" t="s">
        <v>312</v>
      </c>
      <c r="AP825" t="s">
        <v>313</v>
      </c>
      <c r="AQ825" t="s">
        <v>74</v>
      </c>
      <c r="AR825" t="s">
        <v>314</v>
      </c>
      <c r="AS825" t="s">
        <v>315</v>
      </c>
      <c r="AT825" t="s">
        <v>15914</v>
      </c>
      <c r="AU825">
        <v>2020</v>
      </c>
      <c r="AV825">
        <v>713</v>
      </c>
      <c r="AW825" t="s">
        <v>74</v>
      </c>
      <c r="AX825" t="s">
        <v>74</v>
      </c>
      <c r="AY825" t="s">
        <v>74</v>
      </c>
      <c r="AZ825" t="s">
        <v>74</v>
      </c>
      <c r="BA825" t="s">
        <v>74</v>
      </c>
      <c r="BB825" t="s">
        <v>74</v>
      </c>
      <c r="BC825" t="s">
        <v>74</v>
      </c>
      <c r="BD825">
        <v>136629</v>
      </c>
      <c r="BE825" t="s">
        <v>16161</v>
      </c>
      <c r="BF825" t="str">
        <f>HYPERLINK("http://dx.doi.org/10.1016/j.scitotenv.2020.136629","http://dx.doi.org/10.1016/j.scitotenv.2020.136629")</f>
        <v>http://dx.doi.org/10.1016/j.scitotenv.2020.136629</v>
      </c>
      <c r="BG825" t="s">
        <v>74</v>
      </c>
      <c r="BH825" t="s">
        <v>74</v>
      </c>
      <c r="BI825">
        <v>10</v>
      </c>
      <c r="BJ825" t="s">
        <v>101</v>
      </c>
      <c r="BK825" t="s">
        <v>102</v>
      </c>
      <c r="BL825" t="s">
        <v>103</v>
      </c>
      <c r="BM825" t="s">
        <v>16162</v>
      </c>
      <c r="BN825">
        <v>31955103</v>
      </c>
      <c r="BO825" t="s">
        <v>74</v>
      </c>
      <c r="BP825" t="s">
        <v>74</v>
      </c>
      <c r="BQ825" t="s">
        <v>74</v>
      </c>
      <c r="BR825" t="s">
        <v>106</v>
      </c>
      <c r="BS825" t="s">
        <v>16163</v>
      </c>
      <c r="BT825" t="str">
        <f>HYPERLINK("https%3A%2F%2Fwww.webofscience.com%2Fwos%2Fwoscc%2Ffull-record%2FWOS:000514544700067","View Full Record in Web of Science")</f>
        <v>View Full Record in Web of Science</v>
      </c>
    </row>
    <row r="826" spans="1:72" x14ac:dyDescent="0.15">
      <c r="A826" t="s">
        <v>72</v>
      </c>
      <c r="B826" t="s">
        <v>16164</v>
      </c>
      <c r="C826" t="s">
        <v>74</v>
      </c>
      <c r="D826" t="s">
        <v>74</v>
      </c>
      <c r="E826" t="s">
        <v>74</v>
      </c>
      <c r="F826" t="s">
        <v>16165</v>
      </c>
      <c r="G826" t="s">
        <v>74</v>
      </c>
      <c r="H826" t="s">
        <v>74</v>
      </c>
      <c r="I826" t="s">
        <v>16166</v>
      </c>
      <c r="J826" t="s">
        <v>412</v>
      </c>
      <c r="K826" t="s">
        <v>74</v>
      </c>
      <c r="L826" t="s">
        <v>74</v>
      </c>
      <c r="M826" t="s">
        <v>78</v>
      </c>
      <c r="N826" t="s">
        <v>79</v>
      </c>
      <c r="O826" t="s">
        <v>74</v>
      </c>
      <c r="P826" t="s">
        <v>74</v>
      </c>
      <c r="Q826" t="s">
        <v>74</v>
      </c>
      <c r="R826" t="s">
        <v>74</v>
      </c>
      <c r="S826" t="s">
        <v>74</v>
      </c>
      <c r="T826" t="s">
        <v>16167</v>
      </c>
      <c r="U826" t="s">
        <v>16168</v>
      </c>
      <c r="V826" t="s">
        <v>16169</v>
      </c>
      <c r="W826" t="s">
        <v>16170</v>
      </c>
      <c r="X826" t="s">
        <v>16171</v>
      </c>
      <c r="Y826" t="s">
        <v>16172</v>
      </c>
      <c r="Z826" t="s">
        <v>16173</v>
      </c>
      <c r="AA826" t="s">
        <v>16174</v>
      </c>
      <c r="AB826" t="s">
        <v>16175</v>
      </c>
      <c r="AC826" t="s">
        <v>16176</v>
      </c>
      <c r="AD826" t="s">
        <v>688</v>
      </c>
      <c r="AE826" t="s">
        <v>16177</v>
      </c>
      <c r="AF826" t="s">
        <v>74</v>
      </c>
      <c r="AG826">
        <v>140</v>
      </c>
      <c r="AH826">
        <v>14</v>
      </c>
      <c r="AI826">
        <v>14</v>
      </c>
      <c r="AJ826">
        <v>4</v>
      </c>
      <c r="AK826">
        <v>53</v>
      </c>
      <c r="AL826" t="s">
        <v>92</v>
      </c>
      <c r="AM826" t="s">
        <v>93</v>
      </c>
      <c r="AN826" t="s">
        <v>94</v>
      </c>
      <c r="AO826" t="s">
        <v>425</v>
      </c>
      <c r="AP826" t="s">
        <v>426</v>
      </c>
      <c r="AQ826" t="s">
        <v>74</v>
      </c>
      <c r="AR826" t="s">
        <v>427</v>
      </c>
      <c r="AS826" t="s">
        <v>428</v>
      </c>
      <c r="AT826" t="s">
        <v>15914</v>
      </c>
      <c r="AU826">
        <v>2020</v>
      </c>
      <c r="AV826">
        <v>275</v>
      </c>
      <c r="AW826" t="s">
        <v>74</v>
      </c>
      <c r="AX826" t="s">
        <v>74</v>
      </c>
      <c r="AY826" t="s">
        <v>74</v>
      </c>
      <c r="AZ826" t="s">
        <v>74</v>
      </c>
      <c r="BA826" t="s">
        <v>74</v>
      </c>
      <c r="BB826">
        <v>140</v>
      </c>
      <c r="BC826">
        <v>162</v>
      </c>
      <c r="BD826" t="s">
        <v>74</v>
      </c>
      <c r="BE826" t="s">
        <v>16178</v>
      </c>
      <c r="BF826" t="str">
        <f>HYPERLINK("http://dx.doi.org/10.1016/j.gca.2020.02.018","http://dx.doi.org/10.1016/j.gca.2020.02.018")</f>
        <v>http://dx.doi.org/10.1016/j.gca.2020.02.018</v>
      </c>
      <c r="BG826" t="s">
        <v>74</v>
      </c>
      <c r="BH826" t="s">
        <v>74</v>
      </c>
      <c r="BI826">
        <v>23</v>
      </c>
      <c r="BJ826" t="s">
        <v>131</v>
      </c>
      <c r="BK826" t="s">
        <v>102</v>
      </c>
      <c r="BL826" t="s">
        <v>131</v>
      </c>
      <c r="BM826" t="s">
        <v>16179</v>
      </c>
      <c r="BN826" t="s">
        <v>74</v>
      </c>
      <c r="BO826" t="s">
        <v>74</v>
      </c>
      <c r="BP826" t="s">
        <v>74</v>
      </c>
      <c r="BQ826" t="s">
        <v>74</v>
      </c>
      <c r="BR826" t="s">
        <v>106</v>
      </c>
      <c r="BS826" t="s">
        <v>16180</v>
      </c>
      <c r="BT826" t="str">
        <f>HYPERLINK("https%3A%2F%2Fwww.webofscience.com%2Fwos%2Fwoscc%2Ffull-record%2FWOS:000520018300009","View Full Record in Web of Science")</f>
        <v>View Full Record in Web of Science</v>
      </c>
    </row>
    <row r="827" spans="1:72" x14ac:dyDescent="0.15">
      <c r="A827" t="s">
        <v>72</v>
      </c>
      <c r="B827" t="s">
        <v>16181</v>
      </c>
      <c r="C827" t="s">
        <v>74</v>
      </c>
      <c r="D827" t="s">
        <v>74</v>
      </c>
      <c r="E827" t="s">
        <v>74</v>
      </c>
      <c r="F827" t="s">
        <v>16182</v>
      </c>
      <c r="G827" t="s">
        <v>74</v>
      </c>
      <c r="H827" t="s">
        <v>74</v>
      </c>
      <c r="I827" t="s">
        <v>16183</v>
      </c>
      <c r="J827" t="s">
        <v>3046</v>
      </c>
      <c r="K827" t="s">
        <v>74</v>
      </c>
      <c r="L827" t="s">
        <v>74</v>
      </c>
      <c r="M827" t="s">
        <v>78</v>
      </c>
      <c r="N827" t="s">
        <v>1850</v>
      </c>
      <c r="O827" t="s">
        <v>74</v>
      </c>
      <c r="P827" t="s">
        <v>74</v>
      </c>
      <c r="Q827" t="s">
        <v>74</v>
      </c>
      <c r="R827" t="s">
        <v>74</v>
      </c>
      <c r="S827" t="s">
        <v>74</v>
      </c>
      <c r="T827" t="s">
        <v>74</v>
      </c>
      <c r="U827" t="s">
        <v>74</v>
      </c>
      <c r="V827" t="s">
        <v>74</v>
      </c>
      <c r="W827" t="s">
        <v>16184</v>
      </c>
      <c r="X827" t="s">
        <v>16185</v>
      </c>
      <c r="Y827" t="s">
        <v>16186</v>
      </c>
      <c r="Z827" t="s">
        <v>14623</v>
      </c>
      <c r="AA827" t="s">
        <v>16187</v>
      </c>
      <c r="AB827" t="s">
        <v>74</v>
      </c>
      <c r="AC827" t="s">
        <v>74</v>
      </c>
      <c r="AD827" t="s">
        <v>74</v>
      </c>
      <c r="AE827" t="s">
        <v>74</v>
      </c>
      <c r="AF827" t="s">
        <v>74</v>
      </c>
      <c r="AG827">
        <v>0</v>
      </c>
      <c r="AH827">
        <v>0</v>
      </c>
      <c r="AI827">
        <v>0</v>
      </c>
      <c r="AJ827">
        <v>0</v>
      </c>
      <c r="AK827">
        <v>4</v>
      </c>
      <c r="AL827" t="s">
        <v>994</v>
      </c>
      <c r="AM827" t="s">
        <v>995</v>
      </c>
      <c r="AN827" t="s">
        <v>996</v>
      </c>
      <c r="AO827" t="s">
        <v>3057</v>
      </c>
      <c r="AP827" t="s">
        <v>3058</v>
      </c>
      <c r="AQ827" t="s">
        <v>74</v>
      </c>
      <c r="AR827" t="s">
        <v>3059</v>
      </c>
      <c r="AS827" t="s">
        <v>3060</v>
      </c>
      <c r="AT827" t="s">
        <v>7663</v>
      </c>
      <c r="AU827">
        <v>2020</v>
      </c>
      <c r="AV827">
        <v>43</v>
      </c>
      <c r="AW827">
        <v>6</v>
      </c>
      <c r="AX827" t="s">
        <v>74</v>
      </c>
      <c r="AY827" t="s">
        <v>74</v>
      </c>
      <c r="AZ827" t="s">
        <v>74</v>
      </c>
      <c r="BA827" t="s">
        <v>74</v>
      </c>
      <c r="BB827">
        <v>635</v>
      </c>
      <c r="BC827">
        <v>635</v>
      </c>
      <c r="BD827" t="s">
        <v>74</v>
      </c>
      <c r="BE827" t="s">
        <v>16188</v>
      </c>
      <c r="BF827" t="str">
        <f>HYPERLINK("http://dx.doi.org/10.1111/jfd.13157","http://dx.doi.org/10.1111/jfd.13157")</f>
        <v>http://dx.doi.org/10.1111/jfd.13157</v>
      </c>
      <c r="BG827" t="s">
        <v>74</v>
      </c>
      <c r="BH827" t="s">
        <v>14775</v>
      </c>
      <c r="BI827">
        <v>1</v>
      </c>
      <c r="BJ827" t="s">
        <v>3062</v>
      </c>
      <c r="BK827" t="s">
        <v>102</v>
      </c>
      <c r="BL827" t="s">
        <v>3062</v>
      </c>
      <c r="BM827" t="s">
        <v>16189</v>
      </c>
      <c r="BN827">
        <v>32291767</v>
      </c>
      <c r="BO827" t="s">
        <v>1657</v>
      </c>
      <c r="BP827" t="s">
        <v>74</v>
      </c>
      <c r="BQ827" t="s">
        <v>74</v>
      </c>
      <c r="BR827" t="s">
        <v>106</v>
      </c>
      <c r="BS827" t="s">
        <v>16190</v>
      </c>
      <c r="BT827" t="str">
        <f>HYPERLINK("https%3A%2F%2Fwww.webofscience.com%2Fwos%2Fwoscc%2Ffull-record%2FWOS:000525815500001","View Full Record in Web of Science")</f>
        <v>View Full Record in Web of Science</v>
      </c>
    </row>
    <row r="828" spans="1:72" x14ac:dyDescent="0.15">
      <c r="A828" t="s">
        <v>72</v>
      </c>
      <c r="B828" t="s">
        <v>16191</v>
      </c>
      <c r="C828" t="s">
        <v>74</v>
      </c>
      <c r="D828" t="s">
        <v>74</v>
      </c>
      <c r="E828" t="s">
        <v>74</v>
      </c>
      <c r="F828" t="s">
        <v>16192</v>
      </c>
      <c r="G828" t="s">
        <v>74</v>
      </c>
      <c r="H828" t="s">
        <v>74</v>
      </c>
      <c r="I828" t="s">
        <v>16193</v>
      </c>
      <c r="J828" t="s">
        <v>1106</v>
      </c>
      <c r="K828" t="s">
        <v>74</v>
      </c>
      <c r="L828" t="s">
        <v>74</v>
      </c>
      <c r="M828" t="s">
        <v>78</v>
      </c>
      <c r="N828" t="s">
        <v>79</v>
      </c>
      <c r="O828" t="s">
        <v>74</v>
      </c>
      <c r="P828" t="s">
        <v>74</v>
      </c>
      <c r="Q828" t="s">
        <v>74</v>
      </c>
      <c r="R828" t="s">
        <v>74</v>
      </c>
      <c r="S828" t="s">
        <v>74</v>
      </c>
      <c r="T828" t="s">
        <v>74</v>
      </c>
      <c r="U828" t="s">
        <v>16194</v>
      </c>
      <c r="V828" t="s">
        <v>16195</v>
      </c>
      <c r="W828" t="s">
        <v>16196</v>
      </c>
      <c r="X828" t="s">
        <v>16197</v>
      </c>
      <c r="Y828" t="s">
        <v>16198</v>
      </c>
      <c r="Z828" t="s">
        <v>16199</v>
      </c>
      <c r="AA828" t="s">
        <v>16200</v>
      </c>
      <c r="AB828" t="s">
        <v>16201</v>
      </c>
      <c r="AC828" t="s">
        <v>16202</v>
      </c>
      <c r="AD828" t="s">
        <v>16203</v>
      </c>
      <c r="AE828" t="s">
        <v>16204</v>
      </c>
      <c r="AF828" t="s">
        <v>74</v>
      </c>
      <c r="AG828">
        <v>50</v>
      </c>
      <c r="AH828">
        <v>7</v>
      </c>
      <c r="AI828">
        <v>7</v>
      </c>
      <c r="AJ828">
        <v>2</v>
      </c>
      <c r="AK828">
        <v>9</v>
      </c>
      <c r="AL828" t="s">
        <v>1389</v>
      </c>
      <c r="AM828" t="s">
        <v>945</v>
      </c>
      <c r="AN828" t="s">
        <v>1390</v>
      </c>
      <c r="AO828" t="s">
        <v>1121</v>
      </c>
      <c r="AP828" t="s">
        <v>74</v>
      </c>
      <c r="AQ828" t="s">
        <v>74</v>
      </c>
      <c r="AR828" t="s">
        <v>1122</v>
      </c>
      <c r="AS828" t="s">
        <v>1123</v>
      </c>
      <c r="AT828" t="s">
        <v>16205</v>
      </c>
      <c r="AU828">
        <v>2020</v>
      </c>
      <c r="AV828">
        <v>10</v>
      </c>
      <c r="AW828">
        <v>1</v>
      </c>
      <c r="AX828" t="s">
        <v>74</v>
      </c>
      <c r="AY828" t="s">
        <v>74</v>
      </c>
      <c r="AZ828" t="s">
        <v>74</v>
      </c>
      <c r="BA828" t="s">
        <v>74</v>
      </c>
      <c r="BB828" t="s">
        <v>74</v>
      </c>
      <c r="BC828" t="s">
        <v>74</v>
      </c>
      <c r="BD828">
        <v>6385</v>
      </c>
      <c r="BE828" t="s">
        <v>16206</v>
      </c>
      <c r="BF828" t="str">
        <f>HYPERLINK("http://dx.doi.org/10.1038/s41598-020-63429-2","http://dx.doi.org/10.1038/s41598-020-63429-2")</f>
        <v>http://dx.doi.org/10.1038/s41598-020-63429-2</v>
      </c>
      <c r="BG828" t="s">
        <v>74</v>
      </c>
      <c r="BH828" t="s">
        <v>74</v>
      </c>
      <c r="BI828">
        <v>9</v>
      </c>
      <c r="BJ828" t="s">
        <v>1125</v>
      </c>
      <c r="BK828" t="s">
        <v>102</v>
      </c>
      <c r="BL828" t="s">
        <v>1126</v>
      </c>
      <c r="BM828" t="s">
        <v>16207</v>
      </c>
      <c r="BN828">
        <v>32286466</v>
      </c>
      <c r="BO828" t="s">
        <v>1128</v>
      </c>
      <c r="BP828" t="s">
        <v>74</v>
      </c>
      <c r="BQ828" t="s">
        <v>74</v>
      </c>
      <c r="BR828" t="s">
        <v>106</v>
      </c>
      <c r="BS828" t="s">
        <v>16208</v>
      </c>
      <c r="BT828" t="str">
        <f>HYPERLINK("https%3A%2F%2Fwww.webofscience.com%2Fwos%2Fwoscc%2Ffull-record%2FWOS:000562162800063","View Full Record in Web of Science")</f>
        <v>View Full Record in Web of Science</v>
      </c>
    </row>
    <row r="829" spans="1:72" x14ac:dyDescent="0.15">
      <c r="A829" t="s">
        <v>72</v>
      </c>
      <c r="B829" t="s">
        <v>16209</v>
      </c>
      <c r="C829" t="s">
        <v>74</v>
      </c>
      <c r="D829" t="s">
        <v>74</v>
      </c>
      <c r="E829" t="s">
        <v>74</v>
      </c>
      <c r="F829" t="s">
        <v>16210</v>
      </c>
      <c r="G829" t="s">
        <v>74</v>
      </c>
      <c r="H829" t="s">
        <v>74</v>
      </c>
      <c r="I829" t="s">
        <v>16211</v>
      </c>
      <c r="J829" t="s">
        <v>16212</v>
      </c>
      <c r="K829" t="s">
        <v>74</v>
      </c>
      <c r="L829" t="s">
        <v>74</v>
      </c>
      <c r="M829" t="s">
        <v>78</v>
      </c>
      <c r="N829" t="s">
        <v>79</v>
      </c>
      <c r="O829" t="s">
        <v>74</v>
      </c>
      <c r="P829" t="s">
        <v>74</v>
      </c>
      <c r="Q829" t="s">
        <v>74</v>
      </c>
      <c r="R829" t="s">
        <v>74</v>
      </c>
      <c r="S829" t="s">
        <v>74</v>
      </c>
      <c r="T829" t="s">
        <v>16213</v>
      </c>
      <c r="U829" t="s">
        <v>16214</v>
      </c>
      <c r="V829" t="s">
        <v>16215</v>
      </c>
      <c r="W829" t="s">
        <v>16216</v>
      </c>
      <c r="X829" t="s">
        <v>16217</v>
      </c>
      <c r="Y829" t="s">
        <v>16218</v>
      </c>
      <c r="Z829" t="s">
        <v>16219</v>
      </c>
      <c r="AA829" t="s">
        <v>16220</v>
      </c>
      <c r="AB829" t="s">
        <v>16221</v>
      </c>
      <c r="AC829" t="s">
        <v>16222</v>
      </c>
      <c r="AD829" t="s">
        <v>16222</v>
      </c>
      <c r="AE829" t="s">
        <v>16223</v>
      </c>
      <c r="AF829" t="s">
        <v>74</v>
      </c>
      <c r="AG829">
        <v>91</v>
      </c>
      <c r="AH829">
        <v>1</v>
      </c>
      <c r="AI829">
        <v>1</v>
      </c>
      <c r="AJ829">
        <v>2</v>
      </c>
      <c r="AK829">
        <v>14</v>
      </c>
      <c r="AL829" t="s">
        <v>1411</v>
      </c>
      <c r="AM829" t="s">
        <v>1412</v>
      </c>
      <c r="AN829" t="s">
        <v>1413</v>
      </c>
      <c r="AO829" t="s">
        <v>16224</v>
      </c>
      <c r="AP829" t="s">
        <v>16225</v>
      </c>
      <c r="AQ829" t="s">
        <v>74</v>
      </c>
      <c r="AR829" t="s">
        <v>16226</v>
      </c>
      <c r="AS829" t="s">
        <v>16227</v>
      </c>
      <c r="AT829" t="s">
        <v>15412</v>
      </c>
      <c r="AU829">
        <v>2022</v>
      </c>
      <c r="AV829">
        <v>42</v>
      </c>
      <c r="AW829">
        <v>3</v>
      </c>
      <c r="AX829" t="s">
        <v>74</v>
      </c>
      <c r="AY829" t="s">
        <v>74</v>
      </c>
      <c r="AZ829" t="s">
        <v>74</v>
      </c>
      <c r="BA829" t="s">
        <v>74</v>
      </c>
      <c r="BB829">
        <v>771</v>
      </c>
      <c r="BC829">
        <v>790</v>
      </c>
      <c r="BD829" t="s">
        <v>74</v>
      </c>
      <c r="BE829" t="s">
        <v>16228</v>
      </c>
      <c r="BF829" t="str">
        <f>HYPERLINK("http://dx.doi.org/10.1080/10406638.2020.1751666","http://dx.doi.org/10.1080/10406638.2020.1751666")</f>
        <v>http://dx.doi.org/10.1080/10406638.2020.1751666</v>
      </c>
      <c r="BG829" t="s">
        <v>74</v>
      </c>
      <c r="BH829" t="s">
        <v>14775</v>
      </c>
      <c r="BI829">
        <v>20</v>
      </c>
      <c r="BJ829" t="s">
        <v>16229</v>
      </c>
      <c r="BK829" t="s">
        <v>102</v>
      </c>
      <c r="BL829" t="s">
        <v>3680</v>
      </c>
      <c r="BM829" t="s">
        <v>16230</v>
      </c>
      <c r="BN829" t="s">
        <v>74</v>
      </c>
      <c r="BO829" t="s">
        <v>74</v>
      </c>
      <c r="BP829" t="s">
        <v>74</v>
      </c>
      <c r="BQ829" t="s">
        <v>74</v>
      </c>
      <c r="BR829" t="s">
        <v>106</v>
      </c>
      <c r="BS829" t="s">
        <v>16231</v>
      </c>
      <c r="BT829" t="str">
        <f>HYPERLINK("https%3A%2F%2Fwww.webofscience.com%2Fwos%2Fwoscc%2Ffull-record%2FWOS:000527182700001","View Full Record in Web of Science")</f>
        <v>View Full Record in Web of Science</v>
      </c>
    </row>
    <row r="830" spans="1:72" x14ac:dyDescent="0.15">
      <c r="A830" t="s">
        <v>72</v>
      </c>
      <c r="B830" t="s">
        <v>16232</v>
      </c>
      <c r="C830" t="s">
        <v>74</v>
      </c>
      <c r="D830" t="s">
        <v>74</v>
      </c>
      <c r="E830" t="s">
        <v>74</v>
      </c>
      <c r="F830" t="s">
        <v>16233</v>
      </c>
      <c r="G830" t="s">
        <v>74</v>
      </c>
      <c r="H830" t="s">
        <v>74</v>
      </c>
      <c r="I830" t="s">
        <v>16234</v>
      </c>
      <c r="J830" t="s">
        <v>981</v>
      </c>
      <c r="K830" t="s">
        <v>74</v>
      </c>
      <c r="L830" t="s">
        <v>74</v>
      </c>
      <c r="M830" t="s">
        <v>78</v>
      </c>
      <c r="N830" t="s">
        <v>79</v>
      </c>
      <c r="O830" t="s">
        <v>74</v>
      </c>
      <c r="P830" t="s">
        <v>74</v>
      </c>
      <c r="Q830" t="s">
        <v>74</v>
      </c>
      <c r="R830" t="s">
        <v>74</v>
      </c>
      <c r="S830" t="s">
        <v>74</v>
      </c>
      <c r="T830" t="s">
        <v>16235</v>
      </c>
      <c r="U830" t="s">
        <v>16236</v>
      </c>
      <c r="V830" t="s">
        <v>16237</v>
      </c>
      <c r="W830" t="s">
        <v>16238</v>
      </c>
      <c r="X830" t="s">
        <v>16239</v>
      </c>
      <c r="Y830" t="s">
        <v>16240</v>
      </c>
      <c r="Z830" t="s">
        <v>16241</v>
      </c>
      <c r="AA830" t="s">
        <v>16242</v>
      </c>
      <c r="AB830" t="s">
        <v>16243</v>
      </c>
      <c r="AC830" t="s">
        <v>16244</v>
      </c>
      <c r="AD830" t="s">
        <v>16245</v>
      </c>
      <c r="AE830" t="s">
        <v>16246</v>
      </c>
      <c r="AF830" t="s">
        <v>74</v>
      </c>
      <c r="AG830">
        <v>73</v>
      </c>
      <c r="AH830">
        <v>32</v>
      </c>
      <c r="AI830">
        <v>34</v>
      </c>
      <c r="AJ830">
        <v>7</v>
      </c>
      <c r="AK830">
        <v>32</v>
      </c>
      <c r="AL830" t="s">
        <v>994</v>
      </c>
      <c r="AM830" t="s">
        <v>995</v>
      </c>
      <c r="AN830" t="s">
        <v>996</v>
      </c>
      <c r="AO830" t="s">
        <v>997</v>
      </c>
      <c r="AP830" t="s">
        <v>998</v>
      </c>
      <c r="AQ830" t="s">
        <v>74</v>
      </c>
      <c r="AR830" t="s">
        <v>999</v>
      </c>
      <c r="AS830" t="s">
        <v>1000</v>
      </c>
      <c r="AT830" t="s">
        <v>7663</v>
      </c>
      <c r="AU830">
        <v>2020</v>
      </c>
      <c r="AV830">
        <v>26</v>
      </c>
      <c r="AW830">
        <v>6</v>
      </c>
      <c r="AX830" t="s">
        <v>74</v>
      </c>
      <c r="AY830" t="s">
        <v>74</v>
      </c>
      <c r="AZ830" t="s">
        <v>74</v>
      </c>
      <c r="BA830" t="s">
        <v>74</v>
      </c>
      <c r="BB830">
        <v>715</v>
      </c>
      <c r="BC830">
        <v>729</v>
      </c>
      <c r="BD830" t="s">
        <v>74</v>
      </c>
      <c r="BE830" t="s">
        <v>16247</v>
      </c>
      <c r="BF830" t="str">
        <f>HYPERLINK("http://dx.doi.org/10.1111/ddi.13041","http://dx.doi.org/10.1111/ddi.13041")</f>
        <v>http://dx.doi.org/10.1111/ddi.13041</v>
      </c>
      <c r="BG830" t="s">
        <v>74</v>
      </c>
      <c r="BH830" t="s">
        <v>14775</v>
      </c>
      <c r="BI830">
        <v>15</v>
      </c>
      <c r="BJ830" t="s">
        <v>1004</v>
      </c>
      <c r="BK830" t="s">
        <v>925</v>
      </c>
      <c r="BL830" t="s">
        <v>1005</v>
      </c>
      <c r="BM830" t="s">
        <v>16248</v>
      </c>
      <c r="BN830" t="s">
        <v>74</v>
      </c>
      <c r="BO830" t="s">
        <v>4945</v>
      </c>
      <c r="BP830" t="s">
        <v>74</v>
      </c>
      <c r="BQ830" t="s">
        <v>74</v>
      </c>
      <c r="BR830" t="s">
        <v>106</v>
      </c>
      <c r="BS830" t="s">
        <v>16249</v>
      </c>
      <c r="BT830" t="str">
        <f>HYPERLINK("https%3A%2F%2Fwww.webofscience.com%2Fwos%2Fwoscc%2Ffull-record%2FWOS:000525941200001","View Full Record in Web of Science")</f>
        <v>View Full Record in Web of Science</v>
      </c>
    </row>
    <row r="831" spans="1:72" x14ac:dyDescent="0.15">
      <c r="A831" t="s">
        <v>72</v>
      </c>
      <c r="B831" t="s">
        <v>16250</v>
      </c>
      <c r="C831" t="s">
        <v>74</v>
      </c>
      <c r="D831" t="s">
        <v>74</v>
      </c>
      <c r="E831" t="s">
        <v>74</v>
      </c>
      <c r="F831" t="s">
        <v>16251</v>
      </c>
      <c r="G831" t="s">
        <v>74</v>
      </c>
      <c r="H831" t="s">
        <v>74</v>
      </c>
      <c r="I831" t="s">
        <v>16252</v>
      </c>
      <c r="J831" t="s">
        <v>11293</v>
      </c>
      <c r="K831" t="s">
        <v>74</v>
      </c>
      <c r="L831" t="s">
        <v>74</v>
      </c>
      <c r="M831" t="s">
        <v>78</v>
      </c>
      <c r="N831" t="s">
        <v>79</v>
      </c>
      <c r="O831" t="s">
        <v>74</v>
      </c>
      <c r="P831" t="s">
        <v>74</v>
      </c>
      <c r="Q831" t="s">
        <v>74</v>
      </c>
      <c r="R831" t="s">
        <v>74</v>
      </c>
      <c r="S831" t="s">
        <v>74</v>
      </c>
      <c r="T831" t="s">
        <v>74</v>
      </c>
      <c r="U831" t="s">
        <v>16253</v>
      </c>
      <c r="V831" t="s">
        <v>16254</v>
      </c>
      <c r="W831" t="s">
        <v>16255</v>
      </c>
      <c r="X831" t="s">
        <v>16256</v>
      </c>
      <c r="Y831" t="s">
        <v>16257</v>
      </c>
      <c r="Z831" t="s">
        <v>16258</v>
      </c>
      <c r="AA831" t="s">
        <v>16259</v>
      </c>
      <c r="AB831" t="s">
        <v>16260</v>
      </c>
      <c r="AC831" t="s">
        <v>16261</v>
      </c>
      <c r="AD831" t="s">
        <v>16262</v>
      </c>
      <c r="AE831" t="s">
        <v>16263</v>
      </c>
      <c r="AF831" t="s">
        <v>74</v>
      </c>
      <c r="AG831">
        <v>61</v>
      </c>
      <c r="AH831">
        <v>45</v>
      </c>
      <c r="AI831">
        <v>48</v>
      </c>
      <c r="AJ831">
        <v>1</v>
      </c>
      <c r="AK831">
        <v>11</v>
      </c>
      <c r="AL831" t="s">
        <v>7699</v>
      </c>
      <c r="AM831" t="s">
        <v>945</v>
      </c>
      <c r="AN831" t="s">
        <v>7700</v>
      </c>
      <c r="AO831" t="s">
        <v>11305</v>
      </c>
      <c r="AP831" t="s">
        <v>11306</v>
      </c>
      <c r="AQ831" t="s">
        <v>74</v>
      </c>
      <c r="AR831" t="s">
        <v>11307</v>
      </c>
      <c r="AS831" t="s">
        <v>11308</v>
      </c>
      <c r="AT831" t="s">
        <v>3950</v>
      </c>
      <c r="AU831">
        <v>2020</v>
      </c>
      <c r="AV831">
        <v>14</v>
      </c>
      <c r="AW831">
        <v>7</v>
      </c>
      <c r="AX831" t="s">
        <v>74</v>
      </c>
      <c r="AY831" t="s">
        <v>74</v>
      </c>
      <c r="AZ831" t="s">
        <v>74</v>
      </c>
      <c r="BA831" t="s">
        <v>74</v>
      </c>
      <c r="BB831">
        <v>1768</v>
      </c>
      <c r="BC831">
        <v>1782</v>
      </c>
      <c r="BD831" t="s">
        <v>74</v>
      </c>
      <c r="BE831" t="s">
        <v>16264</v>
      </c>
      <c r="BF831" t="str">
        <f>HYPERLINK("http://dx.doi.org/10.1038/s41396-020-0643-1","http://dx.doi.org/10.1038/s41396-020-0643-1")</f>
        <v>http://dx.doi.org/10.1038/s41396-020-0643-1</v>
      </c>
      <c r="BG831" t="s">
        <v>74</v>
      </c>
      <c r="BH831" t="s">
        <v>14775</v>
      </c>
      <c r="BI831">
        <v>15</v>
      </c>
      <c r="BJ831" t="s">
        <v>11310</v>
      </c>
      <c r="BK831" t="s">
        <v>102</v>
      </c>
      <c r="BL831" t="s">
        <v>11311</v>
      </c>
      <c r="BM831" t="s">
        <v>16265</v>
      </c>
      <c r="BN831">
        <v>32286545</v>
      </c>
      <c r="BO831" t="s">
        <v>448</v>
      </c>
      <c r="BP831" t="s">
        <v>74</v>
      </c>
      <c r="BQ831" t="s">
        <v>74</v>
      </c>
      <c r="BR831" t="s">
        <v>106</v>
      </c>
      <c r="BS831" t="s">
        <v>16266</v>
      </c>
      <c r="BT831" t="str">
        <f>HYPERLINK("https%3A%2F%2Fwww.webofscience.com%2Fwos%2Fwoscc%2Ffull-record%2FWOS:000526217900001","View Full Record in Web of Science")</f>
        <v>View Full Record in Web of Science</v>
      </c>
    </row>
    <row r="832" spans="1:72" x14ac:dyDescent="0.15">
      <c r="A832" t="s">
        <v>72</v>
      </c>
      <c r="B832" t="s">
        <v>16267</v>
      </c>
      <c r="C832" t="s">
        <v>74</v>
      </c>
      <c r="D832" t="s">
        <v>74</v>
      </c>
      <c r="E832" t="s">
        <v>74</v>
      </c>
      <c r="F832" t="s">
        <v>16268</v>
      </c>
      <c r="G832" t="s">
        <v>74</v>
      </c>
      <c r="H832" t="s">
        <v>74</v>
      </c>
      <c r="I832" t="s">
        <v>16269</v>
      </c>
      <c r="J832" t="s">
        <v>3305</v>
      </c>
      <c r="K832" t="s">
        <v>74</v>
      </c>
      <c r="L832" t="s">
        <v>74</v>
      </c>
      <c r="M832" t="s">
        <v>78</v>
      </c>
      <c r="N832" t="s">
        <v>1040</v>
      </c>
      <c r="O832" t="s">
        <v>74</v>
      </c>
      <c r="P832" t="s">
        <v>74</v>
      </c>
      <c r="Q832" t="s">
        <v>74</v>
      </c>
      <c r="R832" t="s">
        <v>74</v>
      </c>
      <c r="S832" t="s">
        <v>74</v>
      </c>
      <c r="T832" t="s">
        <v>74</v>
      </c>
      <c r="U832" t="s">
        <v>16270</v>
      </c>
      <c r="V832" t="s">
        <v>16271</v>
      </c>
      <c r="W832" t="s">
        <v>16272</v>
      </c>
      <c r="X832" t="s">
        <v>16273</v>
      </c>
      <c r="Y832" t="s">
        <v>16274</v>
      </c>
      <c r="Z832" t="s">
        <v>16275</v>
      </c>
      <c r="AA832" t="s">
        <v>16276</v>
      </c>
      <c r="AB832" t="s">
        <v>16277</v>
      </c>
      <c r="AC832" t="s">
        <v>16278</v>
      </c>
      <c r="AD832" t="s">
        <v>16279</v>
      </c>
      <c r="AE832" t="s">
        <v>16280</v>
      </c>
      <c r="AF832" t="s">
        <v>74</v>
      </c>
      <c r="AG832">
        <v>582</v>
      </c>
      <c r="AH832">
        <v>146</v>
      </c>
      <c r="AI832">
        <v>161</v>
      </c>
      <c r="AJ832">
        <v>19</v>
      </c>
      <c r="AK832">
        <v>180</v>
      </c>
      <c r="AL832" t="s">
        <v>1389</v>
      </c>
      <c r="AM832" t="s">
        <v>945</v>
      </c>
      <c r="AN832" t="s">
        <v>1390</v>
      </c>
      <c r="AO832" t="s">
        <v>74</v>
      </c>
      <c r="AP832" t="s">
        <v>3317</v>
      </c>
      <c r="AQ832" t="s">
        <v>74</v>
      </c>
      <c r="AR832" t="s">
        <v>3318</v>
      </c>
      <c r="AS832" t="s">
        <v>3319</v>
      </c>
      <c r="AT832" t="s">
        <v>16205</v>
      </c>
      <c r="AU832">
        <v>2020</v>
      </c>
      <c r="AV832">
        <v>7</v>
      </c>
      <c r="AW832">
        <v>1</v>
      </c>
      <c r="AX832" t="s">
        <v>74</v>
      </c>
      <c r="AY832" t="s">
        <v>74</v>
      </c>
      <c r="AZ832" t="s">
        <v>74</v>
      </c>
      <c r="BA832" t="s">
        <v>74</v>
      </c>
      <c r="BB832" t="s">
        <v>74</v>
      </c>
      <c r="BC832" t="s">
        <v>74</v>
      </c>
      <c r="BD832">
        <v>115</v>
      </c>
      <c r="BE832" t="s">
        <v>16281</v>
      </c>
      <c r="BF832" t="str">
        <f>HYPERLINK("http://dx.doi.org/10.1038/s41597-020-0445-3","http://dx.doi.org/10.1038/s41597-020-0445-3")</f>
        <v>http://dx.doi.org/10.1038/s41597-020-0445-3</v>
      </c>
      <c r="BG832" t="s">
        <v>74</v>
      </c>
      <c r="BH832" t="s">
        <v>74</v>
      </c>
      <c r="BI832">
        <v>34</v>
      </c>
      <c r="BJ832" t="s">
        <v>1125</v>
      </c>
      <c r="BK832" t="s">
        <v>102</v>
      </c>
      <c r="BL832" t="s">
        <v>1126</v>
      </c>
      <c r="BM832" t="s">
        <v>16282</v>
      </c>
      <c r="BN832">
        <v>32286335</v>
      </c>
      <c r="BO832" t="s">
        <v>5729</v>
      </c>
      <c r="BP832" t="s">
        <v>162</v>
      </c>
      <c r="BQ832" t="s">
        <v>163</v>
      </c>
      <c r="BR832" t="s">
        <v>106</v>
      </c>
      <c r="BS832" t="s">
        <v>16283</v>
      </c>
      <c r="BT832" t="str">
        <f>HYPERLINK("https%3A%2F%2Fwww.webofscience.com%2Fwos%2Fwoscc%2Ffull-record%2FWOS:000529214800002","View Full Record in Web of Science")</f>
        <v>View Full Record in Web of Science</v>
      </c>
    </row>
    <row r="833" spans="1:72" x14ac:dyDescent="0.15">
      <c r="A833" t="s">
        <v>72</v>
      </c>
      <c r="B833" t="s">
        <v>16284</v>
      </c>
      <c r="C833" t="s">
        <v>74</v>
      </c>
      <c r="D833" t="s">
        <v>74</v>
      </c>
      <c r="E833" t="s">
        <v>74</v>
      </c>
      <c r="F833" t="s">
        <v>16285</v>
      </c>
      <c r="G833" t="s">
        <v>74</v>
      </c>
      <c r="H833" t="s">
        <v>74</v>
      </c>
      <c r="I833" t="s">
        <v>16286</v>
      </c>
      <c r="J833" t="s">
        <v>2111</v>
      </c>
      <c r="K833" t="s">
        <v>74</v>
      </c>
      <c r="L833" t="s">
        <v>74</v>
      </c>
      <c r="M833" t="s">
        <v>78</v>
      </c>
      <c r="N833" t="s">
        <v>79</v>
      </c>
      <c r="O833" t="s">
        <v>74</v>
      </c>
      <c r="P833" t="s">
        <v>74</v>
      </c>
      <c r="Q833" t="s">
        <v>74</v>
      </c>
      <c r="R833" t="s">
        <v>74</v>
      </c>
      <c r="S833" t="s">
        <v>74</v>
      </c>
      <c r="T833" t="s">
        <v>74</v>
      </c>
      <c r="U833" t="s">
        <v>16287</v>
      </c>
      <c r="V833" t="s">
        <v>16288</v>
      </c>
      <c r="W833" t="s">
        <v>16289</v>
      </c>
      <c r="X833" t="s">
        <v>16290</v>
      </c>
      <c r="Y833" t="s">
        <v>16291</v>
      </c>
      <c r="Z833" t="s">
        <v>16292</v>
      </c>
      <c r="AA833" t="s">
        <v>16293</v>
      </c>
      <c r="AB833" t="s">
        <v>16294</v>
      </c>
      <c r="AC833" t="s">
        <v>16295</v>
      </c>
      <c r="AD833" t="s">
        <v>16296</v>
      </c>
      <c r="AE833" t="s">
        <v>16297</v>
      </c>
      <c r="AF833" t="s">
        <v>74</v>
      </c>
      <c r="AG833">
        <v>97</v>
      </c>
      <c r="AH833">
        <v>12</v>
      </c>
      <c r="AI833">
        <v>13</v>
      </c>
      <c r="AJ833">
        <v>3</v>
      </c>
      <c r="AK833">
        <v>14</v>
      </c>
      <c r="AL833" t="s">
        <v>2121</v>
      </c>
      <c r="AM833" t="s">
        <v>2122</v>
      </c>
      <c r="AN833" t="s">
        <v>2123</v>
      </c>
      <c r="AO833" t="s">
        <v>2124</v>
      </c>
      <c r="AP833" t="s">
        <v>74</v>
      </c>
      <c r="AQ833" t="s">
        <v>74</v>
      </c>
      <c r="AR833" t="s">
        <v>2111</v>
      </c>
      <c r="AS833" t="s">
        <v>2125</v>
      </c>
      <c r="AT833" t="s">
        <v>16298</v>
      </c>
      <c r="AU833">
        <v>2020</v>
      </c>
      <c r="AV833">
        <v>15</v>
      </c>
      <c r="AW833">
        <v>4</v>
      </c>
      <c r="AX833" t="s">
        <v>74</v>
      </c>
      <c r="AY833" t="s">
        <v>74</v>
      </c>
      <c r="AZ833" t="s">
        <v>74</v>
      </c>
      <c r="BA833" t="s">
        <v>74</v>
      </c>
      <c r="BB833" t="s">
        <v>74</v>
      </c>
      <c r="BC833" t="s">
        <v>74</v>
      </c>
      <c r="BD833" t="s">
        <v>16299</v>
      </c>
      <c r="BE833" t="s">
        <v>16300</v>
      </c>
      <c r="BF833" t="str">
        <f>HYPERLINK("http://dx.doi.org/10.1371/journal.pone.0231053","http://dx.doi.org/10.1371/journal.pone.0231053")</f>
        <v>http://dx.doi.org/10.1371/journal.pone.0231053</v>
      </c>
      <c r="BG833" t="s">
        <v>74</v>
      </c>
      <c r="BH833" t="s">
        <v>74</v>
      </c>
      <c r="BI833">
        <v>24</v>
      </c>
      <c r="BJ833" t="s">
        <v>1125</v>
      </c>
      <c r="BK833" t="s">
        <v>102</v>
      </c>
      <c r="BL833" t="s">
        <v>1126</v>
      </c>
      <c r="BM833" t="s">
        <v>16301</v>
      </c>
      <c r="BN833">
        <v>32282803</v>
      </c>
      <c r="BO833" t="s">
        <v>3956</v>
      </c>
      <c r="BP833" t="s">
        <v>74</v>
      </c>
      <c r="BQ833" t="s">
        <v>74</v>
      </c>
      <c r="BR833" t="s">
        <v>106</v>
      </c>
      <c r="BS833" t="s">
        <v>16302</v>
      </c>
      <c r="BT833" t="str">
        <f>HYPERLINK("https%3A%2F%2Fwww.webofscience.com%2Fwos%2Fwoscc%2Ffull-record%2FWOS:000535989800018","View Full Record in Web of Science")</f>
        <v>View Full Record in Web of Science</v>
      </c>
    </row>
    <row r="834" spans="1:72" x14ac:dyDescent="0.15">
      <c r="A834" t="s">
        <v>72</v>
      </c>
      <c r="B834" t="s">
        <v>16303</v>
      </c>
      <c r="C834" t="s">
        <v>74</v>
      </c>
      <c r="D834" t="s">
        <v>74</v>
      </c>
      <c r="E834" t="s">
        <v>74</v>
      </c>
      <c r="F834" t="s">
        <v>16304</v>
      </c>
      <c r="G834" t="s">
        <v>74</v>
      </c>
      <c r="H834" t="s">
        <v>74</v>
      </c>
      <c r="I834" t="s">
        <v>16305</v>
      </c>
      <c r="J834" t="s">
        <v>15708</v>
      </c>
      <c r="K834" t="s">
        <v>74</v>
      </c>
      <c r="L834" t="s">
        <v>74</v>
      </c>
      <c r="M834" t="s">
        <v>78</v>
      </c>
      <c r="N834" t="s">
        <v>79</v>
      </c>
      <c r="O834" t="s">
        <v>74</v>
      </c>
      <c r="P834" t="s">
        <v>74</v>
      </c>
      <c r="Q834" t="s">
        <v>74</v>
      </c>
      <c r="R834" t="s">
        <v>74</v>
      </c>
      <c r="S834" t="s">
        <v>74</v>
      </c>
      <c r="T834" t="s">
        <v>16306</v>
      </c>
      <c r="U834" t="s">
        <v>16307</v>
      </c>
      <c r="V834" t="s">
        <v>16308</v>
      </c>
      <c r="W834" t="s">
        <v>16309</v>
      </c>
      <c r="X834" t="s">
        <v>16310</v>
      </c>
      <c r="Y834" t="s">
        <v>16311</v>
      </c>
      <c r="Z834" t="s">
        <v>16312</v>
      </c>
      <c r="AA834" t="s">
        <v>16313</v>
      </c>
      <c r="AB834" t="s">
        <v>16314</v>
      </c>
      <c r="AC834" t="s">
        <v>16315</v>
      </c>
      <c r="AD834" t="s">
        <v>16316</v>
      </c>
      <c r="AE834" t="s">
        <v>16317</v>
      </c>
      <c r="AF834" t="s">
        <v>74</v>
      </c>
      <c r="AG834">
        <v>109</v>
      </c>
      <c r="AH834">
        <v>5</v>
      </c>
      <c r="AI834">
        <v>5</v>
      </c>
      <c r="AJ834">
        <v>2</v>
      </c>
      <c r="AK834">
        <v>18</v>
      </c>
      <c r="AL834" t="s">
        <v>994</v>
      </c>
      <c r="AM834" t="s">
        <v>995</v>
      </c>
      <c r="AN834" t="s">
        <v>996</v>
      </c>
      <c r="AO834" t="s">
        <v>15721</v>
      </c>
      <c r="AP834" t="s">
        <v>15722</v>
      </c>
      <c r="AQ834" t="s">
        <v>74</v>
      </c>
      <c r="AR834" t="s">
        <v>15723</v>
      </c>
      <c r="AS834" t="s">
        <v>15724</v>
      </c>
      <c r="AT834" t="s">
        <v>3950</v>
      </c>
      <c r="AU834">
        <v>2020</v>
      </c>
      <c r="AV834">
        <v>47</v>
      </c>
      <c r="AW834">
        <v>7</v>
      </c>
      <c r="AX834" t="s">
        <v>74</v>
      </c>
      <c r="AY834" t="s">
        <v>74</v>
      </c>
      <c r="AZ834" t="s">
        <v>74</v>
      </c>
      <c r="BA834" t="s">
        <v>74</v>
      </c>
      <c r="BB834">
        <v>1541</v>
      </c>
      <c r="BC834">
        <v>1551</v>
      </c>
      <c r="BD834" t="s">
        <v>74</v>
      </c>
      <c r="BE834" t="s">
        <v>16318</v>
      </c>
      <c r="BF834" t="str">
        <f>HYPERLINK("http://dx.doi.org/10.1111/jbi.13853","http://dx.doi.org/10.1111/jbi.13853")</f>
        <v>http://dx.doi.org/10.1111/jbi.13853</v>
      </c>
      <c r="BG834" t="s">
        <v>74</v>
      </c>
      <c r="BH834" t="s">
        <v>14775</v>
      </c>
      <c r="BI834">
        <v>11</v>
      </c>
      <c r="BJ834" t="s">
        <v>15726</v>
      </c>
      <c r="BK834" t="s">
        <v>102</v>
      </c>
      <c r="BL834" t="s">
        <v>15727</v>
      </c>
      <c r="BM834" t="s">
        <v>16319</v>
      </c>
      <c r="BN834" t="s">
        <v>74</v>
      </c>
      <c r="BO834" t="s">
        <v>74</v>
      </c>
      <c r="BP834" t="s">
        <v>74</v>
      </c>
      <c r="BQ834" t="s">
        <v>74</v>
      </c>
      <c r="BR834" t="s">
        <v>106</v>
      </c>
      <c r="BS834" t="s">
        <v>16320</v>
      </c>
      <c r="BT834" t="str">
        <f>HYPERLINK("https%3A%2F%2Fwww.webofscience.com%2Fwos%2Fwoscc%2Ffull-record%2FWOS:000525960700001","View Full Record in Web of Science")</f>
        <v>View Full Record in Web of Science</v>
      </c>
    </row>
    <row r="835" spans="1:72" x14ac:dyDescent="0.15">
      <c r="A835" t="s">
        <v>72</v>
      </c>
      <c r="B835" t="s">
        <v>16321</v>
      </c>
      <c r="C835" t="s">
        <v>74</v>
      </c>
      <c r="D835" t="s">
        <v>74</v>
      </c>
      <c r="E835" t="s">
        <v>74</v>
      </c>
      <c r="F835" t="s">
        <v>16322</v>
      </c>
      <c r="G835" t="s">
        <v>74</v>
      </c>
      <c r="H835" t="s">
        <v>74</v>
      </c>
      <c r="I835" t="s">
        <v>16323</v>
      </c>
      <c r="J835" t="s">
        <v>16324</v>
      </c>
      <c r="K835" t="s">
        <v>74</v>
      </c>
      <c r="L835" t="s">
        <v>74</v>
      </c>
      <c r="M835" t="s">
        <v>78</v>
      </c>
      <c r="N835" t="s">
        <v>79</v>
      </c>
      <c r="O835" t="s">
        <v>74</v>
      </c>
      <c r="P835" t="s">
        <v>74</v>
      </c>
      <c r="Q835" t="s">
        <v>74</v>
      </c>
      <c r="R835" t="s">
        <v>74</v>
      </c>
      <c r="S835" t="s">
        <v>74</v>
      </c>
      <c r="T835" t="s">
        <v>16325</v>
      </c>
      <c r="U835" t="s">
        <v>16326</v>
      </c>
      <c r="V835" t="s">
        <v>16327</v>
      </c>
      <c r="W835" t="s">
        <v>16328</v>
      </c>
      <c r="X835" t="s">
        <v>16329</v>
      </c>
      <c r="Y835" t="s">
        <v>16330</v>
      </c>
      <c r="Z835" t="s">
        <v>16331</v>
      </c>
      <c r="AA835" t="s">
        <v>74</v>
      </c>
      <c r="AB835" t="s">
        <v>74</v>
      </c>
      <c r="AC835" t="s">
        <v>16332</v>
      </c>
      <c r="AD835" t="s">
        <v>16333</v>
      </c>
      <c r="AE835" t="s">
        <v>16334</v>
      </c>
      <c r="AF835" t="s">
        <v>74</v>
      </c>
      <c r="AG835">
        <v>22</v>
      </c>
      <c r="AH835">
        <v>1</v>
      </c>
      <c r="AI835">
        <v>1</v>
      </c>
      <c r="AJ835">
        <v>0</v>
      </c>
      <c r="AK835">
        <v>6</v>
      </c>
      <c r="AL835" t="s">
        <v>994</v>
      </c>
      <c r="AM835" t="s">
        <v>995</v>
      </c>
      <c r="AN835" t="s">
        <v>996</v>
      </c>
      <c r="AO835" t="s">
        <v>16335</v>
      </c>
      <c r="AP835" t="s">
        <v>16336</v>
      </c>
      <c r="AQ835" t="s">
        <v>74</v>
      </c>
      <c r="AR835" t="s">
        <v>16337</v>
      </c>
      <c r="AS835" t="s">
        <v>16338</v>
      </c>
      <c r="AT835" t="s">
        <v>7663</v>
      </c>
      <c r="AU835">
        <v>2020</v>
      </c>
      <c r="AV835">
        <v>168</v>
      </c>
      <c r="AW835">
        <v>6</v>
      </c>
      <c r="AX835" t="s">
        <v>74</v>
      </c>
      <c r="AY835" t="s">
        <v>74</v>
      </c>
      <c r="AZ835" t="s">
        <v>74</v>
      </c>
      <c r="BA835" t="s">
        <v>74</v>
      </c>
      <c r="BB835">
        <v>337</v>
      </c>
      <c r="BC835">
        <v>341</v>
      </c>
      <c r="BD835" t="s">
        <v>74</v>
      </c>
      <c r="BE835" t="s">
        <v>16339</v>
      </c>
      <c r="BF835" t="str">
        <f>HYPERLINK("http://dx.doi.org/10.1111/jph.12897","http://dx.doi.org/10.1111/jph.12897")</f>
        <v>http://dx.doi.org/10.1111/jph.12897</v>
      </c>
      <c r="BG835" t="s">
        <v>74</v>
      </c>
      <c r="BH835" t="s">
        <v>14775</v>
      </c>
      <c r="BI835">
        <v>5</v>
      </c>
      <c r="BJ835" t="s">
        <v>1635</v>
      </c>
      <c r="BK835" t="s">
        <v>102</v>
      </c>
      <c r="BL835" t="s">
        <v>1635</v>
      </c>
      <c r="BM835" t="s">
        <v>16340</v>
      </c>
      <c r="BN835" t="s">
        <v>74</v>
      </c>
      <c r="BO835" t="s">
        <v>74</v>
      </c>
      <c r="BP835" t="s">
        <v>74</v>
      </c>
      <c r="BQ835" t="s">
        <v>74</v>
      </c>
      <c r="BR835" t="s">
        <v>106</v>
      </c>
      <c r="BS835" t="s">
        <v>16341</v>
      </c>
      <c r="BT835" t="str">
        <f>HYPERLINK("https%3A%2F%2Fwww.webofscience.com%2Fwos%2Fwoscc%2Ffull-record%2FWOS:000525974800001","View Full Record in Web of Science")</f>
        <v>View Full Record in Web of Science</v>
      </c>
    </row>
    <row r="836" spans="1:72" x14ac:dyDescent="0.15">
      <c r="A836" t="s">
        <v>72</v>
      </c>
      <c r="B836" t="s">
        <v>16342</v>
      </c>
      <c r="C836" t="s">
        <v>74</v>
      </c>
      <c r="D836" t="s">
        <v>74</v>
      </c>
      <c r="E836" t="s">
        <v>74</v>
      </c>
      <c r="F836" t="s">
        <v>16343</v>
      </c>
      <c r="G836" t="s">
        <v>74</v>
      </c>
      <c r="H836" t="s">
        <v>74</v>
      </c>
      <c r="I836" t="s">
        <v>16344</v>
      </c>
      <c r="J836" t="s">
        <v>6000</v>
      </c>
      <c r="K836" t="s">
        <v>74</v>
      </c>
      <c r="L836" t="s">
        <v>74</v>
      </c>
      <c r="M836" t="s">
        <v>78</v>
      </c>
      <c r="N836" t="s">
        <v>245</v>
      </c>
      <c r="O836" t="s">
        <v>74</v>
      </c>
      <c r="P836" t="s">
        <v>74</v>
      </c>
      <c r="Q836" t="s">
        <v>74</v>
      </c>
      <c r="R836" t="s">
        <v>74</v>
      </c>
      <c r="S836" t="s">
        <v>74</v>
      </c>
      <c r="T836" t="s">
        <v>74</v>
      </c>
      <c r="U836" t="s">
        <v>16345</v>
      </c>
      <c r="V836" t="s">
        <v>16346</v>
      </c>
      <c r="W836" t="s">
        <v>16347</v>
      </c>
      <c r="X836" t="s">
        <v>16348</v>
      </c>
      <c r="Y836" t="s">
        <v>16349</v>
      </c>
      <c r="Z836" t="s">
        <v>16350</v>
      </c>
      <c r="AA836" t="s">
        <v>16351</v>
      </c>
      <c r="AB836" t="s">
        <v>16352</v>
      </c>
      <c r="AC836" t="s">
        <v>16353</v>
      </c>
      <c r="AD836" t="s">
        <v>16354</v>
      </c>
      <c r="AE836" t="s">
        <v>16355</v>
      </c>
      <c r="AF836" t="s">
        <v>74</v>
      </c>
      <c r="AG836">
        <v>108</v>
      </c>
      <c r="AH836">
        <v>16</v>
      </c>
      <c r="AI836">
        <v>18</v>
      </c>
      <c r="AJ836">
        <v>0</v>
      </c>
      <c r="AK836">
        <v>11</v>
      </c>
      <c r="AL836" t="s">
        <v>994</v>
      </c>
      <c r="AM836" t="s">
        <v>995</v>
      </c>
      <c r="AN836" t="s">
        <v>996</v>
      </c>
      <c r="AO836" t="s">
        <v>6012</v>
      </c>
      <c r="AP836" t="s">
        <v>6013</v>
      </c>
      <c r="AQ836" t="s">
        <v>74</v>
      </c>
      <c r="AR836" t="s">
        <v>6014</v>
      </c>
      <c r="AS836" t="s">
        <v>6015</v>
      </c>
      <c r="AT836" t="s">
        <v>5993</v>
      </c>
      <c r="AU836">
        <v>2020</v>
      </c>
      <c r="AV836">
        <v>55</v>
      </c>
      <c r="AW836">
        <v>4</v>
      </c>
      <c r="AX836" t="s">
        <v>74</v>
      </c>
      <c r="AY836" t="s">
        <v>74</v>
      </c>
      <c r="AZ836" t="s">
        <v>74</v>
      </c>
      <c r="BA836" t="s">
        <v>74</v>
      </c>
      <c r="BB836">
        <v>857</v>
      </c>
      <c r="BC836">
        <v>885</v>
      </c>
      <c r="BD836" t="s">
        <v>74</v>
      </c>
      <c r="BE836" t="s">
        <v>16356</v>
      </c>
      <c r="BF836" t="str">
        <f>HYPERLINK("http://dx.doi.org/10.1111/maps.13472","http://dx.doi.org/10.1111/maps.13472")</f>
        <v>http://dx.doi.org/10.1111/maps.13472</v>
      </c>
      <c r="BG836" t="s">
        <v>74</v>
      </c>
      <c r="BH836" t="s">
        <v>14775</v>
      </c>
      <c r="BI836">
        <v>29</v>
      </c>
      <c r="BJ836" t="s">
        <v>131</v>
      </c>
      <c r="BK836" t="s">
        <v>102</v>
      </c>
      <c r="BL836" t="s">
        <v>131</v>
      </c>
      <c r="BM836" t="s">
        <v>12827</v>
      </c>
      <c r="BN836" t="s">
        <v>74</v>
      </c>
      <c r="BO836" t="s">
        <v>74</v>
      </c>
      <c r="BP836" t="s">
        <v>74</v>
      </c>
      <c r="BQ836" t="s">
        <v>74</v>
      </c>
      <c r="BR836" t="s">
        <v>106</v>
      </c>
      <c r="BS836" t="s">
        <v>16357</v>
      </c>
      <c r="BT836" t="str">
        <f>HYPERLINK("https%3A%2F%2Fwww.webofscience.com%2Fwos%2Fwoscc%2Ffull-record%2FWOS:000526027500001","View Full Record in Web of Science")</f>
        <v>View Full Record in Web of Science</v>
      </c>
    </row>
    <row r="837" spans="1:72" x14ac:dyDescent="0.15">
      <c r="A837" t="s">
        <v>72</v>
      </c>
      <c r="B837" t="s">
        <v>16358</v>
      </c>
      <c r="C837" t="s">
        <v>74</v>
      </c>
      <c r="D837" t="s">
        <v>74</v>
      </c>
      <c r="E837" t="s">
        <v>74</v>
      </c>
      <c r="F837" t="s">
        <v>16359</v>
      </c>
      <c r="G837" t="s">
        <v>74</v>
      </c>
      <c r="H837" t="s">
        <v>74</v>
      </c>
      <c r="I837" t="s">
        <v>16360</v>
      </c>
      <c r="J837" t="s">
        <v>16361</v>
      </c>
      <c r="K837" t="s">
        <v>74</v>
      </c>
      <c r="L837" t="s">
        <v>74</v>
      </c>
      <c r="M837" t="s">
        <v>78</v>
      </c>
      <c r="N837" t="s">
        <v>245</v>
      </c>
      <c r="O837" t="s">
        <v>74</v>
      </c>
      <c r="P837" t="s">
        <v>74</v>
      </c>
      <c r="Q837" t="s">
        <v>74</v>
      </c>
      <c r="R837" t="s">
        <v>74</v>
      </c>
      <c r="S837" t="s">
        <v>74</v>
      </c>
      <c r="T837" t="s">
        <v>16362</v>
      </c>
      <c r="U837" t="s">
        <v>16363</v>
      </c>
      <c r="V837" t="s">
        <v>16364</v>
      </c>
      <c r="W837" t="s">
        <v>16365</v>
      </c>
      <c r="X837" t="s">
        <v>16366</v>
      </c>
      <c r="Y837" t="s">
        <v>16367</v>
      </c>
      <c r="Z837" t="s">
        <v>16368</v>
      </c>
      <c r="AA837" t="s">
        <v>16369</v>
      </c>
      <c r="AB837" t="s">
        <v>16370</v>
      </c>
      <c r="AC837" t="s">
        <v>16371</v>
      </c>
      <c r="AD837" t="s">
        <v>16372</v>
      </c>
      <c r="AE837" t="s">
        <v>16373</v>
      </c>
      <c r="AF837" t="s">
        <v>74</v>
      </c>
      <c r="AG837">
        <v>156</v>
      </c>
      <c r="AH837">
        <v>67</v>
      </c>
      <c r="AI837">
        <v>75</v>
      </c>
      <c r="AJ837">
        <v>12</v>
      </c>
      <c r="AK837">
        <v>137</v>
      </c>
      <c r="AL837" t="s">
        <v>994</v>
      </c>
      <c r="AM837" t="s">
        <v>995</v>
      </c>
      <c r="AN837" t="s">
        <v>996</v>
      </c>
      <c r="AO837" t="s">
        <v>16374</v>
      </c>
      <c r="AP837" t="s">
        <v>16375</v>
      </c>
      <c r="AQ837" t="s">
        <v>74</v>
      </c>
      <c r="AR837" t="s">
        <v>16376</v>
      </c>
      <c r="AS837" t="s">
        <v>16377</v>
      </c>
      <c r="AT837" t="s">
        <v>7663</v>
      </c>
      <c r="AU837">
        <v>2020</v>
      </c>
      <c r="AV837">
        <v>23</v>
      </c>
      <c r="AW837">
        <v>6</v>
      </c>
      <c r="AX837" t="s">
        <v>74</v>
      </c>
      <c r="AY837" t="s">
        <v>74</v>
      </c>
      <c r="AZ837" t="s">
        <v>74</v>
      </c>
      <c r="BA837" t="s">
        <v>74</v>
      </c>
      <c r="BB837">
        <v>1034</v>
      </c>
      <c r="BC837">
        <v>1048</v>
      </c>
      <c r="BD837" t="s">
        <v>74</v>
      </c>
      <c r="BE837" t="s">
        <v>16378</v>
      </c>
      <c r="BF837" t="str">
        <f>HYPERLINK("http://dx.doi.org/10.1111/ele.13502","http://dx.doi.org/10.1111/ele.13502")</f>
        <v>http://dx.doi.org/10.1111/ele.13502</v>
      </c>
      <c r="BG837" t="s">
        <v>74</v>
      </c>
      <c r="BH837" t="s">
        <v>14775</v>
      </c>
      <c r="BI837">
        <v>15</v>
      </c>
      <c r="BJ837" t="s">
        <v>1446</v>
      </c>
      <c r="BK837" t="s">
        <v>102</v>
      </c>
      <c r="BL837" t="s">
        <v>103</v>
      </c>
      <c r="BM837" t="s">
        <v>16379</v>
      </c>
      <c r="BN837">
        <v>32281227</v>
      </c>
      <c r="BO837" t="s">
        <v>1657</v>
      </c>
      <c r="BP837" t="s">
        <v>74</v>
      </c>
      <c r="BQ837" t="s">
        <v>74</v>
      </c>
      <c r="BR837" t="s">
        <v>106</v>
      </c>
      <c r="BS837" t="s">
        <v>16380</v>
      </c>
      <c r="BT837" t="str">
        <f>HYPERLINK("https%3A%2F%2Fwww.webofscience.com%2Fwos%2Fwoscc%2Ffull-record%2FWOS:000526007100001","View Full Record in Web of Science")</f>
        <v>View Full Record in Web of Science</v>
      </c>
    </row>
    <row r="838" spans="1:72" x14ac:dyDescent="0.15">
      <c r="A838" t="s">
        <v>72</v>
      </c>
      <c r="B838" t="s">
        <v>14437</v>
      </c>
      <c r="C838" t="s">
        <v>74</v>
      </c>
      <c r="D838" t="s">
        <v>74</v>
      </c>
      <c r="E838" t="s">
        <v>74</v>
      </c>
      <c r="F838" t="s">
        <v>14438</v>
      </c>
      <c r="G838" t="s">
        <v>74</v>
      </c>
      <c r="H838" t="s">
        <v>74</v>
      </c>
      <c r="I838" t="s">
        <v>16381</v>
      </c>
      <c r="J838" t="s">
        <v>12936</v>
      </c>
      <c r="K838" t="s">
        <v>74</v>
      </c>
      <c r="L838" t="s">
        <v>74</v>
      </c>
      <c r="M838" t="s">
        <v>78</v>
      </c>
      <c r="N838" t="s">
        <v>2846</v>
      </c>
      <c r="O838" t="s">
        <v>74</v>
      </c>
      <c r="P838" t="s">
        <v>74</v>
      </c>
      <c r="Q838" t="s">
        <v>74</v>
      </c>
      <c r="R838" t="s">
        <v>74</v>
      </c>
      <c r="S838" t="s">
        <v>74</v>
      </c>
      <c r="T838" t="s">
        <v>74</v>
      </c>
      <c r="U838" t="s">
        <v>74</v>
      </c>
      <c r="V838" t="s">
        <v>74</v>
      </c>
      <c r="W838" t="s">
        <v>14443</v>
      </c>
      <c r="X838" t="s">
        <v>14444</v>
      </c>
      <c r="Y838" t="s">
        <v>14445</v>
      </c>
      <c r="Z838" t="s">
        <v>74</v>
      </c>
      <c r="AA838" t="s">
        <v>16382</v>
      </c>
      <c r="AB838" t="s">
        <v>16383</v>
      </c>
      <c r="AC838" t="s">
        <v>74</v>
      </c>
      <c r="AD838" t="s">
        <v>74</v>
      </c>
      <c r="AE838" t="s">
        <v>74</v>
      </c>
      <c r="AF838" t="s">
        <v>74</v>
      </c>
      <c r="AG838">
        <v>1</v>
      </c>
      <c r="AH838">
        <v>1</v>
      </c>
      <c r="AI838">
        <v>1</v>
      </c>
      <c r="AJ838">
        <v>4</v>
      </c>
      <c r="AK838">
        <v>6</v>
      </c>
      <c r="AL838" t="s">
        <v>11741</v>
      </c>
      <c r="AM838" t="s">
        <v>11742</v>
      </c>
      <c r="AN838" t="s">
        <v>12945</v>
      </c>
      <c r="AO838" t="s">
        <v>12946</v>
      </c>
      <c r="AP838" t="s">
        <v>12947</v>
      </c>
      <c r="AQ838" t="s">
        <v>74</v>
      </c>
      <c r="AR838" t="s">
        <v>12948</v>
      </c>
      <c r="AS838" t="s">
        <v>12949</v>
      </c>
      <c r="AT838" t="s">
        <v>1930</v>
      </c>
      <c r="AU838">
        <v>2022</v>
      </c>
      <c r="AV838">
        <v>39</v>
      </c>
      <c r="AW838">
        <v>9</v>
      </c>
      <c r="AX838" t="s">
        <v>74</v>
      </c>
      <c r="AY838" t="s">
        <v>74</v>
      </c>
      <c r="AZ838" t="s">
        <v>74</v>
      </c>
      <c r="BA838" t="s">
        <v>74</v>
      </c>
      <c r="BB838">
        <v>1589</v>
      </c>
      <c r="BC838">
        <v>1589</v>
      </c>
      <c r="BD838" t="s">
        <v>74</v>
      </c>
      <c r="BE838" t="s">
        <v>16384</v>
      </c>
      <c r="BF838" t="str">
        <f>HYPERLINK("http://dx.doi.org/10.1007/s00376-020-2003-5","http://dx.doi.org/10.1007/s00376-020-2003-5")</f>
        <v>http://dx.doi.org/10.1007/s00376-020-2003-5</v>
      </c>
      <c r="BG838" t="s">
        <v>74</v>
      </c>
      <c r="BH838" t="s">
        <v>14775</v>
      </c>
      <c r="BI838">
        <v>1</v>
      </c>
      <c r="BJ838" t="s">
        <v>159</v>
      </c>
      <c r="BK838" t="s">
        <v>102</v>
      </c>
      <c r="BL838" t="s">
        <v>159</v>
      </c>
      <c r="BM838" t="s">
        <v>16385</v>
      </c>
      <c r="BN838" t="s">
        <v>74</v>
      </c>
      <c r="BO838" t="s">
        <v>189</v>
      </c>
      <c r="BP838" t="s">
        <v>74</v>
      </c>
      <c r="BQ838" t="s">
        <v>74</v>
      </c>
      <c r="BR838" t="s">
        <v>106</v>
      </c>
      <c r="BS838" t="s">
        <v>16386</v>
      </c>
      <c r="BT838" t="str">
        <f>HYPERLINK("https%3A%2F%2Fwww.webofscience.com%2Fwos%2Fwoscc%2Ffull-record%2FWOS:000558460600001","View Full Record in Web of Science")</f>
        <v>View Full Record in Web of Science</v>
      </c>
    </row>
    <row r="839" spans="1:72" x14ac:dyDescent="0.15">
      <c r="A839" t="s">
        <v>72</v>
      </c>
      <c r="B839" t="s">
        <v>16387</v>
      </c>
      <c r="C839" t="s">
        <v>74</v>
      </c>
      <c r="D839" t="s">
        <v>74</v>
      </c>
      <c r="E839" t="s">
        <v>74</v>
      </c>
      <c r="F839" t="s">
        <v>16388</v>
      </c>
      <c r="G839" t="s">
        <v>74</v>
      </c>
      <c r="H839" t="s">
        <v>74</v>
      </c>
      <c r="I839" t="s">
        <v>16389</v>
      </c>
      <c r="J839" t="s">
        <v>16390</v>
      </c>
      <c r="K839" t="s">
        <v>74</v>
      </c>
      <c r="L839" t="s">
        <v>74</v>
      </c>
      <c r="M839" t="s">
        <v>78</v>
      </c>
      <c r="N839" t="s">
        <v>79</v>
      </c>
      <c r="O839" t="s">
        <v>74</v>
      </c>
      <c r="P839" t="s">
        <v>74</v>
      </c>
      <c r="Q839" t="s">
        <v>74</v>
      </c>
      <c r="R839" t="s">
        <v>74</v>
      </c>
      <c r="S839" t="s">
        <v>74</v>
      </c>
      <c r="T839" t="s">
        <v>16391</v>
      </c>
      <c r="U839" t="s">
        <v>16392</v>
      </c>
      <c r="V839" t="s">
        <v>16393</v>
      </c>
      <c r="W839" t="s">
        <v>16394</v>
      </c>
      <c r="X839" t="s">
        <v>16395</v>
      </c>
      <c r="Y839" t="s">
        <v>16396</v>
      </c>
      <c r="Z839" t="s">
        <v>16397</v>
      </c>
      <c r="AA839" t="s">
        <v>16398</v>
      </c>
      <c r="AB839" t="s">
        <v>16399</v>
      </c>
      <c r="AC839" t="s">
        <v>16400</v>
      </c>
      <c r="AD839" t="s">
        <v>16401</v>
      </c>
      <c r="AE839" t="s">
        <v>16402</v>
      </c>
      <c r="AF839" t="s">
        <v>74</v>
      </c>
      <c r="AG839">
        <v>135</v>
      </c>
      <c r="AH839">
        <v>6</v>
      </c>
      <c r="AI839">
        <v>6</v>
      </c>
      <c r="AJ839">
        <v>1</v>
      </c>
      <c r="AK839">
        <v>21</v>
      </c>
      <c r="AL839" t="s">
        <v>1440</v>
      </c>
      <c r="AM839" t="s">
        <v>399</v>
      </c>
      <c r="AN839" t="s">
        <v>1441</v>
      </c>
      <c r="AO839" t="s">
        <v>16403</v>
      </c>
      <c r="AP839" t="s">
        <v>16404</v>
      </c>
      <c r="AQ839" t="s">
        <v>74</v>
      </c>
      <c r="AR839" t="s">
        <v>16405</v>
      </c>
      <c r="AS839" t="s">
        <v>16406</v>
      </c>
      <c r="AT839" t="s">
        <v>16407</v>
      </c>
      <c r="AU839">
        <v>2020</v>
      </c>
      <c r="AV839">
        <v>79</v>
      </c>
      <c r="AW839">
        <v>8</v>
      </c>
      <c r="AX839" t="s">
        <v>74</v>
      </c>
      <c r="AY839" t="s">
        <v>74</v>
      </c>
      <c r="AZ839" t="s">
        <v>74</v>
      </c>
      <c r="BA839" t="s">
        <v>74</v>
      </c>
      <c r="BB839" t="s">
        <v>74</v>
      </c>
      <c r="BC839" t="s">
        <v>74</v>
      </c>
      <c r="BD839">
        <v>186</v>
      </c>
      <c r="BE839" t="s">
        <v>16408</v>
      </c>
      <c r="BF839" t="str">
        <f>HYPERLINK("http://dx.doi.org/10.1007/s12665-020-08926-3","http://dx.doi.org/10.1007/s12665-020-08926-3")</f>
        <v>http://dx.doi.org/10.1007/s12665-020-08926-3</v>
      </c>
      <c r="BG839" t="s">
        <v>74</v>
      </c>
      <c r="BH839" t="s">
        <v>74</v>
      </c>
      <c r="BI839">
        <v>18</v>
      </c>
      <c r="BJ839" t="s">
        <v>16409</v>
      </c>
      <c r="BK839" t="s">
        <v>102</v>
      </c>
      <c r="BL839" t="s">
        <v>16410</v>
      </c>
      <c r="BM839" t="s">
        <v>16411</v>
      </c>
      <c r="BN839" t="s">
        <v>74</v>
      </c>
      <c r="BO839" t="s">
        <v>74</v>
      </c>
      <c r="BP839" t="s">
        <v>74</v>
      </c>
      <c r="BQ839" t="s">
        <v>74</v>
      </c>
      <c r="BR839" t="s">
        <v>106</v>
      </c>
      <c r="BS839" t="s">
        <v>16412</v>
      </c>
      <c r="BT839" t="str">
        <f>HYPERLINK("https%3A%2F%2Fwww.webofscience.com%2Fwos%2Fwoscc%2Ffull-record%2FWOS:000527677100002","View Full Record in Web of Science")</f>
        <v>View Full Record in Web of Science</v>
      </c>
    </row>
    <row r="840" spans="1:72" x14ac:dyDescent="0.15">
      <c r="A840" t="s">
        <v>72</v>
      </c>
      <c r="B840" t="s">
        <v>16413</v>
      </c>
      <c r="C840" t="s">
        <v>74</v>
      </c>
      <c r="D840" t="s">
        <v>74</v>
      </c>
      <c r="E840" t="s">
        <v>74</v>
      </c>
      <c r="F840" t="s">
        <v>16414</v>
      </c>
      <c r="G840" t="s">
        <v>74</v>
      </c>
      <c r="H840" t="s">
        <v>74</v>
      </c>
      <c r="I840" t="s">
        <v>16415</v>
      </c>
      <c r="J840" t="s">
        <v>16416</v>
      </c>
      <c r="K840" t="s">
        <v>74</v>
      </c>
      <c r="L840" t="s">
        <v>74</v>
      </c>
      <c r="M840" t="s">
        <v>78</v>
      </c>
      <c r="N840" t="s">
        <v>7342</v>
      </c>
      <c r="O840" t="s">
        <v>74</v>
      </c>
      <c r="P840" t="s">
        <v>74</v>
      </c>
      <c r="Q840" t="s">
        <v>74</v>
      </c>
      <c r="R840" t="s">
        <v>74</v>
      </c>
      <c r="S840" t="s">
        <v>74</v>
      </c>
      <c r="T840" t="s">
        <v>16417</v>
      </c>
      <c r="U840" t="s">
        <v>74</v>
      </c>
      <c r="V840" t="s">
        <v>16418</v>
      </c>
      <c r="W840" t="s">
        <v>16419</v>
      </c>
      <c r="X840" t="s">
        <v>16420</v>
      </c>
      <c r="Y840" t="s">
        <v>16421</v>
      </c>
      <c r="Z840" t="s">
        <v>16422</v>
      </c>
      <c r="AA840" t="s">
        <v>16423</v>
      </c>
      <c r="AB840" t="s">
        <v>16424</v>
      </c>
      <c r="AC840" t="s">
        <v>74</v>
      </c>
      <c r="AD840" t="s">
        <v>74</v>
      </c>
      <c r="AE840" t="s">
        <v>74</v>
      </c>
      <c r="AF840" t="s">
        <v>74</v>
      </c>
      <c r="AG840">
        <v>0</v>
      </c>
      <c r="AH840">
        <v>39</v>
      </c>
      <c r="AI840">
        <v>39</v>
      </c>
      <c r="AJ840">
        <v>0</v>
      </c>
      <c r="AK840">
        <v>9</v>
      </c>
      <c r="AL840" t="s">
        <v>2377</v>
      </c>
      <c r="AM840" t="s">
        <v>945</v>
      </c>
      <c r="AN840" t="s">
        <v>2378</v>
      </c>
      <c r="AO840" t="s">
        <v>16425</v>
      </c>
      <c r="AP840" t="s">
        <v>16426</v>
      </c>
      <c r="AQ840" t="s">
        <v>74</v>
      </c>
      <c r="AR840" t="s">
        <v>16427</v>
      </c>
      <c r="AS840" t="s">
        <v>16428</v>
      </c>
      <c r="AT840" t="s">
        <v>16429</v>
      </c>
      <c r="AU840">
        <v>2020</v>
      </c>
      <c r="AV840">
        <v>48</v>
      </c>
      <c r="AW840">
        <v>1</v>
      </c>
      <c r="AX840" t="s">
        <v>74</v>
      </c>
      <c r="AY840" t="s">
        <v>74</v>
      </c>
      <c r="AZ840" t="s">
        <v>74</v>
      </c>
      <c r="BA840" t="s">
        <v>74</v>
      </c>
      <c r="BB840" t="s">
        <v>74</v>
      </c>
      <c r="BC840" t="s">
        <v>74</v>
      </c>
      <c r="BD840">
        <v>18</v>
      </c>
      <c r="BE840" t="s">
        <v>16430</v>
      </c>
      <c r="BF840" t="str">
        <f>HYPERLINK("http://dx.doi.org/10.1186/s41182-020-00206-x","http://dx.doi.org/10.1186/s41182-020-00206-x")</f>
        <v>http://dx.doi.org/10.1186/s41182-020-00206-x</v>
      </c>
      <c r="BG840" t="s">
        <v>74</v>
      </c>
      <c r="BH840" t="s">
        <v>74</v>
      </c>
      <c r="BI840">
        <v>3</v>
      </c>
      <c r="BJ840" t="s">
        <v>16431</v>
      </c>
      <c r="BK840" t="s">
        <v>3838</v>
      </c>
      <c r="BL840" t="s">
        <v>16431</v>
      </c>
      <c r="BM840" t="s">
        <v>16432</v>
      </c>
      <c r="BN840">
        <v>32288543</v>
      </c>
      <c r="BO840" t="s">
        <v>1778</v>
      </c>
      <c r="BP840" t="s">
        <v>74</v>
      </c>
      <c r="BQ840" t="s">
        <v>74</v>
      </c>
      <c r="BR840" t="s">
        <v>106</v>
      </c>
      <c r="BS840" t="s">
        <v>16433</v>
      </c>
      <c r="BT840" t="str">
        <f>HYPERLINK("https%3A%2F%2Fwww.webofscience.com%2Fwos%2Fwoscc%2Ffull-record%2FWOS:000526534900001","View Full Record in Web of Science")</f>
        <v>View Full Record in Web of Science</v>
      </c>
    </row>
    <row r="841" spans="1:72" x14ac:dyDescent="0.15">
      <c r="A841" t="s">
        <v>72</v>
      </c>
      <c r="B841" t="s">
        <v>16434</v>
      </c>
      <c r="C841" t="s">
        <v>74</v>
      </c>
      <c r="D841" t="s">
        <v>74</v>
      </c>
      <c r="E841" t="s">
        <v>74</v>
      </c>
      <c r="F841" t="s">
        <v>16435</v>
      </c>
      <c r="G841" t="s">
        <v>74</v>
      </c>
      <c r="H841" t="s">
        <v>74</v>
      </c>
      <c r="I841" t="s">
        <v>16436</v>
      </c>
      <c r="J841" t="s">
        <v>16437</v>
      </c>
      <c r="K841" t="s">
        <v>74</v>
      </c>
      <c r="L841" t="s">
        <v>74</v>
      </c>
      <c r="M841" t="s">
        <v>78</v>
      </c>
      <c r="N841" t="s">
        <v>79</v>
      </c>
      <c r="O841" t="s">
        <v>74</v>
      </c>
      <c r="P841" t="s">
        <v>74</v>
      </c>
      <c r="Q841" t="s">
        <v>74</v>
      </c>
      <c r="R841" t="s">
        <v>74</v>
      </c>
      <c r="S841" t="s">
        <v>74</v>
      </c>
      <c r="T841" t="s">
        <v>16438</v>
      </c>
      <c r="U841" t="s">
        <v>16439</v>
      </c>
      <c r="V841" t="s">
        <v>16440</v>
      </c>
      <c r="W841" t="s">
        <v>16441</v>
      </c>
      <c r="X841" t="s">
        <v>16442</v>
      </c>
      <c r="Y841" t="s">
        <v>16443</v>
      </c>
      <c r="Z841" t="s">
        <v>16444</v>
      </c>
      <c r="AA841" t="s">
        <v>16445</v>
      </c>
      <c r="AB841" t="s">
        <v>16446</v>
      </c>
      <c r="AC841" t="s">
        <v>16447</v>
      </c>
      <c r="AD841" t="s">
        <v>16448</v>
      </c>
      <c r="AE841" t="s">
        <v>16449</v>
      </c>
      <c r="AF841" t="s">
        <v>74</v>
      </c>
      <c r="AG841">
        <v>61</v>
      </c>
      <c r="AH841">
        <v>27</v>
      </c>
      <c r="AI841">
        <v>28</v>
      </c>
      <c r="AJ841">
        <v>12</v>
      </c>
      <c r="AK841">
        <v>85</v>
      </c>
      <c r="AL841" t="s">
        <v>284</v>
      </c>
      <c r="AM841" t="s">
        <v>285</v>
      </c>
      <c r="AN841" t="s">
        <v>286</v>
      </c>
      <c r="AO841" t="s">
        <v>16450</v>
      </c>
      <c r="AP841" t="s">
        <v>16451</v>
      </c>
      <c r="AQ841" t="s">
        <v>74</v>
      </c>
      <c r="AR841" t="s">
        <v>16452</v>
      </c>
      <c r="AS841" t="s">
        <v>16453</v>
      </c>
      <c r="AT841" t="s">
        <v>16429</v>
      </c>
      <c r="AU841">
        <v>2020</v>
      </c>
      <c r="AV841">
        <v>313</v>
      </c>
      <c r="AW841" t="s">
        <v>74</v>
      </c>
      <c r="AX841" t="s">
        <v>74</v>
      </c>
      <c r="AY841" t="s">
        <v>74</v>
      </c>
      <c r="AZ841" t="s">
        <v>74</v>
      </c>
      <c r="BA841" t="s">
        <v>74</v>
      </c>
      <c r="BB841">
        <v>18</v>
      </c>
      <c r="BC841">
        <v>28</v>
      </c>
      <c r="BD841" t="s">
        <v>74</v>
      </c>
      <c r="BE841" t="s">
        <v>16454</v>
      </c>
      <c r="BF841" t="str">
        <f>HYPERLINK("http://dx.doi.org/10.1016/j.jbiotec.2020.03.006","http://dx.doi.org/10.1016/j.jbiotec.2020.03.006")</f>
        <v>http://dx.doi.org/10.1016/j.jbiotec.2020.03.006</v>
      </c>
      <c r="BG841" t="s">
        <v>74</v>
      </c>
      <c r="BH841" t="s">
        <v>74</v>
      </c>
      <c r="BI841">
        <v>11</v>
      </c>
      <c r="BJ841" t="s">
        <v>2194</v>
      </c>
      <c r="BK841" t="s">
        <v>102</v>
      </c>
      <c r="BL841" t="s">
        <v>2194</v>
      </c>
      <c r="BM841" t="s">
        <v>16455</v>
      </c>
      <c r="BN841">
        <v>32171790</v>
      </c>
      <c r="BO841" t="s">
        <v>74</v>
      </c>
      <c r="BP841" t="s">
        <v>74</v>
      </c>
      <c r="BQ841" t="s">
        <v>74</v>
      </c>
      <c r="BR841" t="s">
        <v>106</v>
      </c>
      <c r="BS841" t="s">
        <v>16456</v>
      </c>
      <c r="BT841" t="str">
        <f>HYPERLINK("https%3A%2F%2Fwww.webofscience.com%2Fwos%2Fwoscc%2Ffull-record%2FWOS:000522793800003","View Full Record in Web of Science")</f>
        <v>View Full Record in Web of Science</v>
      </c>
    </row>
    <row r="842" spans="1:72" x14ac:dyDescent="0.15">
      <c r="A842" t="s">
        <v>72</v>
      </c>
      <c r="B842" t="s">
        <v>16457</v>
      </c>
      <c r="C842" t="s">
        <v>74</v>
      </c>
      <c r="D842" t="s">
        <v>74</v>
      </c>
      <c r="E842" t="s">
        <v>74</v>
      </c>
      <c r="F842" t="s">
        <v>16458</v>
      </c>
      <c r="G842" t="s">
        <v>74</v>
      </c>
      <c r="H842" t="s">
        <v>74</v>
      </c>
      <c r="I842" t="s">
        <v>16459</v>
      </c>
      <c r="J842" t="s">
        <v>6198</v>
      </c>
      <c r="K842" t="s">
        <v>74</v>
      </c>
      <c r="L842" t="s">
        <v>74</v>
      </c>
      <c r="M842" t="s">
        <v>78</v>
      </c>
      <c r="N842" t="s">
        <v>79</v>
      </c>
      <c r="O842" t="s">
        <v>74</v>
      </c>
      <c r="P842" t="s">
        <v>74</v>
      </c>
      <c r="Q842" t="s">
        <v>74</v>
      </c>
      <c r="R842" t="s">
        <v>74</v>
      </c>
      <c r="S842" t="s">
        <v>74</v>
      </c>
      <c r="T842" t="s">
        <v>74</v>
      </c>
      <c r="U842" t="s">
        <v>16460</v>
      </c>
      <c r="V842" t="s">
        <v>16461</v>
      </c>
      <c r="W842" t="s">
        <v>16462</v>
      </c>
      <c r="X842" t="s">
        <v>16463</v>
      </c>
      <c r="Y842" t="s">
        <v>16464</v>
      </c>
      <c r="Z842" t="s">
        <v>16465</v>
      </c>
      <c r="AA842" t="s">
        <v>16466</v>
      </c>
      <c r="AB842" t="s">
        <v>16467</v>
      </c>
      <c r="AC842" t="s">
        <v>16468</v>
      </c>
      <c r="AD842" t="s">
        <v>16469</v>
      </c>
      <c r="AE842" t="s">
        <v>16470</v>
      </c>
      <c r="AF842" t="s">
        <v>74</v>
      </c>
      <c r="AG842">
        <v>77</v>
      </c>
      <c r="AH842">
        <v>0</v>
      </c>
      <c r="AI842">
        <v>0</v>
      </c>
      <c r="AJ842">
        <v>0</v>
      </c>
      <c r="AK842">
        <v>0</v>
      </c>
      <c r="AL842" t="s">
        <v>1049</v>
      </c>
      <c r="AM842" t="s">
        <v>1050</v>
      </c>
      <c r="AN842" t="s">
        <v>1051</v>
      </c>
      <c r="AO842" t="s">
        <v>6210</v>
      </c>
      <c r="AP842" t="s">
        <v>6211</v>
      </c>
      <c r="AQ842" t="s">
        <v>74</v>
      </c>
      <c r="AR842" t="s">
        <v>6212</v>
      </c>
      <c r="AS842" t="s">
        <v>6213</v>
      </c>
      <c r="AT842" t="s">
        <v>16471</v>
      </c>
      <c r="AU842">
        <v>2020</v>
      </c>
      <c r="AV842">
        <v>13</v>
      </c>
      <c r="AW842">
        <v>4</v>
      </c>
      <c r="AX842" t="s">
        <v>74</v>
      </c>
      <c r="AY842" t="s">
        <v>74</v>
      </c>
      <c r="AZ842" t="s">
        <v>74</v>
      </c>
      <c r="BA842" t="s">
        <v>74</v>
      </c>
      <c r="BB842">
        <v>1845</v>
      </c>
      <c r="BC842">
        <v>1864</v>
      </c>
      <c r="BD842" t="s">
        <v>74</v>
      </c>
      <c r="BE842" t="s">
        <v>16472</v>
      </c>
      <c r="BF842" t="str">
        <f>HYPERLINK("http://dx.doi.org/10.5194/gmd-13-1845-2020","http://dx.doi.org/10.5194/gmd-13-1845-2020")</f>
        <v>http://dx.doi.org/10.5194/gmd-13-1845-2020</v>
      </c>
      <c r="BG842" t="s">
        <v>74</v>
      </c>
      <c r="BH842" t="s">
        <v>74</v>
      </c>
      <c r="BI842">
        <v>20</v>
      </c>
      <c r="BJ842" t="s">
        <v>471</v>
      </c>
      <c r="BK842" t="s">
        <v>102</v>
      </c>
      <c r="BL842" t="s">
        <v>472</v>
      </c>
      <c r="BM842" t="s">
        <v>16473</v>
      </c>
      <c r="BN842" t="s">
        <v>74</v>
      </c>
      <c r="BO842" t="s">
        <v>1352</v>
      </c>
      <c r="BP842" t="s">
        <v>74</v>
      </c>
      <c r="BQ842" t="s">
        <v>74</v>
      </c>
      <c r="BR842" t="s">
        <v>106</v>
      </c>
      <c r="BS842" t="s">
        <v>16474</v>
      </c>
      <c r="BT842" t="str">
        <f>HYPERLINK("https%3A%2F%2Fwww.webofscience.com%2Fwos%2Fwoscc%2Ffull-record%2FWOS:000526032000001","View Full Record in Web of Science")</f>
        <v>View Full Record in Web of Science</v>
      </c>
    </row>
    <row r="843" spans="1:72" x14ac:dyDescent="0.15">
      <c r="A843" t="s">
        <v>72</v>
      </c>
      <c r="B843" t="s">
        <v>16475</v>
      </c>
      <c r="C843" t="s">
        <v>74</v>
      </c>
      <c r="D843" t="s">
        <v>74</v>
      </c>
      <c r="E843" t="s">
        <v>74</v>
      </c>
      <c r="F843" t="s">
        <v>16476</v>
      </c>
      <c r="G843" t="s">
        <v>74</v>
      </c>
      <c r="H843" t="s">
        <v>74</v>
      </c>
      <c r="I843" t="s">
        <v>16477</v>
      </c>
      <c r="J843" t="s">
        <v>1547</v>
      </c>
      <c r="K843" t="s">
        <v>74</v>
      </c>
      <c r="L843" t="s">
        <v>74</v>
      </c>
      <c r="M843" t="s">
        <v>78</v>
      </c>
      <c r="N843" t="s">
        <v>79</v>
      </c>
      <c r="O843" t="s">
        <v>74</v>
      </c>
      <c r="P843" t="s">
        <v>74</v>
      </c>
      <c r="Q843" t="s">
        <v>74</v>
      </c>
      <c r="R843" t="s">
        <v>74</v>
      </c>
      <c r="S843" t="s">
        <v>74</v>
      </c>
      <c r="T843" t="s">
        <v>16478</v>
      </c>
      <c r="U843" t="s">
        <v>16479</v>
      </c>
      <c r="V843" t="s">
        <v>16480</v>
      </c>
      <c r="W843" t="s">
        <v>16481</v>
      </c>
      <c r="X843" t="s">
        <v>16482</v>
      </c>
      <c r="Y843" t="s">
        <v>16483</v>
      </c>
      <c r="Z843" t="s">
        <v>16484</v>
      </c>
      <c r="AA843" t="s">
        <v>16485</v>
      </c>
      <c r="AB843" t="s">
        <v>16486</v>
      </c>
      <c r="AC843" t="s">
        <v>16487</v>
      </c>
      <c r="AD843" t="s">
        <v>16488</v>
      </c>
      <c r="AE843" t="s">
        <v>16489</v>
      </c>
      <c r="AF843" t="s">
        <v>74</v>
      </c>
      <c r="AG843">
        <v>57</v>
      </c>
      <c r="AH843">
        <v>7</v>
      </c>
      <c r="AI843">
        <v>9</v>
      </c>
      <c r="AJ843">
        <v>1</v>
      </c>
      <c r="AK843">
        <v>23</v>
      </c>
      <c r="AL843" t="s">
        <v>1560</v>
      </c>
      <c r="AM843" t="s">
        <v>945</v>
      </c>
      <c r="AN843" t="s">
        <v>1561</v>
      </c>
      <c r="AO843" t="s">
        <v>1562</v>
      </c>
      <c r="AP843" t="s">
        <v>74</v>
      </c>
      <c r="AQ843" t="s">
        <v>74</v>
      </c>
      <c r="AR843" t="s">
        <v>1547</v>
      </c>
      <c r="AS843" t="s">
        <v>1563</v>
      </c>
      <c r="AT843" t="s">
        <v>16471</v>
      </c>
      <c r="AU843">
        <v>2020</v>
      </c>
      <c r="AV843">
        <v>8</v>
      </c>
      <c r="AW843" t="s">
        <v>74</v>
      </c>
      <c r="AX843" t="s">
        <v>74</v>
      </c>
      <c r="AY843" t="s">
        <v>74</v>
      </c>
      <c r="AZ843" t="s">
        <v>74</v>
      </c>
      <c r="BA843" t="s">
        <v>74</v>
      </c>
      <c r="BB843" t="s">
        <v>74</v>
      </c>
      <c r="BC843" t="s">
        <v>74</v>
      </c>
      <c r="BD843" t="s">
        <v>16490</v>
      </c>
      <c r="BE843" t="s">
        <v>16491</v>
      </c>
      <c r="BF843" t="str">
        <f>HYPERLINK("http://dx.doi.org/10.7717/peerj.8885","http://dx.doi.org/10.7717/peerj.8885")</f>
        <v>http://dx.doi.org/10.7717/peerj.8885</v>
      </c>
      <c r="BG843" t="s">
        <v>74</v>
      </c>
      <c r="BH843" t="s">
        <v>74</v>
      </c>
      <c r="BI843">
        <v>21</v>
      </c>
      <c r="BJ843" t="s">
        <v>1125</v>
      </c>
      <c r="BK843" t="s">
        <v>102</v>
      </c>
      <c r="BL843" t="s">
        <v>1126</v>
      </c>
      <c r="BM843" t="s">
        <v>16492</v>
      </c>
      <c r="BN843">
        <v>32296607</v>
      </c>
      <c r="BO843" t="s">
        <v>1128</v>
      </c>
      <c r="BP843" t="s">
        <v>74</v>
      </c>
      <c r="BQ843" t="s">
        <v>74</v>
      </c>
      <c r="BR843" t="s">
        <v>106</v>
      </c>
      <c r="BS843" t="s">
        <v>16493</v>
      </c>
      <c r="BT843" t="str">
        <f>HYPERLINK("https%3A%2F%2Fwww.webofscience.com%2Fwos%2Fwoscc%2Ffull-record%2FWOS:000525081400005","View Full Record in Web of Science")</f>
        <v>View Full Record in Web of Science</v>
      </c>
    </row>
    <row r="844" spans="1:72" x14ac:dyDescent="0.15">
      <c r="A844" t="s">
        <v>72</v>
      </c>
      <c r="B844" t="s">
        <v>16494</v>
      </c>
      <c r="C844" t="s">
        <v>74</v>
      </c>
      <c r="D844" t="s">
        <v>74</v>
      </c>
      <c r="E844" t="s">
        <v>74</v>
      </c>
      <c r="F844" t="s">
        <v>16495</v>
      </c>
      <c r="G844" t="s">
        <v>74</v>
      </c>
      <c r="H844" t="s">
        <v>74</v>
      </c>
      <c r="I844" t="s">
        <v>16496</v>
      </c>
      <c r="J844" t="s">
        <v>16497</v>
      </c>
      <c r="K844" t="s">
        <v>74</v>
      </c>
      <c r="L844" t="s">
        <v>74</v>
      </c>
      <c r="M844" t="s">
        <v>78</v>
      </c>
      <c r="N844" t="s">
        <v>1850</v>
      </c>
      <c r="O844" t="s">
        <v>74</v>
      </c>
      <c r="P844" t="s">
        <v>74</v>
      </c>
      <c r="Q844" t="s">
        <v>74</v>
      </c>
      <c r="R844" t="s">
        <v>74</v>
      </c>
      <c r="S844" t="s">
        <v>74</v>
      </c>
      <c r="T844" t="s">
        <v>74</v>
      </c>
      <c r="U844" t="s">
        <v>74</v>
      </c>
      <c r="V844" t="s">
        <v>74</v>
      </c>
      <c r="W844" t="s">
        <v>16498</v>
      </c>
      <c r="X844" t="s">
        <v>1339</v>
      </c>
      <c r="Y844" t="s">
        <v>16499</v>
      </c>
      <c r="Z844" t="s">
        <v>16500</v>
      </c>
      <c r="AA844" t="s">
        <v>16501</v>
      </c>
      <c r="AB844" t="s">
        <v>74</v>
      </c>
      <c r="AC844" t="s">
        <v>74</v>
      </c>
      <c r="AD844" t="s">
        <v>74</v>
      </c>
      <c r="AE844" t="s">
        <v>74</v>
      </c>
      <c r="AF844" t="s">
        <v>74</v>
      </c>
      <c r="AG844">
        <v>9</v>
      </c>
      <c r="AH844">
        <v>1</v>
      </c>
      <c r="AI844">
        <v>1</v>
      </c>
      <c r="AJ844">
        <v>3</v>
      </c>
      <c r="AK844">
        <v>7</v>
      </c>
      <c r="AL844" t="s">
        <v>124</v>
      </c>
      <c r="AM844" t="s">
        <v>93</v>
      </c>
      <c r="AN844" t="s">
        <v>125</v>
      </c>
      <c r="AO844" t="s">
        <v>16502</v>
      </c>
      <c r="AP844" t="s">
        <v>16503</v>
      </c>
      <c r="AQ844" t="s">
        <v>74</v>
      </c>
      <c r="AR844" t="s">
        <v>16504</v>
      </c>
      <c r="AS844" t="s">
        <v>16505</v>
      </c>
      <c r="AT844" t="s">
        <v>16506</v>
      </c>
      <c r="AU844">
        <v>2020</v>
      </c>
      <c r="AV844">
        <v>125</v>
      </c>
      <c r="AW844">
        <v>5</v>
      </c>
      <c r="AX844" t="s">
        <v>74</v>
      </c>
      <c r="AY844" t="s">
        <v>74</v>
      </c>
      <c r="AZ844" t="s">
        <v>74</v>
      </c>
      <c r="BA844" t="s">
        <v>74</v>
      </c>
      <c r="BB844" t="s">
        <v>16507</v>
      </c>
      <c r="BC844" t="s">
        <v>16508</v>
      </c>
      <c r="BD844" t="s">
        <v>74</v>
      </c>
      <c r="BE844" t="s">
        <v>16509</v>
      </c>
      <c r="BF844" t="str">
        <f>HYPERLINK("http://dx.doi.org/10.1093/aob/mcaa057","http://dx.doi.org/10.1093/aob/mcaa057")</f>
        <v>http://dx.doi.org/10.1093/aob/mcaa057</v>
      </c>
      <c r="BG844" t="s">
        <v>74</v>
      </c>
      <c r="BH844" t="s">
        <v>74</v>
      </c>
      <c r="BI844">
        <v>2</v>
      </c>
      <c r="BJ844" t="s">
        <v>1635</v>
      </c>
      <c r="BK844" t="s">
        <v>102</v>
      </c>
      <c r="BL844" t="s">
        <v>1635</v>
      </c>
      <c r="BM844" t="s">
        <v>16510</v>
      </c>
      <c r="BN844">
        <v>32333012</v>
      </c>
      <c r="BO844" t="s">
        <v>6176</v>
      </c>
      <c r="BP844" t="s">
        <v>74</v>
      </c>
      <c r="BQ844" t="s">
        <v>74</v>
      </c>
      <c r="BR844" t="s">
        <v>106</v>
      </c>
      <c r="BS844" t="s">
        <v>16511</v>
      </c>
      <c r="BT844" t="str">
        <f>HYPERLINK("https%3A%2F%2Fwww.webofscience.com%2Fwos%2Fwoscc%2Ffull-record%2FWOS:000553095900003","View Full Record in Web of Science")</f>
        <v>View Full Record in Web of Science</v>
      </c>
    </row>
    <row r="845" spans="1:72" x14ac:dyDescent="0.15">
      <c r="A845" t="s">
        <v>72</v>
      </c>
      <c r="B845" t="s">
        <v>16512</v>
      </c>
      <c r="C845" t="s">
        <v>74</v>
      </c>
      <c r="D845" t="s">
        <v>74</v>
      </c>
      <c r="E845" t="s">
        <v>74</v>
      </c>
      <c r="F845" t="s">
        <v>16513</v>
      </c>
      <c r="G845" t="s">
        <v>74</v>
      </c>
      <c r="H845" t="s">
        <v>74</v>
      </c>
      <c r="I845" t="s">
        <v>16514</v>
      </c>
      <c r="J845" t="s">
        <v>1106</v>
      </c>
      <c r="K845" t="s">
        <v>74</v>
      </c>
      <c r="L845" t="s">
        <v>74</v>
      </c>
      <c r="M845" t="s">
        <v>78</v>
      </c>
      <c r="N845" t="s">
        <v>79</v>
      </c>
      <c r="O845" t="s">
        <v>74</v>
      </c>
      <c r="P845" t="s">
        <v>74</v>
      </c>
      <c r="Q845" t="s">
        <v>74</v>
      </c>
      <c r="R845" t="s">
        <v>74</v>
      </c>
      <c r="S845" t="s">
        <v>74</v>
      </c>
      <c r="T845" t="s">
        <v>74</v>
      </c>
      <c r="U845" t="s">
        <v>16515</v>
      </c>
      <c r="V845" t="s">
        <v>16516</v>
      </c>
      <c r="W845" t="s">
        <v>16517</v>
      </c>
      <c r="X845" t="s">
        <v>16518</v>
      </c>
      <c r="Y845" t="s">
        <v>16519</v>
      </c>
      <c r="Z845" t="s">
        <v>16520</v>
      </c>
      <c r="AA845" t="s">
        <v>16521</v>
      </c>
      <c r="AB845" t="s">
        <v>16522</v>
      </c>
      <c r="AC845" t="s">
        <v>16523</v>
      </c>
      <c r="AD845" t="s">
        <v>4865</v>
      </c>
      <c r="AE845" t="s">
        <v>16524</v>
      </c>
      <c r="AF845" t="s">
        <v>74</v>
      </c>
      <c r="AG845">
        <v>76</v>
      </c>
      <c r="AH845">
        <v>16</v>
      </c>
      <c r="AI845">
        <v>16</v>
      </c>
      <c r="AJ845">
        <v>0</v>
      </c>
      <c r="AK845">
        <v>6</v>
      </c>
      <c r="AL845" t="s">
        <v>1389</v>
      </c>
      <c r="AM845" t="s">
        <v>945</v>
      </c>
      <c r="AN845" t="s">
        <v>1390</v>
      </c>
      <c r="AO845" t="s">
        <v>1121</v>
      </c>
      <c r="AP845" t="s">
        <v>74</v>
      </c>
      <c r="AQ845" t="s">
        <v>74</v>
      </c>
      <c r="AR845" t="s">
        <v>1122</v>
      </c>
      <c r="AS845" t="s">
        <v>1123</v>
      </c>
      <c r="AT845" t="s">
        <v>16506</v>
      </c>
      <c r="AU845">
        <v>2020</v>
      </c>
      <c r="AV845">
        <v>10</v>
      </c>
      <c r="AW845">
        <v>1</v>
      </c>
      <c r="AX845" t="s">
        <v>74</v>
      </c>
      <c r="AY845" t="s">
        <v>74</v>
      </c>
      <c r="AZ845" t="s">
        <v>74</v>
      </c>
      <c r="BA845" t="s">
        <v>74</v>
      </c>
      <c r="BB845" t="s">
        <v>74</v>
      </c>
      <c r="BC845" t="s">
        <v>74</v>
      </c>
      <c r="BD845">
        <v>6060</v>
      </c>
      <c r="BE845" t="s">
        <v>16525</v>
      </c>
      <c r="BF845" t="str">
        <f>HYPERLINK("http://dx.doi.org/10.1038/s41598-020-62800-7","http://dx.doi.org/10.1038/s41598-020-62800-7")</f>
        <v>http://dx.doi.org/10.1038/s41598-020-62800-7</v>
      </c>
      <c r="BG845" t="s">
        <v>74</v>
      </c>
      <c r="BH845" t="s">
        <v>74</v>
      </c>
      <c r="BI845">
        <v>11</v>
      </c>
      <c r="BJ845" t="s">
        <v>1125</v>
      </c>
      <c r="BK845" t="s">
        <v>102</v>
      </c>
      <c r="BL845" t="s">
        <v>1126</v>
      </c>
      <c r="BM845" t="s">
        <v>16526</v>
      </c>
      <c r="BN845">
        <v>32269236</v>
      </c>
      <c r="BO845" t="s">
        <v>1128</v>
      </c>
      <c r="BP845" t="s">
        <v>74</v>
      </c>
      <c r="BQ845" t="s">
        <v>74</v>
      </c>
      <c r="BR845" t="s">
        <v>106</v>
      </c>
      <c r="BS845" t="s">
        <v>16527</v>
      </c>
      <c r="BT845" t="str">
        <f>HYPERLINK("https%3A%2F%2Fwww.webofscience.com%2Fwos%2Fwoscc%2Ffull-record%2FWOS:000559751100007","View Full Record in Web of Science")</f>
        <v>View Full Record in Web of Science</v>
      </c>
    </row>
    <row r="846" spans="1:72" x14ac:dyDescent="0.15">
      <c r="A846" t="s">
        <v>72</v>
      </c>
      <c r="B846" t="s">
        <v>16528</v>
      </c>
      <c r="C846" t="s">
        <v>74</v>
      </c>
      <c r="D846" t="s">
        <v>74</v>
      </c>
      <c r="E846" t="s">
        <v>74</v>
      </c>
      <c r="F846" t="s">
        <v>16529</v>
      </c>
      <c r="G846" t="s">
        <v>74</v>
      </c>
      <c r="H846" t="s">
        <v>74</v>
      </c>
      <c r="I846" t="s">
        <v>16530</v>
      </c>
      <c r="J846" t="s">
        <v>16497</v>
      </c>
      <c r="K846" t="s">
        <v>74</v>
      </c>
      <c r="L846" t="s">
        <v>74</v>
      </c>
      <c r="M846" t="s">
        <v>78</v>
      </c>
      <c r="N846" t="s">
        <v>79</v>
      </c>
      <c r="O846" t="s">
        <v>74</v>
      </c>
      <c r="P846" t="s">
        <v>74</v>
      </c>
      <c r="Q846" t="s">
        <v>74</v>
      </c>
      <c r="R846" t="s">
        <v>74</v>
      </c>
      <c r="S846" t="s">
        <v>74</v>
      </c>
      <c r="T846" t="s">
        <v>16531</v>
      </c>
      <c r="U846" t="s">
        <v>16532</v>
      </c>
      <c r="V846" t="s">
        <v>16533</v>
      </c>
      <c r="W846" t="s">
        <v>16534</v>
      </c>
      <c r="X846" t="s">
        <v>16535</v>
      </c>
      <c r="Y846" t="s">
        <v>16536</v>
      </c>
      <c r="Z846" t="s">
        <v>16537</v>
      </c>
      <c r="AA846" t="s">
        <v>16538</v>
      </c>
      <c r="AB846" t="s">
        <v>16539</v>
      </c>
      <c r="AC846" t="s">
        <v>16540</v>
      </c>
      <c r="AD846" t="s">
        <v>16541</v>
      </c>
      <c r="AE846" t="s">
        <v>16542</v>
      </c>
      <c r="AF846" t="s">
        <v>74</v>
      </c>
      <c r="AG846">
        <v>68</v>
      </c>
      <c r="AH846">
        <v>4</v>
      </c>
      <c r="AI846">
        <v>4</v>
      </c>
      <c r="AJ846">
        <v>6</v>
      </c>
      <c r="AK846">
        <v>28</v>
      </c>
      <c r="AL846" t="s">
        <v>124</v>
      </c>
      <c r="AM846" t="s">
        <v>93</v>
      </c>
      <c r="AN846" t="s">
        <v>125</v>
      </c>
      <c r="AO846" t="s">
        <v>16502</v>
      </c>
      <c r="AP846" t="s">
        <v>16503</v>
      </c>
      <c r="AQ846" t="s">
        <v>74</v>
      </c>
      <c r="AR846" t="s">
        <v>16504</v>
      </c>
      <c r="AS846" t="s">
        <v>16505</v>
      </c>
      <c r="AT846" t="s">
        <v>16506</v>
      </c>
      <c r="AU846">
        <v>2020</v>
      </c>
      <c r="AV846">
        <v>125</v>
      </c>
      <c r="AW846">
        <v>5</v>
      </c>
      <c r="AX846" t="s">
        <v>74</v>
      </c>
      <c r="AY846" t="s">
        <v>74</v>
      </c>
      <c r="AZ846" t="s">
        <v>74</v>
      </c>
      <c r="BA846" t="s">
        <v>74</v>
      </c>
      <c r="BB846">
        <v>765</v>
      </c>
      <c r="BC846">
        <v>773</v>
      </c>
      <c r="BD846" t="s">
        <v>74</v>
      </c>
      <c r="BE846" t="s">
        <v>16543</v>
      </c>
      <c r="BF846" t="str">
        <f>HYPERLINK("http://dx.doi.org/10.1093/aob/mcz156","http://dx.doi.org/10.1093/aob/mcz156")</f>
        <v>http://dx.doi.org/10.1093/aob/mcz156</v>
      </c>
      <c r="BG846" t="s">
        <v>74</v>
      </c>
      <c r="BH846" t="s">
        <v>74</v>
      </c>
      <c r="BI846">
        <v>9</v>
      </c>
      <c r="BJ846" t="s">
        <v>1635</v>
      </c>
      <c r="BK846" t="s">
        <v>102</v>
      </c>
      <c r="BL846" t="s">
        <v>1635</v>
      </c>
      <c r="BM846" t="s">
        <v>16510</v>
      </c>
      <c r="BN846">
        <v>31583397</v>
      </c>
      <c r="BO846" t="s">
        <v>6176</v>
      </c>
      <c r="BP846" t="s">
        <v>74</v>
      </c>
      <c r="BQ846" t="s">
        <v>74</v>
      </c>
      <c r="BR846" t="s">
        <v>106</v>
      </c>
      <c r="BS846" t="s">
        <v>16544</v>
      </c>
      <c r="BT846" t="str">
        <f>HYPERLINK("https%3A%2F%2Fwww.webofscience.com%2Fwos%2Fwoscc%2Ffull-record%2FWOS:000553095900008","View Full Record in Web of Science")</f>
        <v>View Full Record in Web of Science</v>
      </c>
    </row>
    <row r="847" spans="1:72" x14ac:dyDescent="0.15">
      <c r="A847" t="s">
        <v>72</v>
      </c>
      <c r="B847" t="s">
        <v>16545</v>
      </c>
      <c r="C847" t="s">
        <v>74</v>
      </c>
      <c r="D847" t="s">
        <v>74</v>
      </c>
      <c r="E847" t="s">
        <v>74</v>
      </c>
      <c r="F847" t="s">
        <v>16546</v>
      </c>
      <c r="G847" t="s">
        <v>74</v>
      </c>
      <c r="H847" t="s">
        <v>74</v>
      </c>
      <c r="I847" t="s">
        <v>16547</v>
      </c>
      <c r="J847" t="s">
        <v>1662</v>
      </c>
      <c r="K847" t="s">
        <v>74</v>
      </c>
      <c r="L847" t="s">
        <v>74</v>
      </c>
      <c r="M847" t="s">
        <v>78</v>
      </c>
      <c r="N847" t="s">
        <v>79</v>
      </c>
      <c r="O847" t="s">
        <v>74</v>
      </c>
      <c r="P847" t="s">
        <v>74</v>
      </c>
      <c r="Q847" t="s">
        <v>74</v>
      </c>
      <c r="R847" t="s">
        <v>74</v>
      </c>
      <c r="S847" t="s">
        <v>74</v>
      </c>
      <c r="T847" t="s">
        <v>74</v>
      </c>
      <c r="U847" t="s">
        <v>16548</v>
      </c>
      <c r="V847" t="s">
        <v>16549</v>
      </c>
      <c r="W847" t="s">
        <v>16550</v>
      </c>
      <c r="X847" t="s">
        <v>16551</v>
      </c>
      <c r="Y847" t="s">
        <v>16552</v>
      </c>
      <c r="Z847" t="s">
        <v>543</v>
      </c>
      <c r="AA847" t="s">
        <v>16553</v>
      </c>
      <c r="AB847" t="s">
        <v>16554</v>
      </c>
      <c r="AC847" t="s">
        <v>16555</v>
      </c>
      <c r="AD847" t="s">
        <v>16556</v>
      </c>
      <c r="AE847" t="s">
        <v>16557</v>
      </c>
      <c r="AF847" t="s">
        <v>74</v>
      </c>
      <c r="AG847">
        <v>38</v>
      </c>
      <c r="AH847">
        <v>10</v>
      </c>
      <c r="AI847">
        <v>10</v>
      </c>
      <c r="AJ847">
        <v>0</v>
      </c>
      <c r="AK847">
        <v>17</v>
      </c>
      <c r="AL847" t="s">
        <v>1321</v>
      </c>
      <c r="AM847" t="s">
        <v>1322</v>
      </c>
      <c r="AN847" t="s">
        <v>1323</v>
      </c>
      <c r="AO847" t="s">
        <v>1674</v>
      </c>
      <c r="AP847" t="s">
        <v>1675</v>
      </c>
      <c r="AQ847" t="s">
        <v>74</v>
      </c>
      <c r="AR847" t="s">
        <v>1676</v>
      </c>
      <c r="AS847" t="s">
        <v>1677</v>
      </c>
      <c r="AT847" t="s">
        <v>16506</v>
      </c>
      <c r="AU847">
        <v>2020</v>
      </c>
      <c r="AV847">
        <v>167</v>
      </c>
      <c r="AW847">
        <v>5</v>
      </c>
      <c r="AX847" t="s">
        <v>74</v>
      </c>
      <c r="AY847" t="s">
        <v>74</v>
      </c>
      <c r="AZ847" t="s">
        <v>74</v>
      </c>
      <c r="BA847" t="s">
        <v>74</v>
      </c>
      <c r="BB847" t="s">
        <v>74</v>
      </c>
      <c r="BC847" t="s">
        <v>74</v>
      </c>
      <c r="BD847" t="s">
        <v>74</v>
      </c>
      <c r="BE847" t="s">
        <v>16558</v>
      </c>
      <c r="BF847" t="str">
        <f>HYPERLINK("http://dx.doi.org/10.1007/s00227-020-3666-2","http://dx.doi.org/10.1007/s00227-020-3666-2")</f>
        <v>http://dx.doi.org/10.1007/s00227-020-3666-2</v>
      </c>
      <c r="BG847" t="s">
        <v>74</v>
      </c>
      <c r="BH847" t="s">
        <v>74</v>
      </c>
      <c r="BI847">
        <v>9</v>
      </c>
      <c r="BJ847" t="s">
        <v>1680</v>
      </c>
      <c r="BK847" t="s">
        <v>102</v>
      </c>
      <c r="BL847" t="s">
        <v>1680</v>
      </c>
      <c r="BM847" t="s">
        <v>16559</v>
      </c>
      <c r="BN847" t="s">
        <v>74</v>
      </c>
      <c r="BO847" t="s">
        <v>74</v>
      </c>
      <c r="BP847" t="s">
        <v>74</v>
      </c>
      <c r="BQ847" t="s">
        <v>74</v>
      </c>
      <c r="BR847" t="s">
        <v>106</v>
      </c>
      <c r="BS847" t="s">
        <v>16560</v>
      </c>
      <c r="BT847" t="str">
        <f>HYPERLINK("https%3A%2F%2Fwww.webofscience.com%2Fwos%2Fwoscc%2Ffull-record%2FWOS:000526851400002","View Full Record in Web of Science")</f>
        <v>View Full Record in Web of Science</v>
      </c>
    </row>
    <row r="848" spans="1:72" x14ac:dyDescent="0.15">
      <c r="A848" t="s">
        <v>72</v>
      </c>
      <c r="B848" t="s">
        <v>16561</v>
      </c>
      <c r="C848" t="s">
        <v>74</v>
      </c>
      <c r="D848" t="s">
        <v>74</v>
      </c>
      <c r="E848" t="s">
        <v>74</v>
      </c>
      <c r="F848" t="s">
        <v>16562</v>
      </c>
      <c r="G848" t="s">
        <v>74</v>
      </c>
      <c r="H848" t="s">
        <v>74</v>
      </c>
      <c r="I848" t="s">
        <v>16563</v>
      </c>
      <c r="J848" t="s">
        <v>16564</v>
      </c>
      <c r="K848" t="s">
        <v>74</v>
      </c>
      <c r="L848" t="s">
        <v>74</v>
      </c>
      <c r="M848" t="s">
        <v>78</v>
      </c>
      <c r="N848" t="s">
        <v>79</v>
      </c>
      <c r="O848" t="s">
        <v>74</v>
      </c>
      <c r="P848" t="s">
        <v>74</v>
      </c>
      <c r="Q848" t="s">
        <v>74</v>
      </c>
      <c r="R848" t="s">
        <v>74</v>
      </c>
      <c r="S848" t="s">
        <v>74</v>
      </c>
      <c r="T848" t="s">
        <v>74</v>
      </c>
      <c r="U848" t="s">
        <v>16565</v>
      </c>
      <c r="V848" t="s">
        <v>16566</v>
      </c>
      <c r="W848" t="s">
        <v>16567</v>
      </c>
      <c r="X848" t="s">
        <v>16568</v>
      </c>
      <c r="Y848" t="s">
        <v>16569</v>
      </c>
      <c r="Z848" t="s">
        <v>16570</v>
      </c>
      <c r="AA848" t="s">
        <v>16571</v>
      </c>
      <c r="AB848" t="s">
        <v>16572</v>
      </c>
      <c r="AC848" t="s">
        <v>16573</v>
      </c>
      <c r="AD848" t="s">
        <v>16574</v>
      </c>
      <c r="AE848" t="s">
        <v>16575</v>
      </c>
      <c r="AF848" t="s">
        <v>74</v>
      </c>
      <c r="AG848">
        <v>31</v>
      </c>
      <c r="AH848">
        <v>13</v>
      </c>
      <c r="AI848">
        <v>14</v>
      </c>
      <c r="AJ848">
        <v>0</v>
      </c>
      <c r="AK848">
        <v>6</v>
      </c>
      <c r="AL848" t="s">
        <v>1049</v>
      </c>
      <c r="AM848" t="s">
        <v>1050</v>
      </c>
      <c r="AN848" t="s">
        <v>1051</v>
      </c>
      <c r="AO848" t="s">
        <v>16576</v>
      </c>
      <c r="AP848" t="s">
        <v>16577</v>
      </c>
      <c r="AQ848" t="s">
        <v>74</v>
      </c>
      <c r="AR848" t="s">
        <v>16578</v>
      </c>
      <c r="AS848" t="s">
        <v>16579</v>
      </c>
      <c r="AT848" t="s">
        <v>16506</v>
      </c>
      <c r="AU848">
        <v>2020</v>
      </c>
      <c r="AV848">
        <v>38</v>
      </c>
      <c r="AW848">
        <v>2</v>
      </c>
      <c r="AX848" t="s">
        <v>74</v>
      </c>
      <c r="AY848" t="s">
        <v>74</v>
      </c>
      <c r="AZ848" t="s">
        <v>74</v>
      </c>
      <c r="BA848" t="s">
        <v>74</v>
      </c>
      <c r="BB848">
        <v>481</v>
      </c>
      <c r="BC848">
        <v>490</v>
      </c>
      <c r="BD848" t="s">
        <v>74</v>
      </c>
      <c r="BE848" t="s">
        <v>16580</v>
      </c>
      <c r="BF848" t="str">
        <f>HYPERLINK("http://dx.doi.org/10.5194/angeo-38-481-2020","http://dx.doi.org/10.5194/angeo-38-481-2020")</f>
        <v>http://dx.doi.org/10.5194/angeo-38-481-2020</v>
      </c>
      <c r="BG848" t="s">
        <v>74</v>
      </c>
      <c r="BH848" t="s">
        <v>74</v>
      </c>
      <c r="BI848">
        <v>10</v>
      </c>
      <c r="BJ848" t="s">
        <v>16581</v>
      </c>
      <c r="BK848" t="s">
        <v>102</v>
      </c>
      <c r="BL848" t="s">
        <v>16582</v>
      </c>
      <c r="BM848" t="s">
        <v>16583</v>
      </c>
      <c r="BN848" t="s">
        <v>74</v>
      </c>
      <c r="BO848" t="s">
        <v>5690</v>
      </c>
      <c r="BP848" t="s">
        <v>74</v>
      </c>
      <c r="BQ848" t="s">
        <v>74</v>
      </c>
      <c r="BR848" t="s">
        <v>106</v>
      </c>
      <c r="BS848" t="s">
        <v>16584</v>
      </c>
      <c r="BT848" t="str">
        <f>HYPERLINK("https%3A%2F%2Fwww.webofscience.com%2Fwos%2Fwoscc%2Ffull-record%2FWOS:000525366400001","View Full Record in Web of Science")</f>
        <v>View Full Record in Web of Science</v>
      </c>
    </row>
    <row r="849" spans="1:72" x14ac:dyDescent="0.15">
      <c r="A849" t="s">
        <v>72</v>
      </c>
      <c r="B849" t="s">
        <v>16585</v>
      </c>
      <c r="C849" t="s">
        <v>74</v>
      </c>
      <c r="D849" t="s">
        <v>74</v>
      </c>
      <c r="E849" t="s">
        <v>74</v>
      </c>
      <c r="F849" t="s">
        <v>16586</v>
      </c>
      <c r="G849" t="s">
        <v>74</v>
      </c>
      <c r="H849" t="s">
        <v>74</v>
      </c>
      <c r="I849" t="s">
        <v>16587</v>
      </c>
      <c r="J849" t="s">
        <v>2051</v>
      </c>
      <c r="K849" t="s">
        <v>74</v>
      </c>
      <c r="L849" t="s">
        <v>74</v>
      </c>
      <c r="M849" t="s">
        <v>78</v>
      </c>
      <c r="N849" t="s">
        <v>79</v>
      </c>
      <c r="O849" t="s">
        <v>74</v>
      </c>
      <c r="P849" t="s">
        <v>74</v>
      </c>
      <c r="Q849" t="s">
        <v>74</v>
      </c>
      <c r="R849" t="s">
        <v>74</v>
      </c>
      <c r="S849" t="s">
        <v>74</v>
      </c>
      <c r="T849" t="s">
        <v>74</v>
      </c>
      <c r="U849" t="s">
        <v>16588</v>
      </c>
      <c r="V849" t="s">
        <v>16589</v>
      </c>
      <c r="W849" t="s">
        <v>16590</v>
      </c>
      <c r="X849" t="s">
        <v>16591</v>
      </c>
      <c r="Y849" t="s">
        <v>16592</v>
      </c>
      <c r="Z849" t="s">
        <v>16593</v>
      </c>
      <c r="AA849" t="s">
        <v>16594</v>
      </c>
      <c r="AB849" t="s">
        <v>16595</v>
      </c>
      <c r="AC849" t="s">
        <v>16596</v>
      </c>
      <c r="AD849" t="s">
        <v>16597</v>
      </c>
      <c r="AE849" t="s">
        <v>16598</v>
      </c>
      <c r="AF849" t="s">
        <v>74</v>
      </c>
      <c r="AG849">
        <v>52</v>
      </c>
      <c r="AH849">
        <v>20</v>
      </c>
      <c r="AI849">
        <v>21</v>
      </c>
      <c r="AJ849">
        <v>3</v>
      </c>
      <c r="AK849">
        <v>61</v>
      </c>
      <c r="AL849" t="s">
        <v>1049</v>
      </c>
      <c r="AM849" t="s">
        <v>1050</v>
      </c>
      <c r="AN849" t="s">
        <v>1051</v>
      </c>
      <c r="AO849" t="s">
        <v>2063</v>
      </c>
      <c r="AP849" t="s">
        <v>2064</v>
      </c>
      <c r="AQ849" t="s">
        <v>74</v>
      </c>
      <c r="AR849" t="s">
        <v>2065</v>
      </c>
      <c r="AS849" t="s">
        <v>2066</v>
      </c>
      <c r="AT849" t="s">
        <v>16506</v>
      </c>
      <c r="AU849">
        <v>2020</v>
      </c>
      <c r="AV849">
        <v>20</v>
      </c>
      <c r="AW849">
        <v>7</v>
      </c>
      <c r="AX849" t="s">
        <v>74</v>
      </c>
      <c r="AY849" t="s">
        <v>74</v>
      </c>
      <c r="AZ849" t="s">
        <v>74</v>
      </c>
      <c r="BA849" t="s">
        <v>74</v>
      </c>
      <c r="BB849">
        <v>4193</v>
      </c>
      <c r="BC849">
        <v>4207</v>
      </c>
      <c r="BD849" t="s">
        <v>74</v>
      </c>
      <c r="BE849" t="s">
        <v>16599</v>
      </c>
      <c r="BF849" t="str">
        <f>HYPERLINK("http://dx.doi.org/10.5194/acp-20-4193-2020","http://dx.doi.org/10.5194/acp-20-4193-2020")</f>
        <v>http://dx.doi.org/10.5194/acp-20-4193-2020</v>
      </c>
      <c r="BG849" t="s">
        <v>74</v>
      </c>
      <c r="BH849" t="s">
        <v>74</v>
      </c>
      <c r="BI849">
        <v>15</v>
      </c>
      <c r="BJ849" t="s">
        <v>2068</v>
      </c>
      <c r="BK849" t="s">
        <v>102</v>
      </c>
      <c r="BL849" t="s">
        <v>2069</v>
      </c>
      <c r="BM849" t="s">
        <v>16600</v>
      </c>
      <c r="BN849" t="s">
        <v>74</v>
      </c>
      <c r="BO849" t="s">
        <v>1060</v>
      </c>
      <c r="BP849" t="s">
        <v>74</v>
      </c>
      <c r="BQ849" t="s">
        <v>74</v>
      </c>
      <c r="BR849" t="s">
        <v>106</v>
      </c>
      <c r="BS849" t="s">
        <v>16601</v>
      </c>
      <c r="BT849" t="str">
        <f>HYPERLINK("https%3A%2F%2Fwww.webofscience.com%2Fwos%2Fwoscc%2Ffull-record%2FWOS:000525365900001","View Full Record in Web of Science")</f>
        <v>View Full Record in Web of Science</v>
      </c>
    </row>
    <row r="850" spans="1:72" x14ac:dyDescent="0.15">
      <c r="A850" t="s">
        <v>72</v>
      </c>
      <c r="B850" t="s">
        <v>16602</v>
      </c>
      <c r="C850" t="s">
        <v>74</v>
      </c>
      <c r="D850" t="s">
        <v>74</v>
      </c>
      <c r="E850" t="s">
        <v>74</v>
      </c>
      <c r="F850" t="s">
        <v>16603</v>
      </c>
      <c r="G850" t="s">
        <v>74</v>
      </c>
      <c r="H850" t="s">
        <v>74</v>
      </c>
      <c r="I850" t="s">
        <v>16604</v>
      </c>
      <c r="J850" t="s">
        <v>2007</v>
      </c>
      <c r="K850" t="s">
        <v>74</v>
      </c>
      <c r="L850" t="s">
        <v>74</v>
      </c>
      <c r="M850" t="s">
        <v>78</v>
      </c>
      <c r="N850" t="s">
        <v>79</v>
      </c>
      <c r="O850" t="s">
        <v>74</v>
      </c>
      <c r="P850" t="s">
        <v>74</v>
      </c>
      <c r="Q850" t="s">
        <v>74</v>
      </c>
      <c r="R850" t="s">
        <v>74</v>
      </c>
      <c r="S850" t="s">
        <v>74</v>
      </c>
      <c r="T850" t="s">
        <v>74</v>
      </c>
      <c r="U850" t="s">
        <v>16605</v>
      </c>
      <c r="V850" t="s">
        <v>16606</v>
      </c>
      <c r="W850" t="s">
        <v>16607</v>
      </c>
      <c r="X850" t="s">
        <v>16608</v>
      </c>
      <c r="Y850" t="s">
        <v>16609</v>
      </c>
      <c r="Z850" t="s">
        <v>16610</v>
      </c>
      <c r="AA850" t="s">
        <v>16611</v>
      </c>
      <c r="AB850" t="s">
        <v>16612</v>
      </c>
      <c r="AC850" t="s">
        <v>16613</v>
      </c>
      <c r="AD850" t="s">
        <v>16614</v>
      </c>
      <c r="AE850" t="s">
        <v>16615</v>
      </c>
      <c r="AF850" t="s">
        <v>74</v>
      </c>
      <c r="AG850">
        <v>95</v>
      </c>
      <c r="AH850">
        <v>19</v>
      </c>
      <c r="AI850">
        <v>20</v>
      </c>
      <c r="AJ850">
        <v>0</v>
      </c>
      <c r="AK850">
        <v>4</v>
      </c>
      <c r="AL850" t="s">
        <v>1049</v>
      </c>
      <c r="AM850" t="s">
        <v>1050</v>
      </c>
      <c r="AN850" t="s">
        <v>1051</v>
      </c>
      <c r="AO850" t="s">
        <v>2019</v>
      </c>
      <c r="AP850" t="s">
        <v>2020</v>
      </c>
      <c r="AQ850" t="s">
        <v>74</v>
      </c>
      <c r="AR850" t="s">
        <v>2007</v>
      </c>
      <c r="AS850" t="s">
        <v>2021</v>
      </c>
      <c r="AT850" t="s">
        <v>16506</v>
      </c>
      <c r="AU850">
        <v>2020</v>
      </c>
      <c r="AV850">
        <v>14</v>
      </c>
      <c r="AW850">
        <v>4</v>
      </c>
      <c r="AX850" t="s">
        <v>74</v>
      </c>
      <c r="AY850" t="s">
        <v>74</v>
      </c>
      <c r="AZ850" t="s">
        <v>74</v>
      </c>
      <c r="BA850" t="s">
        <v>74</v>
      </c>
      <c r="BB850">
        <v>1187</v>
      </c>
      <c r="BC850">
        <v>1207</v>
      </c>
      <c r="BD850" t="s">
        <v>74</v>
      </c>
      <c r="BE850" t="s">
        <v>16616</v>
      </c>
      <c r="BF850" t="str">
        <f>HYPERLINK("http://dx.doi.org/10.5194/tc-14-1187-2020","http://dx.doi.org/10.5194/tc-14-1187-2020")</f>
        <v>http://dx.doi.org/10.5194/tc-14-1187-2020</v>
      </c>
      <c r="BG850" t="s">
        <v>74</v>
      </c>
      <c r="BH850" t="s">
        <v>74</v>
      </c>
      <c r="BI850">
        <v>21</v>
      </c>
      <c r="BJ850" t="s">
        <v>694</v>
      </c>
      <c r="BK850" t="s">
        <v>102</v>
      </c>
      <c r="BL850" t="s">
        <v>695</v>
      </c>
      <c r="BM850" t="s">
        <v>16617</v>
      </c>
      <c r="BN850" t="s">
        <v>74</v>
      </c>
      <c r="BO850" t="s">
        <v>2089</v>
      </c>
      <c r="BP850" t="s">
        <v>74</v>
      </c>
      <c r="BQ850" t="s">
        <v>74</v>
      </c>
      <c r="BR850" t="s">
        <v>106</v>
      </c>
      <c r="BS850" t="s">
        <v>16618</v>
      </c>
      <c r="BT850" t="str">
        <f>HYPERLINK("https%3A%2F%2Fwww.webofscience.com%2Fwos%2Fwoscc%2Ffull-record%2FWOS:000525368200001","View Full Record in Web of Science")</f>
        <v>View Full Record in Web of Science</v>
      </c>
    </row>
    <row r="851" spans="1:72" x14ac:dyDescent="0.15">
      <c r="A851" t="s">
        <v>72</v>
      </c>
      <c r="B851" t="s">
        <v>16619</v>
      </c>
      <c r="C851" t="s">
        <v>74</v>
      </c>
      <c r="D851" t="s">
        <v>74</v>
      </c>
      <c r="E851" t="s">
        <v>74</v>
      </c>
      <c r="F851" t="s">
        <v>16620</v>
      </c>
      <c r="G851" t="s">
        <v>74</v>
      </c>
      <c r="H851" t="s">
        <v>74</v>
      </c>
      <c r="I851" t="s">
        <v>16621</v>
      </c>
      <c r="J851" t="s">
        <v>16622</v>
      </c>
      <c r="K851" t="s">
        <v>74</v>
      </c>
      <c r="L851" t="s">
        <v>74</v>
      </c>
      <c r="M851" t="s">
        <v>78</v>
      </c>
      <c r="N851" t="s">
        <v>79</v>
      </c>
      <c r="O851" t="s">
        <v>74</v>
      </c>
      <c r="P851" t="s">
        <v>74</v>
      </c>
      <c r="Q851" t="s">
        <v>74</v>
      </c>
      <c r="R851" t="s">
        <v>74</v>
      </c>
      <c r="S851" t="s">
        <v>74</v>
      </c>
      <c r="T851" t="s">
        <v>16623</v>
      </c>
      <c r="U851" t="s">
        <v>16624</v>
      </c>
      <c r="V851" t="s">
        <v>16625</v>
      </c>
      <c r="W851" t="s">
        <v>16626</v>
      </c>
      <c r="X851" t="s">
        <v>16627</v>
      </c>
      <c r="Y851" t="s">
        <v>16628</v>
      </c>
      <c r="Z851" t="s">
        <v>16629</v>
      </c>
      <c r="AA851" t="s">
        <v>16630</v>
      </c>
      <c r="AB851" t="s">
        <v>16631</v>
      </c>
      <c r="AC851" t="s">
        <v>16632</v>
      </c>
      <c r="AD851" t="s">
        <v>16633</v>
      </c>
      <c r="AE851" t="s">
        <v>16634</v>
      </c>
      <c r="AF851" t="s">
        <v>74</v>
      </c>
      <c r="AG851">
        <v>65</v>
      </c>
      <c r="AH851">
        <v>9</v>
      </c>
      <c r="AI851">
        <v>10</v>
      </c>
      <c r="AJ851">
        <v>2</v>
      </c>
      <c r="AK851">
        <v>11</v>
      </c>
      <c r="AL851" t="s">
        <v>1321</v>
      </c>
      <c r="AM851" t="s">
        <v>1322</v>
      </c>
      <c r="AN851" t="s">
        <v>1323</v>
      </c>
      <c r="AO851" t="s">
        <v>16635</v>
      </c>
      <c r="AP851" t="s">
        <v>16636</v>
      </c>
      <c r="AQ851" t="s">
        <v>74</v>
      </c>
      <c r="AR851" t="s">
        <v>16637</v>
      </c>
      <c r="AS851" t="s">
        <v>16638</v>
      </c>
      <c r="AT851" t="s">
        <v>16506</v>
      </c>
      <c r="AU851">
        <v>2020</v>
      </c>
      <c r="AV851">
        <v>50</v>
      </c>
      <c r="AW851">
        <v>3</v>
      </c>
      <c r="AX851" t="s">
        <v>74</v>
      </c>
      <c r="AY851" t="s">
        <v>74</v>
      </c>
      <c r="AZ851" t="s">
        <v>74</v>
      </c>
      <c r="BA851" t="s">
        <v>74</v>
      </c>
      <c r="BB851" t="s">
        <v>74</v>
      </c>
      <c r="BC851" t="s">
        <v>74</v>
      </c>
      <c r="BD851">
        <v>30</v>
      </c>
      <c r="BE851" t="s">
        <v>16639</v>
      </c>
      <c r="BF851" t="str">
        <f>HYPERLINK("http://dx.doi.org/10.1007/s12526-020-01053-z","http://dx.doi.org/10.1007/s12526-020-01053-z")</f>
        <v>http://dx.doi.org/10.1007/s12526-020-01053-z</v>
      </c>
      <c r="BG851" t="s">
        <v>74</v>
      </c>
      <c r="BH851" t="s">
        <v>74</v>
      </c>
      <c r="BI851">
        <v>21</v>
      </c>
      <c r="BJ851" t="s">
        <v>16640</v>
      </c>
      <c r="BK851" t="s">
        <v>102</v>
      </c>
      <c r="BL851" t="s">
        <v>16641</v>
      </c>
      <c r="BM851" t="s">
        <v>16642</v>
      </c>
      <c r="BN851" t="s">
        <v>74</v>
      </c>
      <c r="BO851" t="s">
        <v>74</v>
      </c>
      <c r="BP851" t="s">
        <v>74</v>
      </c>
      <c r="BQ851" t="s">
        <v>74</v>
      </c>
      <c r="BR851" t="s">
        <v>106</v>
      </c>
      <c r="BS851" t="s">
        <v>16643</v>
      </c>
      <c r="BT851" t="str">
        <f>HYPERLINK("https%3A%2F%2Fwww.webofscience.com%2Fwos%2Fwoscc%2Ffull-record%2FWOS:000524866700001","View Full Record in Web of Science")</f>
        <v>View Full Record in Web of Science</v>
      </c>
    </row>
    <row r="852" spans="1:72" x14ac:dyDescent="0.15">
      <c r="A852" t="s">
        <v>72</v>
      </c>
      <c r="B852" t="s">
        <v>16644</v>
      </c>
      <c r="C852" t="s">
        <v>74</v>
      </c>
      <c r="D852" t="s">
        <v>74</v>
      </c>
      <c r="E852" t="s">
        <v>74</v>
      </c>
      <c r="F852" t="s">
        <v>16645</v>
      </c>
      <c r="G852" t="s">
        <v>74</v>
      </c>
      <c r="H852" t="s">
        <v>74</v>
      </c>
      <c r="I852" t="s">
        <v>16646</v>
      </c>
      <c r="J852" t="s">
        <v>12596</v>
      </c>
      <c r="K852" t="s">
        <v>74</v>
      </c>
      <c r="L852" t="s">
        <v>74</v>
      </c>
      <c r="M852" t="s">
        <v>78</v>
      </c>
      <c r="N852" t="s">
        <v>79</v>
      </c>
      <c r="O852" t="s">
        <v>74</v>
      </c>
      <c r="P852" t="s">
        <v>74</v>
      </c>
      <c r="Q852" t="s">
        <v>74</v>
      </c>
      <c r="R852" t="s">
        <v>74</v>
      </c>
      <c r="S852" t="s">
        <v>74</v>
      </c>
      <c r="T852" t="s">
        <v>74</v>
      </c>
      <c r="U852" t="s">
        <v>16647</v>
      </c>
      <c r="V852" t="s">
        <v>16648</v>
      </c>
      <c r="W852" t="s">
        <v>16649</v>
      </c>
      <c r="X852" t="s">
        <v>16650</v>
      </c>
      <c r="Y852" t="s">
        <v>16651</v>
      </c>
      <c r="Z852" t="s">
        <v>16652</v>
      </c>
      <c r="AA852" t="s">
        <v>16653</v>
      </c>
      <c r="AB852" t="s">
        <v>16654</v>
      </c>
      <c r="AC852" t="s">
        <v>16655</v>
      </c>
      <c r="AD852" t="s">
        <v>16656</v>
      </c>
      <c r="AE852" t="s">
        <v>16657</v>
      </c>
      <c r="AF852" t="s">
        <v>74</v>
      </c>
      <c r="AG852">
        <v>37</v>
      </c>
      <c r="AH852">
        <v>31</v>
      </c>
      <c r="AI852">
        <v>32</v>
      </c>
      <c r="AJ852">
        <v>6</v>
      </c>
      <c r="AK852">
        <v>37</v>
      </c>
      <c r="AL852" t="s">
        <v>1118</v>
      </c>
      <c r="AM852" t="s">
        <v>1119</v>
      </c>
      <c r="AN852" t="s">
        <v>1120</v>
      </c>
      <c r="AO852" t="s">
        <v>12608</v>
      </c>
      <c r="AP852" t="s">
        <v>74</v>
      </c>
      <c r="AQ852" t="s">
        <v>74</v>
      </c>
      <c r="AR852" t="s">
        <v>12609</v>
      </c>
      <c r="AS852" t="s">
        <v>12610</v>
      </c>
      <c r="AT852" t="s">
        <v>16506</v>
      </c>
      <c r="AU852">
        <v>2020</v>
      </c>
      <c r="AV852">
        <v>3</v>
      </c>
      <c r="AW852">
        <v>1</v>
      </c>
      <c r="AX852" t="s">
        <v>74</v>
      </c>
      <c r="AY852" t="s">
        <v>74</v>
      </c>
      <c r="AZ852" t="s">
        <v>74</v>
      </c>
      <c r="BA852" t="s">
        <v>74</v>
      </c>
      <c r="BB852" t="s">
        <v>74</v>
      </c>
      <c r="BC852" t="s">
        <v>74</v>
      </c>
      <c r="BD852">
        <v>14</v>
      </c>
      <c r="BE852" t="s">
        <v>16658</v>
      </c>
      <c r="BF852" t="str">
        <f>HYPERLINK("http://dx.doi.org/10.1038/s41612-020-0116-2","http://dx.doi.org/10.1038/s41612-020-0116-2")</f>
        <v>http://dx.doi.org/10.1038/s41612-020-0116-2</v>
      </c>
      <c r="BG852" t="s">
        <v>74</v>
      </c>
      <c r="BH852" t="s">
        <v>74</v>
      </c>
      <c r="BI852">
        <v>6</v>
      </c>
      <c r="BJ852" t="s">
        <v>159</v>
      </c>
      <c r="BK852" t="s">
        <v>102</v>
      </c>
      <c r="BL852" t="s">
        <v>159</v>
      </c>
      <c r="BM852" t="s">
        <v>16659</v>
      </c>
      <c r="BN852" t="s">
        <v>74</v>
      </c>
      <c r="BO852" t="s">
        <v>1778</v>
      </c>
      <c r="BP852" t="s">
        <v>74</v>
      </c>
      <c r="BQ852" t="s">
        <v>74</v>
      </c>
      <c r="BR852" t="s">
        <v>106</v>
      </c>
      <c r="BS852" t="s">
        <v>16660</v>
      </c>
      <c r="BT852" t="str">
        <f>HYPERLINK("https%3A%2F%2Fwww.webofscience.com%2Fwos%2Fwoscc%2Ffull-record%2FWOS:000524878900001","View Full Record in Web of Science")</f>
        <v>View Full Record in Web of Science</v>
      </c>
    </row>
    <row r="853" spans="1:72" x14ac:dyDescent="0.15">
      <c r="A853" t="s">
        <v>72</v>
      </c>
      <c r="B853" t="s">
        <v>16661</v>
      </c>
      <c r="C853" t="s">
        <v>74</v>
      </c>
      <c r="D853" t="s">
        <v>74</v>
      </c>
      <c r="E853" t="s">
        <v>74</v>
      </c>
      <c r="F853" t="s">
        <v>16662</v>
      </c>
      <c r="G853" t="s">
        <v>74</v>
      </c>
      <c r="H853" t="s">
        <v>74</v>
      </c>
      <c r="I853" t="s">
        <v>16663</v>
      </c>
      <c r="J853" t="s">
        <v>2051</v>
      </c>
      <c r="K853" t="s">
        <v>74</v>
      </c>
      <c r="L853" t="s">
        <v>74</v>
      </c>
      <c r="M853" t="s">
        <v>78</v>
      </c>
      <c r="N853" t="s">
        <v>79</v>
      </c>
      <c r="O853" t="s">
        <v>74</v>
      </c>
      <c r="P853" t="s">
        <v>74</v>
      </c>
      <c r="Q853" t="s">
        <v>74</v>
      </c>
      <c r="R853" t="s">
        <v>74</v>
      </c>
      <c r="S853" t="s">
        <v>74</v>
      </c>
      <c r="T853" t="s">
        <v>74</v>
      </c>
      <c r="U853" t="s">
        <v>16664</v>
      </c>
      <c r="V853" t="s">
        <v>16665</v>
      </c>
      <c r="W853" t="s">
        <v>16666</v>
      </c>
      <c r="X853" t="s">
        <v>16667</v>
      </c>
      <c r="Y853" t="s">
        <v>16668</v>
      </c>
      <c r="Z853" t="s">
        <v>16669</v>
      </c>
      <c r="AA853" t="s">
        <v>16670</v>
      </c>
      <c r="AB853" t="s">
        <v>16671</v>
      </c>
      <c r="AC853" t="s">
        <v>16672</v>
      </c>
      <c r="AD853" t="s">
        <v>16673</v>
      </c>
      <c r="AE853" t="s">
        <v>16674</v>
      </c>
      <c r="AF853" t="s">
        <v>74</v>
      </c>
      <c r="AG853">
        <v>49</v>
      </c>
      <c r="AH853">
        <v>14</v>
      </c>
      <c r="AI853">
        <v>14</v>
      </c>
      <c r="AJ853">
        <v>0</v>
      </c>
      <c r="AK853">
        <v>8</v>
      </c>
      <c r="AL853" t="s">
        <v>1049</v>
      </c>
      <c r="AM853" t="s">
        <v>1050</v>
      </c>
      <c r="AN853" t="s">
        <v>1051</v>
      </c>
      <c r="AO853" t="s">
        <v>2063</v>
      </c>
      <c r="AP853" t="s">
        <v>2064</v>
      </c>
      <c r="AQ853" t="s">
        <v>74</v>
      </c>
      <c r="AR853" t="s">
        <v>2065</v>
      </c>
      <c r="AS853" t="s">
        <v>2066</v>
      </c>
      <c r="AT853" t="s">
        <v>16675</v>
      </c>
      <c r="AU853">
        <v>2020</v>
      </c>
      <c r="AV853">
        <v>20</v>
      </c>
      <c r="AW853">
        <v>7</v>
      </c>
      <c r="AX853" t="s">
        <v>74</v>
      </c>
      <c r="AY853" t="s">
        <v>74</v>
      </c>
      <c r="AZ853" t="s">
        <v>74</v>
      </c>
      <c r="BA853" t="s">
        <v>74</v>
      </c>
      <c r="BB853">
        <v>4167</v>
      </c>
      <c r="BC853">
        <v>4191</v>
      </c>
      <c r="BD853" t="s">
        <v>74</v>
      </c>
      <c r="BE853" t="s">
        <v>16676</v>
      </c>
      <c r="BF853" t="str">
        <f>HYPERLINK("http://dx.doi.org/10.5194/acp-20-4167-2020","http://dx.doi.org/10.5194/acp-20-4167-2020")</f>
        <v>http://dx.doi.org/10.5194/acp-20-4167-2020</v>
      </c>
      <c r="BG853" t="s">
        <v>74</v>
      </c>
      <c r="BH853" t="s">
        <v>74</v>
      </c>
      <c r="BI853">
        <v>25</v>
      </c>
      <c r="BJ853" t="s">
        <v>2068</v>
      </c>
      <c r="BK853" t="s">
        <v>102</v>
      </c>
      <c r="BL853" t="s">
        <v>2069</v>
      </c>
      <c r="BM853" t="s">
        <v>16677</v>
      </c>
      <c r="BN853" t="s">
        <v>74</v>
      </c>
      <c r="BO853" t="s">
        <v>1060</v>
      </c>
      <c r="BP853" t="s">
        <v>74</v>
      </c>
      <c r="BQ853" t="s">
        <v>74</v>
      </c>
      <c r="BR853" t="s">
        <v>106</v>
      </c>
      <c r="BS853" t="s">
        <v>16678</v>
      </c>
      <c r="BT853" t="str">
        <f>HYPERLINK("https%3A%2F%2Fwww.webofscience.com%2Fwos%2Fwoscc%2Ffull-record%2FWOS:000525356700001","View Full Record in Web of Science")</f>
        <v>View Full Record in Web of Science</v>
      </c>
    </row>
    <row r="854" spans="1:72" x14ac:dyDescent="0.15">
      <c r="A854" t="s">
        <v>72</v>
      </c>
      <c r="B854" t="s">
        <v>16679</v>
      </c>
      <c r="C854" t="s">
        <v>74</v>
      </c>
      <c r="D854" t="s">
        <v>74</v>
      </c>
      <c r="E854" t="s">
        <v>74</v>
      </c>
      <c r="F854" t="s">
        <v>16680</v>
      </c>
      <c r="G854" t="s">
        <v>74</v>
      </c>
      <c r="H854" t="s">
        <v>74</v>
      </c>
      <c r="I854" t="s">
        <v>16681</v>
      </c>
      <c r="J854" t="s">
        <v>15387</v>
      </c>
      <c r="K854" t="s">
        <v>74</v>
      </c>
      <c r="L854" t="s">
        <v>74</v>
      </c>
      <c r="M854" t="s">
        <v>78</v>
      </c>
      <c r="N854" t="s">
        <v>79</v>
      </c>
      <c r="O854" t="s">
        <v>74</v>
      </c>
      <c r="P854" t="s">
        <v>74</v>
      </c>
      <c r="Q854" t="s">
        <v>74</v>
      </c>
      <c r="R854" t="s">
        <v>74</v>
      </c>
      <c r="S854" t="s">
        <v>74</v>
      </c>
      <c r="T854" t="s">
        <v>74</v>
      </c>
      <c r="U854" t="s">
        <v>16682</v>
      </c>
      <c r="V854" t="s">
        <v>16683</v>
      </c>
      <c r="W854" t="s">
        <v>16684</v>
      </c>
      <c r="X854" t="s">
        <v>3708</v>
      </c>
      <c r="Y854" t="s">
        <v>16685</v>
      </c>
      <c r="Z854" t="s">
        <v>16686</v>
      </c>
      <c r="AA854" t="s">
        <v>74</v>
      </c>
      <c r="AB854" t="s">
        <v>16687</v>
      </c>
      <c r="AC854" t="s">
        <v>16688</v>
      </c>
      <c r="AD854" t="s">
        <v>688</v>
      </c>
      <c r="AE854" t="s">
        <v>74</v>
      </c>
      <c r="AF854" t="s">
        <v>74</v>
      </c>
      <c r="AG854">
        <v>25</v>
      </c>
      <c r="AH854">
        <v>0</v>
      </c>
      <c r="AI854">
        <v>0</v>
      </c>
      <c r="AJ854">
        <v>3</v>
      </c>
      <c r="AK854">
        <v>4</v>
      </c>
      <c r="AL854" t="s">
        <v>994</v>
      </c>
      <c r="AM854" t="s">
        <v>995</v>
      </c>
      <c r="AN854" t="s">
        <v>996</v>
      </c>
      <c r="AO854" t="s">
        <v>15392</v>
      </c>
      <c r="AP854" t="s">
        <v>15393</v>
      </c>
      <c r="AQ854" t="s">
        <v>74</v>
      </c>
      <c r="AR854" t="s">
        <v>15387</v>
      </c>
      <c r="AS854" t="s">
        <v>15394</v>
      </c>
      <c r="AT854" t="s">
        <v>1001</v>
      </c>
      <c r="AU854">
        <v>2020</v>
      </c>
      <c r="AV854">
        <v>75</v>
      </c>
      <c r="AW854">
        <v>10</v>
      </c>
      <c r="AX854" t="s">
        <v>74</v>
      </c>
      <c r="AY854" t="s">
        <v>74</v>
      </c>
      <c r="AZ854" t="s">
        <v>74</v>
      </c>
      <c r="BA854" t="s">
        <v>74</v>
      </c>
      <c r="BB854">
        <v>300</v>
      </c>
      <c r="BC854">
        <v>305</v>
      </c>
      <c r="BD854" t="s">
        <v>74</v>
      </c>
      <c r="BE854" t="s">
        <v>16689</v>
      </c>
      <c r="BF854" t="str">
        <f>HYPERLINK("http://dx.doi.org/10.1002/wea.3686","http://dx.doi.org/10.1002/wea.3686")</f>
        <v>http://dx.doi.org/10.1002/wea.3686</v>
      </c>
      <c r="BG854" t="s">
        <v>74</v>
      </c>
      <c r="BH854" t="s">
        <v>14775</v>
      </c>
      <c r="BI854">
        <v>6</v>
      </c>
      <c r="BJ854" t="s">
        <v>159</v>
      </c>
      <c r="BK854" t="s">
        <v>102</v>
      </c>
      <c r="BL854" t="s">
        <v>159</v>
      </c>
      <c r="BM854" t="s">
        <v>16690</v>
      </c>
      <c r="BN854" t="s">
        <v>74</v>
      </c>
      <c r="BO854" t="s">
        <v>74</v>
      </c>
      <c r="BP854" t="s">
        <v>74</v>
      </c>
      <c r="BQ854" t="s">
        <v>74</v>
      </c>
      <c r="BR854" t="s">
        <v>106</v>
      </c>
      <c r="BS854" t="s">
        <v>16691</v>
      </c>
      <c r="BT854" t="str">
        <f>HYPERLINK("https%3A%2F%2Fwww.webofscience.com%2Fwos%2Fwoscc%2Ffull-record%2FWOS:000524319300001","View Full Record in Web of Science")</f>
        <v>View Full Record in Web of Science</v>
      </c>
    </row>
    <row r="855" spans="1:72" x14ac:dyDescent="0.15">
      <c r="A855" t="s">
        <v>72</v>
      </c>
      <c r="B855" t="s">
        <v>16692</v>
      </c>
      <c r="C855" t="s">
        <v>74</v>
      </c>
      <c r="D855" t="s">
        <v>74</v>
      </c>
      <c r="E855" t="s">
        <v>74</v>
      </c>
      <c r="F855" t="s">
        <v>16693</v>
      </c>
      <c r="G855" t="s">
        <v>74</v>
      </c>
      <c r="H855" t="s">
        <v>74</v>
      </c>
      <c r="I855" t="s">
        <v>16694</v>
      </c>
      <c r="J855" t="s">
        <v>16695</v>
      </c>
      <c r="K855" t="s">
        <v>74</v>
      </c>
      <c r="L855" t="s">
        <v>74</v>
      </c>
      <c r="M855" t="s">
        <v>78</v>
      </c>
      <c r="N855" t="s">
        <v>245</v>
      </c>
      <c r="O855" t="s">
        <v>74</v>
      </c>
      <c r="P855" t="s">
        <v>74</v>
      </c>
      <c r="Q855" t="s">
        <v>74</v>
      </c>
      <c r="R855" t="s">
        <v>74</v>
      </c>
      <c r="S855" t="s">
        <v>74</v>
      </c>
      <c r="T855" t="s">
        <v>16696</v>
      </c>
      <c r="U855" t="s">
        <v>16697</v>
      </c>
      <c r="V855" t="s">
        <v>16698</v>
      </c>
      <c r="W855" t="s">
        <v>16699</v>
      </c>
      <c r="X855" t="s">
        <v>16700</v>
      </c>
      <c r="Y855" t="s">
        <v>16701</v>
      </c>
      <c r="Z855" t="s">
        <v>16702</v>
      </c>
      <c r="AA855" t="s">
        <v>74</v>
      </c>
      <c r="AB855" t="s">
        <v>74</v>
      </c>
      <c r="AC855" t="s">
        <v>16703</v>
      </c>
      <c r="AD855" t="s">
        <v>16704</v>
      </c>
      <c r="AE855" t="s">
        <v>16705</v>
      </c>
      <c r="AF855" t="s">
        <v>74</v>
      </c>
      <c r="AG855">
        <v>157</v>
      </c>
      <c r="AH855">
        <v>10</v>
      </c>
      <c r="AI855">
        <v>10</v>
      </c>
      <c r="AJ855">
        <v>1</v>
      </c>
      <c r="AK855">
        <v>5</v>
      </c>
      <c r="AL855" t="s">
        <v>16706</v>
      </c>
      <c r="AM855" t="s">
        <v>16707</v>
      </c>
      <c r="AN855" t="s">
        <v>16708</v>
      </c>
      <c r="AO855" t="s">
        <v>16709</v>
      </c>
      <c r="AP855" t="s">
        <v>74</v>
      </c>
      <c r="AQ855" t="s">
        <v>74</v>
      </c>
      <c r="AR855" t="s">
        <v>16710</v>
      </c>
      <c r="AS855" t="s">
        <v>16711</v>
      </c>
      <c r="AT855" t="s">
        <v>16675</v>
      </c>
      <c r="AU855">
        <v>2020</v>
      </c>
      <c r="AV855">
        <v>9</v>
      </c>
      <c r="AW855" t="s">
        <v>74</v>
      </c>
      <c r="AX855" t="s">
        <v>74</v>
      </c>
      <c r="AY855" t="s">
        <v>74</v>
      </c>
      <c r="AZ855" t="s">
        <v>74</v>
      </c>
      <c r="BA855" t="s">
        <v>74</v>
      </c>
      <c r="BB855" t="s">
        <v>74</v>
      </c>
      <c r="BC855" t="s">
        <v>74</v>
      </c>
      <c r="BD855">
        <v>8</v>
      </c>
      <c r="BE855" t="s">
        <v>16712</v>
      </c>
      <c r="BF855" t="str">
        <f>HYPERLINK("http://dx.doi.org/10.1186/s42501-020-00057-x","http://dx.doi.org/10.1186/s42501-020-00057-x")</f>
        <v>http://dx.doi.org/10.1186/s42501-020-00057-x</v>
      </c>
      <c r="BG855" t="s">
        <v>74</v>
      </c>
      <c r="BH855" t="s">
        <v>74</v>
      </c>
      <c r="BI855">
        <v>22</v>
      </c>
      <c r="BJ855" t="s">
        <v>16713</v>
      </c>
      <c r="BK855" t="s">
        <v>102</v>
      </c>
      <c r="BL855" t="s">
        <v>14716</v>
      </c>
      <c r="BM855" t="s">
        <v>16714</v>
      </c>
      <c r="BN855" t="s">
        <v>74</v>
      </c>
      <c r="BO855" t="s">
        <v>1778</v>
      </c>
      <c r="BP855" t="s">
        <v>74</v>
      </c>
      <c r="BQ855" t="s">
        <v>74</v>
      </c>
      <c r="BR855" t="s">
        <v>106</v>
      </c>
      <c r="BS855" t="s">
        <v>16715</v>
      </c>
      <c r="BT855" t="str">
        <f>HYPERLINK("https%3A%2F%2Fwww.webofscience.com%2Fwos%2Fwoscc%2Ffull-record%2FWOS:000637232200001","View Full Record in Web of Science")</f>
        <v>View Full Record in Web of Science</v>
      </c>
    </row>
    <row r="856" spans="1:72" x14ac:dyDescent="0.15">
      <c r="A856" t="s">
        <v>72</v>
      </c>
      <c r="B856" t="s">
        <v>16716</v>
      </c>
      <c r="C856" t="s">
        <v>74</v>
      </c>
      <c r="D856" t="s">
        <v>74</v>
      </c>
      <c r="E856" t="s">
        <v>74</v>
      </c>
      <c r="F856" t="s">
        <v>16717</v>
      </c>
      <c r="G856" t="s">
        <v>74</v>
      </c>
      <c r="H856" t="s">
        <v>74</v>
      </c>
      <c r="I856" t="s">
        <v>16718</v>
      </c>
      <c r="J856" t="s">
        <v>6198</v>
      </c>
      <c r="K856" t="s">
        <v>74</v>
      </c>
      <c r="L856" t="s">
        <v>74</v>
      </c>
      <c r="M856" t="s">
        <v>78</v>
      </c>
      <c r="N856" t="s">
        <v>79</v>
      </c>
      <c r="O856" t="s">
        <v>74</v>
      </c>
      <c r="P856" t="s">
        <v>74</v>
      </c>
      <c r="Q856" t="s">
        <v>74</v>
      </c>
      <c r="R856" t="s">
        <v>74</v>
      </c>
      <c r="S856" t="s">
        <v>74</v>
      </c>
      <c r="T856" t="s">
        <v>74</v>
      </c>
      <c r="U856" t="s">
        <v>16719</v>
      </c>
      <c r="V856" t="s">
        <v>16720</v>
      </c>
      <c r="W856" t="s">
        <v>16721</v>
      </c>
      <c r="X856" t="s">
        <v>8555</v>
      </c>
      <c r="Y856" t="s">
        <v>16722</v>
      </c>
      <c r="Z856" t="s">
        <v>16723</v>
      </c>
      <c r="AA856" t="s">
        <v>74</v>
      </c>
      <c r="AB856" t="s">
        <v>16724</v>
      </c>
      <c r="AC856" t="s">
        <v>16725</v>
      </c>
      <c r="AD856" t="s">
        <v>16726</v>
      </c>
      <c r="AE856" t="s">
        <v>16727</v>
      </c>
      <c r="AF856" t="s">
        <v>74</v>
      </c>
      <c r="AG856">
        <v>46</v>
      </c>
      <c r="AH856">
        <v>17</v>
      </c>
      <c r="AI856">
        <v>17</v>
      </c>
      <c r="AJ856">
        <v>0</v>
      </c>
      <c r="AK856">
        <v>2</v>
      </c>
      <c r="AL856" t="s">
        <v>1049</v>
      </c>
      <c r="AM856" t="s">
        <v>1050</v>
      </c>
      <c r="AN856" t="s">
        <v>1051</v>
      </c>
      <c r="AO856" t="s">
        <v>6210</v>
      </c>
      <c r="AP856" t="s">
        <v>6211</v>
      </c>
      <c r="AQ856" t="s">
        <v>74</v>
      </c>
      <c r="AR856" t="s">
        <v>6212</v>
      </c>
      <c r="AS856" t="s">
        <v>6213</v>
      </c>
      <c r="AT856" t="s">
        <v>16728</v>
      </c>
      <c r="AU856">
        <v>2020</v>
      </c>
      <c r="AV856">
        <v>13</v>
      </c>
      <c r="AW856">
        <v>4</v>
      </c>
      <c r="AX856" t="s">
        <v>74</v>
      </c>
      <c r="AY856" t="s">
        <v>74</v>
      </c>
      <c r="AZ856" t="s">
        <v>74</v>
      </c>
      <c r="BA856" t="s">
        <v>74</v>
      </c>
      <c r="BB856">
        <v>1809</v>
      </c>
      <c r="BC856">
        <v>1825</v>
      </c>
      <c r="BD856" t="s">
        <v>74</v>
      </c>
      <c r="BE856" t="s">
        <v>16729</v>
      </c>
      <c r="BF856" t="str">
        <f>HYPERLINK("http://dx.doi.org/10.5194/gmd-13-1809-2020","http://dx.doi.org/10.5194/gmd-13-1809-2020")</f>
        <v>http://dx.doi.org/10.5194/gmd-13-1809-2020</v>
      </c>
      <c r="BG856" t="s">
        <v>74</v>
      </c>
      <c r="BH856" t="s">
        <v>74</v>
      </c>
      <c r="BI856">
        <v>17</v>
      </c>
      <c r="BJ856" t="s">
        <v>471</v>
      </c>
      <c r="BK856" t="s">
        <v>102</v>
      </c>
      <c r="BL856" t="s">
        <v>472</v>
      </c>
      <c r="BM856" t="s">
        <v>16730</v>
      </c>
      <c r="BN856" t="s">
        <v>74</v>
      </c>
      <c r="BO856" t="s">
        <v>1352</v>
      </c>
      <c r="BP856" t="s">
        <v>74</v>
      </c>
      <c r="BQ856" t="s">
        <v>74</v>
      </c>
      <c r="BR856" t="s">
        <v>106</v>
      </c>
      <c r="BS856" t="s">
        <v>16731</v>
      </c>
      <c r="BT856" t="str">
        <f>HYPERLINK("https%3A%2F%2Fwww.webofscience.com%2Fwos%2Fwoscc%2Ffull-record%2FWOS:000524490600001","View Full Record in Web of Science")</f>
        <v>View Full Record in Web of Science</v>
      </c>
    </row>
    <row r="857" spans="1:72" x14ac:dyDescent="0.15">
      <c r="A857" t="s">
        <v>72</v>
      </c>
      <c r="B857" t="s">
        <v>16732</v>
      </c>
      <c r="C857" t="s">
        <v>74</v>
      </c>
      <c r="D857" t="s">
        <v>74</v>
      </c>
      <c r="E857" t="s">
        <v>74</v>
      </c>
      <c r="F857" t="s">
        <v>16733</v>
      </c>
      <c r="G857" t="s">
        <v>74</v>
      </c>
      <c r="H857" t="s">
        <v>74</v>
      </c>
      <c r="I857" t="s">
        <v>16734</v>
      </c>
      <c r="J857" t="s">
        <v>16735</v>
      </c>
      <c r="K857" t="s">
        <v>74</v>
      </c>
      <c r="L857" t="s">
        <v>74</v>
      </c>
      <c r="M857" t="s">
        <v>78</v>
      </c>
      <c r="N857" t="s">
        <v>79</v>
      </c>
      <c r="O857" t="s">
        <v>74</v>
      </c>
      <c r="P857" t="s">
        <v>74</v>
      </c>
      <c r="Q857" t="s">
        <v>74</v>
      </c>
      <c r="R857" t="s">
        <v>74</v>
      </c>
      <c r="S857" t="s">
        <v>74</v>
      </c>
      <c r="T857" t="s">
        <v>16736</v>
      </c>
      <c r="U857" t="s">
        <v>16737</v>
      </c>
      <c r="V857" t="s">
        <v>16738</v>
      </c>
      <c r="W857" t="s">
        <v>16739</v>
      </c>
      <c r="X857" t="s">
        <v>16740</v>
      </c>
      <c r="Y857" t="s">
        <v>16741</v>
      </c>
      <c r="Z857" t="s">
        <v>16742</v>
      </c>
      <c r="AA857" t="s">
        <v>16743</v>
      </c>
      <c r="AB857" t="s">
        <v>16744</v>
      </c>
      <c r="AC857" t="s">
        <v>16745</v>
      </c>
      <c r="AD857" t="s">
        <v>16746</v>
      </c>
      <c r="AE857" t="s">
        <v>16747</v>
      </c>
      <c r="AF857" t="s">
        <v>74</v>
      </c>
      <c r="AG857">
        <v>63</v>
      </c>
      <c r="AH857">
        <v>11</v>
      </c>
      <c r="AI857">
        <v>11</v>
      </c>
      <c r="AJ857">
        <v>1</v>
      </c>
      <c r="AK857">
        <v>38</v>
      </c>
      <c r="AL857" t="s">
        <v>1440</v>
      </c>
      <c r="AM857" t="s">
        <v>399</v>
      </c>
      <c r="AN857" t="s">
        <v>1441</v>
      </c>
      <c r="AO857" t="s">
        <v>16748</v>
      </c>
      <c r="AP857" t="s">
        <v>16749</v>
      </c>
      <c r="AQ857" t="s">
        <v>74</v>
      </c>
      <c r="AR857" t="s">
        <v>16750</v>
      </c>
      <c r="AS857" t="s">
        <v>16751</v>
      </c>
      <c r="AT857" t="s">
        <v>11250</v>
      </c>
      <c r="AU857">
        <v>2020</v>
      </c>
      <c r="AV857">
        <v>102</v>
      </c>
      <c r="AW857">
        <v>1</v>
      </c>
      <c r="AX857" t="s">
        <v>74</v>
      </c>
      <c r="AY857" t="s">
        <v>74</v>
      </c>
      <c r="AZ857" t="s">
        <v>74</v>
      </c>
      <c r="BA857" t="s">
        <v>74</v>
      </c>
      <c r="BB857">
        <v>115</v>
      </c>
      <c r="BC857">
        <v>131</v>
      </c>
      <c r="BD857" t="s">
        <v>74</v>
      </c>
      <c r="BE857" t="s">
        <v>16752</v>
      </c>
      <c r="BF857" t="str">
        <f>HYPERLINK("http://dx.doi.org/10.1007/s11069-020-03913-0","http://dx.doi.org/10.1007/s11069-020-03913-0")</f>
        <v>http://dx.doi.org/10.1007/s11069-020-03913-0</v>
      </c>
      <c r="BG857" t="s">
        <v>74</v>
      </c>
      <c r="BH857" t="s">
        <v>14775</v>
      </c>
      <c r="BI857">
        <v>17</v>
      </c>
      <c r="BJ857" t="s">
        <v>16753</v>
      </c>
      <c r="BK857" t="s">
        <v>925</v>
      </c>
      <c r="BL857" t="s">
        <v>16754</v>
      </c>
      <c r="BM857" t="s">
        <v>16755</v>
      </c>
      <c r="BN857" t="s">
        <v>74</v>
      </c>
      <c r="BO857" t="s">
        <v>74</v>
      </c>
      <c r="BP857" t="s">
        <v>74</v>
      </c>
      <c r="BQ857" t="s">
        <v>74</v>
      </c>
      <c r="BR857" t="s">
        <v>106</v>
      </c>
      <c r="BS857" t="s">
        <v>16756</v>
      </c>
      <c r="BT857" t="str">
        <f>HYPERLINK("https%3A%2F%2Fwww.webofscience.com%2Fwos%2Fwoscc%2Ffull-record%2FWOS:000524369300001","View Full Record in Web of Science")</f>
        <v>View Full Record in Web of Science</v>
      </c>
    </row>
    <row r="858" spans="1:72" x14ac:dyDescent="0.15">
      <c r="A858" t="s">
        <v>72</v>
      </c>
      <c r="B858" t="s">
        <v>16757</v>
      </c>
      <c r="C858" t="s">
        <v>74</v>
      </c>
      <c r="D858" t="s">
        <v>74</v>
      </c>
      <c r="E858" t="s">
        <v>74</v>
      </c>
      <c r="F858" t="s">
        <v>16758</v>
      </c>
      <c r="G858" t="s">
        <v>74</v>
      </c>
      <c r="H858" t="s">
        <v>74</v>
      </c>
      <c r="I858" t="s">
        <v>16759</v>
      </c>
      <c r="J858" t="s">
        <v>7733</v>
      </c>
      <c r="K858" t="s">
        <v>74</v>
      </c>
      <c r="L858" t="s">
        <v>74</v>
      </c>
      <c r="M858" t="s">
        <v>78</v>
      </c>
      <c r="N858" t="s">
        <v>79</v>
      </c>
      <c r="O858" t="s">
        <v>74</v>
      </c>
      <c r="P858" t="s">
        <v>74</v>
      </c>
      <c r="Q858" t="s">
        <v>74</v>
      </c>
      <c r="R858" t="s">
        <v>74</v>
      </c>
      <c r="S858" t="s">
        <v>74</v>
      </c>
      <c r="T858" t="s">
        <v>74</v>
      </c>
      <c r="U858" t="s">
        <v>16760</v>
      </c>
      <c r="V858" t="s">
        <v>16761</v>
      </c>
      <c r="W858" t="s">
        <v>16762</v>
      </c>
      <c r="X858" t="s">
        <v>16763</v>
      </c>
      <c r="Y858" t="s">
        <v>16764</v>
      </c>
      <c r="Z858" t="s">
        <v>16765</v>
      </c>
      <c r="AA858" t="s">
        <v>16766</v>
      </c>
      <c r="AB858" t="s">
        <v>16767</v>
      </c>
      <c r="AC858" t="s">
        <v>16768</v>
      </c>
      <c r="AD858" t="s">
        <v>16769</v>
      </c>
      <c r="AE858" t="s">
        <v>16770</v>
      </c>
      <c r="AF858" t="s">
        <v>74</v>
      </c>
      <c r="AG858">
        <v>34</v>
      </c>
      <c r="AH858">
        <v>100</v>
      </c>
      <c r="AI858">
        <v>103</v>
      </c>
      <c r="AJ858">
        <v>5</v>
      </c>
      <c r="AK858">
        <v>51</v>
      </c>
      <c r="AL858" t="s">
        <v>1118</v>
      </c>
      <c r="AM858" t="s">
        <v>1119</v>
      </c>
      <c r="AN858" t="s">
        <v>1120</v>
      </c>
      <c r="AO858" t="s">
        <v>7745</v>
      </c>
      <c r="AP858" t="s">
        <v>74</v>
      </c>
      <c r="AQ858" t="s">
        <v>74</v>
      </c>
      <c r="AR858" t="s">
        <v>7746</v>
      </c>
      <c r="AS858" t="s">
        <v>7747</v>
      </c>
      <c r="AT858" t="s">
        <v>7663</v>
      </c>
      <c r="AU858">
        <v>2020</v>
      </c>
      <c r="AV858">
        <v>4</v>
      </c>
      <c r="AW858">
        <v>6</v>
      </c>
      <c r="AX858" t="s">
        <v>74</v>
      </c>
      <c r="AY858" t="s">
        <v>74</v>
      </c>
      <c r="AZ858" t="s">
        <v>74</v>
      </c>
      <c r="BA858" t="s">
        <v>74</v>
      </c>
      <c r="BB858">
        <v>809</v>
      </c>
      <c r="BC858" t="s">
        <v>1244</v>
      </c>
      <c r="BD858" t="s">
        <v>74</v>
      </c>
      <c r="BE858" t="s">
        <v>16771</v>
      </c>
      <c r="BF858" t="str">
        <f>HYPERLINK("http://dx.doi.org/10.1038/s41559-020-1171-0","http://dx.doi.org/10.1038/s41559-020-1171-0")</f>
        <v>http://dx.doi.org/10.1038/s41559-020-1171-0</v>
      </c>
      <c r="BG858" t="s">
        <v>74</v>
      </c>
      <c r="BH858" t="s">
        <v>14775</v>
      </c>
      <c r="BI858">
        <v>9</v>
      </c>
      <c r="BJ858" t="s">
        <v>2760</v>
      </c>
      <c r="BK858" t="s">
        <v>102</v>
      </c>
      <c r="BL858" t="s">
        <v>2761</v>
      </c>
      <c r="BM858" t="s">
        <v>16772</v>
      </c>
      <c r="BN858">
        <v>32251381</v>
      </c>
      <c r="BO858" t="s">
        <v>976</v>
      </c>
      <c r="BP858" t="s">
        <v>74</v>
      </c>
      <c r="BQ858" t="s">
        <v>74</v>
      </c>
      <c r="BR858" t="s">
        <v>106</v>
      </c>
      <c r="BS858" t="s">
        <v>16773</v>
      </c>
      <c r="BT858" t="str">
        <f>HYPERLINK("https%3A%2F%2Fwww.webofscience.com%2Fwos%2Fwoscc%2Ffull-record%2FWOS:000523952600004","View Full Record in Web of Science")</f>
        <v>View Full Record in Web of Science</v>
      </c>
    </row>
    <row r="859" spans="1:72" x14ac:dyDescent="0.15">
      <c r="A859" t="s">
        <v>72</v>
      </c>
      <c r="B859" t="s">
        <v>16774</v>
      </c>
      <c r="C859" t="s">
        <v>74</v>
      </c>
      <c r="D859" t="s">
        <v>74</v>
      </c>
      <c r="E859" t="s">
        <v>74</v>
      </c>
      <c r="F859" t="s">
        <v>16775</v>
      </c>
      <c r="G859" t="s">
        <v>74</v>
      </c>
      <c r="H859" t="s">
        <v>74</v>
      </c>
      <c r="I859" t="s">
        <v>16776</v>
      </c>
      <c r="J859" t="s">
        <v>16777</v>
      </c>
      <c r="K859" t="s">
        <v>74</v>
      </c>
      <c r="L859" t="s">
        <v>74</v>
      </c>
      <c r="M859" t="s">
        <v>78</v>
      </c>
      <c r="N859" t="s">
        <v>79</v>
      </c>
      <c r="O859" t="s">
        <v>74</v>
      </c>
      <c r="P859" t="s">
        <v>74</v>
      </c>
      <c r="Q859" t="s">
        <v>74</v>
      </c>
      <c r="R859" t="s">
        <v>74</v>
      </c>
      <c r="S859" t="s">
        <v>74</v>
      </c>
      <c r="T859" t="s">
        <v>16778</v>
      </c>
      <c r="U859" t="s">
        <v>16779</v>
      </c>
      <c r="V859" t="s">
        <v>16780</v>
      </c>
      <c r="W859" t="s">
        <v>16781</v>
      </c>
      <c r="X859" t="s">
        <v>3051</v>
      </c>
      <c r="Y859" t="s">
        <v>13108</v>
      </c>
      <c r="Z859" t="s">
        <v>13109</v>
      </c>
      <c r="AA859" t="s">
        <v>16782</v>
      </c>
      <c r="AB859" t="s">
        <v>16783</v>
      </c>
      <c r="AC859" t="s">
        <v>16784</v>
      </c>
      <c r="AD859" t="s">
        <v>16785</v>
      </c>
      <c r="AE859" t="s">
        <v>16786</v>
      </c>
      <c r="AF859" t="s">
        <v>74</v>
      </c>
      <c r="AG859">
        <v>75</v>
      </c>
      <c r="AH859">
        <v>18</v>
      </c>
      <c r="AI859">
        <v>18</v>
      </c>
      <c r="AJ859">
        <v>2</v>
      </c>
      <c r="AK859">
        <v>37</v>
      </c>
      <c r="AL859" t="s">
        <v>944</v>
      </c>
      <c r="AM859" t="s">
        <v>945</v>
      </c>
      <c r="AN859" t="s">
        <v>946</v>
      </c>
      <c r="AO859" t="s">
        <v>16787</v>
      </c>
      <c r="AP859" t="s">
        <v>16788</v>
      </c>
      <c r="AQ859" t="s">
        <v>74</v>
      </c>
      <c r="AR859" t="s">
        <v>16789</v>
      </c>
      <c r="AS859" t="s">
        <v>16790</v>
      </c>
      <c r="AT859" t="s">
        <v>16791</v>
      </c>
      <c r="AU859">
        <v>2020</v>
      </c>
      <c r="AV859">
        <v>235</v>
      </c>
      <c r="AW859" t="s">
        <v>74</v>
      </c>
      <c r="AX859" t="s">
        <v>74</v>
      </c>
      <c r="AY859" t="s">
        <v>74</v>
      </c>
      <c r="AZ859" t="s">
        <v>74</v>
      </c>
      <c r="BA859" t="s">
        <v>74</v>
      </c>
      <c r="BB859" t="s">
        <v>74</v>
      </c>
      <c r="BC859" t="s">
        <v>74</v>
      </c>
      <c r="BD859">
        <v>106538</v>
      </c>
      <c r="BE859" t="s">
        <v>16792</v>
      </c>
      <c r="BF859" t="str">
        <f>HYPERLINK("http://dx.doi.org/10.1016/j.ecss.2019.106538","http://dx.doi.org/10.1016/j.ecss.2019.106538")</f>
        <v>http://dx.doi.org/10.1016/j.ecss.2019.106538</v>
      </c>
      <c r="BG859" t="s">
        <v>74</v>
      </c>
      <c r="BH859" t="s">
        <v>74</v>
      </c>
      <c r="BI859">
        <v>11</v>
      </c>
      <c r="BJ859" t="s">
        <v>2312</v>
      </c>
      <c r="BK859" t="s">
        <v>102</v>
      </c>
      <c r="BL859" t="s">
        <v>2312</v>
      </c>
      <c r="BM859" t="s">
        <v>16793</v>
      </c>
      <c r="BN859" t="s">
        <v>74</v>
      </c>
      <c r="BO859" t="s">
        <v>74</v>
      </c>
      <c r="BP859" t="s">
        <v>74</v>
      </c>
      <c r="BQ859" t="s">
        <v>74</v>
      </c>
      <c r="BR859" t="s">
        <v>106</v>
      </c>
      <c r="BS859" t="s">
        <v>16794</v>
      </c>
      <c r="BT859" t="str">
        <f>HYPERLINK("https%3A%2F%2Fwww.webofscience.com%2Fwos%2Fwoscc%2Ffull-record%2FWOS:000527915700040","View Full Record in Web of Science")</f>
        <v>View Full Record in Web of Science</v>
      </c>
    </row>
    <row r="860" spans="1:72" x14ac:dyDescent="0.15">
      <c r="A860" t="s">
        <v>72</v>
      </c>
      <c r="B860" t="s">
        <v>16795</v>
      </c>
      <c r="C860" t="s">
        <v>74</v>
      </c>
      <c r="D860" t="s">
        <v>74</v>
      </c>
      <c r="E860" t="s">
        <v>74</v>
      </c>
      <c r="F860" t="s">
        <v>16796</v>
      </c>
      <c r="G860" t="s">
        <v>74</v>
      </c>
      <c r="H860" t="s">
        <v>74</v>
      </c>
      <c r="I860" t="s">
        <v>16797</v>
      </c>
      <c r="J860" t="s">
        <v>12936</v>
      </c>
      <c r="K860" t="s">
        <v>74</v>
      </c>
      <c r="L860" t="s">
        <v>74</v>
      </c>
      <c r="M860" t="s">
        <v>78</v>
      </c>
      <c r="N860" t="s">
        <v>79</v>
      </c>
      <c r="O860" t="s">
        <v>74</v>
      </c>
      <c r="P860" t="s">
        <v>74</v>
      </c>
      <c r="Q860" t="s">
        <v>74</v>
      </c>
      <c r="R860" t="s">
        <v>74</v>
      </c>
      <c r="S860" t="s">
        <v>74</v>
      </c>
      <c r="T860" t="s">
        <v>16798</v>
      </c>
      <c r="U860" t="s">
        <v>16799</v>
      </c>
      <c r="V860" t="s">
        <v>16800</v>
      </c>
      <c r="W860" t="s">
        <v>16801</v>
      </c>
      <c r="X860" t="s">
        <v>16802</v>
      </c>
      <c r="Y860" t="s">
        <v>16803</v>
      </c>
      <c r="Z860" t="s">
        <v>16804</v>
      </c>
      <c r="AA860" t="s">
        <v>16805</v>
      </c>
      <c r="AB860" t="s">
        <v>74</v>
      </c>
      <c r="AC860" t="s">
        <v>16806</v>
      </c>
      <c r="AD860" t="s">
        <v>16807</v>
      </c>
      <c r="AE860" t="s">
        <v>16808</v>
      </c>
      <c r="AF860" t="s">
        <v>74</v>
      </c>
      <c r="AG860">
        <v>45</v>
      </c>
      <c r="AH860">
        <v>11</v>
      </c>
      <c r="AI860">
        <v>14</v>
      </c>
      <c r="AJ860">
        <v>2</v>
      </c>
      <c r="AK860">
        <v>18</v>
      </c>
      <c r="AL860" t="s">
        <v>11741</v>
      </c>
      <c r="AM860" t="s">
        <v>11742</v>
      </c>
      <c r="AN860" t="s">
        <v>12945</v>
      </c>
      <c r="AO860" t="s">
        <v>12946</v>
      </c>
      <c r="AP860" t="s">
        <v>12947</v>
      </c>
      <c r="AQ860" t="s">
        <v>74</v>
      </c>
      <c r="AR860" t="s">
        <v>12948</v>
      </c>
      <c r="AS860" t="s">
        <v>12949</v>
      </c>
      <c r="AT860" t="s">
        <v>11250</v>
      </c>
      <c r="AU860">
        <v>2020</v>
      </c>
      <c r="AV860">
        <v>37</v>
      </c>
      <c r="AW860">
        <v>5</v>
      </c>
      <c r="AX860" t="s">
        <v>74</v>
      </c>
      <c r="AY860" t="s">
        <v>74</v>
      </c>
      <c r="AZ860" t="s">
        <v>2622</v>
      </c>
      <c r="BA860" t="s">
        <v>74</v>
      </c>
      <c r="BB860">
        <v>532</v>
      </c>
      <c r="BC860">
        <v>544</v>
      </c>
      <c r="BD860" t="s">
        <v>74</v>
      </c>
      <c r="BE860" t="s">
        <v>16809</v>
      </c>
      <c r="BF860" t="str">
        <f>HYPERLINK("http://dx.doi.org/10.1007/s00376-020-9146-2","http://dx.doi.org/10.1007/s00376-020-9146-2")</f>
        <v>http://dx.doi.org/10.1007/s00376-020-9146-2</v>
      </c>
      <c r="BG860" t="s">
        <v>74</v>
      </c>
      <c r="BH860" t="s">
        <v>14775</v>
      </c>
      <c r="BI860">
        <v>13</v>
      </c>
      <c r="BJ860" t="s">
        <v>159</v>
      </c>
      <c r="BK860" t="s">
        <v>102</v>
      </c>
      <c r="BL860" t="s">
        <v>159</v>
      </c>
      <c r="BM860" t="s">
        <v>12951</v>
      </c>
      <c r="BN860" t="s">
        <v>74</v>
      </c>
      <c r="BO860" t="s">
        <v>74</v>
      </c>
      <c r="BP860" t="s">
        <v>74</v>
      </c>
      <c r="BQ860" t="s">
        <v>74</v>
      </c>
      <c r="BR860" t="s">
        <v>106</v>
      </c>
      <c r="BS860" t="s">
        <v>16810</v>
      </c>
      <c r="BT860" t="str">
        <f>HYPERLINK("https%3A%2F%2Fwww.webofscience.com%2Fwos%2Fwoscc%2Ffull-record%2FWOS:000525167900001","View Full Record in Web of Science")</f>
        <v>View Full Record in Web of Science</v>
      </c>
    </row>
    <row r="861" spans="1:72" x14ac:dyDescent="0.15">
      <c r="A861" t="s">
        <v>72</v>
      </c>
      <c r="B861" t="s">
        <v>16811</v>
      </c>
      <c r="C861" t="s">
        <v>74</v>
      </c>
      <c r="D861" t="s">
        <v>74</v>
      </c>
      <c r="E861" t="s">
        <v>74</v>
      </c>
      <c r="F861" t="s">
        <v>16812</v>
      </c>
      <c r="G861" t="s">
        <v>74</v>
      </c>
      <c r="H861" t="s">
        <v>74</v>
      </c>
      <c r="I861" t="s">
        <v>16813</v>
      </c>
      <c r="J861" t="s">
        <v>12936</v>
      </c>
      <c r="K861" t="s">
        <v>74</v>
      </c>
      <c r="L861" t="s">
        <v>74</v>
      </c>
      <c r="M861" t="s">
        <v>78</v>
      </c>
      <c r="N861" t="s">
        <v>79</v>
      </c>
      <c r="O861" t="s">
        <v>74</v>
      </c>
      <c r="P861" t="s">
        <v>74</v>
      </c>
      <c r="Q861" t="s">
        <v>74</v>
      </c>
      <c r="R861" t="s">
        <v>74</v>
      </c>
      <c r="S861" t="s">
        <v>74</v>
      </c>
      <c r="T861" t="s">
        <v>16814</v>
      </c>
      <c r="U861" t="s">
        <v>16815</v>
      </c>
      <c r="V861" t="s">
        <v>16816</v>
      </c>
      <c r="W861" t="s">
        <v>16817</v>
      </c>
      <c r="X861" t="s">
        <v>16818</v>
      </c>
      <c r="Y861" t="s">
        <v>16819</v>
      </c>
      <c r="Z861" t="s">
        <v>16820</v>
      </c>
      <c r="AA861" t="s">
        <v>16821</v>
      </c>
      <c r="AB861" t="s">
        <v>74</v>
      </c>
      <c r="AC861" t="s">
        <v>16822</v>
      </c>
      <c r="AD861" t="s">
        <v>16823</v>
      </c>
      <c r="AE861" t="s">
        <v>16824</v>
      </c>
      <c r="AF861" t="s">
        <v>74</v>
      </c>
      <c r="AG861">
        <v>56</v>
      </c>
      <c r="AH861">
        <v>18</v>
      </c>
      <c r="AI861">
        <v>19</v>
      </c>
      <c r="AJ861">
        <v>1</v>
      </c>
      <c r="AK861">
        <v>6</v>
      </c>
      <c r="AL861" t="s">
        <v>11741</v>
      </c>
      <c r="AM861" t="s">
        <v>11742</v>
      </c>
      <c r="AN861" t="s">
        <v>12945</v>
      </c>
      <c r="AO861" t="s">
        <v>12946</v>
      </c>
      <c r="AP861" t="s">
        <v>12947</v>
      </c>
      <c r="AQ861" t="s">
        <v>74</v>
      </c>
      <c r="AR861" t="s">
        <v>12948</v>
      </c>
      <c r="AS861" t="s">
        <v>12949</v>
      </c>
      <c r="AT861" t="s">
        <v>11250</v>
      </c>
      <c r="AU861">
        <v>2020</v>
      </c>
      <c r="AV861">
        <v>37</v>
      </c>
      <c r="AW861">
        <v>5</v>
      </c>
      <c r="AX861" t="s">
        <v>74</v>
      </c>
      <c r="AY861" t="s">
        <v>74</v>
      </c>
      <c r="AZ861" t="s">
        <v>2622</v>
      </c>
      <c r="BA861" t="s">
        <v>74</v>
      </c>
      <c r="BB861">
        <v>441</v>
      </c>
      <c r="BC861">
        <v>454</v>
      </c>
      <c r="BD861" t="s">
        <v>74</v>
      </c>
      <c r="BE861" t="s">
        <v>16825</v>
      </c>
      <c r="BF861" t="str">
        <f>HYPERLINK("http://dx.doi.org/10.1007/s00376-020-9213-8","http://dx.doi.org/10.1007/s00376-020-9213-8")</f>
        <v>http://dx.doi.org/10.1007/s00376-020-9213-8</v>
      </c>
      <c r="BG861" t="s">
        <v>74</v>
      </c>
      <c r="BH861" t="s">
        <v>14775</v>
      </c>
      <c r="BI861">
        <v>14</v>
      </c>
      <c r="BJ861" t="s">
        <v>159</v>
      </c>
      <c r="BK861" t="s">
        <v>102</v>
      </c>
      <c r="BL861" t="s">
        <v>159</v>
      </c>
      <c r="BM861" t="s">
        <v>12951</v>
      </c>
      <c r="BN861" t="s">
        <v>74</v>
      </c>
      <c r="BO861" t="s">
        <v>448</v>
      </c>
      <c r="BP861" t="s">
        <v>74</v>
      </c>
      <c r="BQ861" t="s">
        <v>74</v>
      </c>
      <c r="BR861" t="s">
        <v>106</v>
      </c>
      <c r="BS861" t="s">
        <v>16826</v>
      </c>
      <c r="BT861" t="str">
        <f>HYPERLINK("https%3A%2F%2Fwww.webofscience.com%2Fwos%2Fwoscc%2Ffull-record%2FWOS:000523585200002","View Full Record in Web of Science")</f>
        <v>View Full Record in Web of Science</v>
      </c>
    </row>
    <row r="862" spans="1:72" x14ac:dyDescent="0.15">
      <c r="A862" t="s">
        <v>72</v>
      </c>
      <c r="B862" t="s">
        <v>16827</v>
      </c>
      <c r="C862" t="s">
        <v>74</v>
      </c>
      <c r="D862" t="s">
        <v>74</v>
      </c>
      <c r="E862" t="s">
        <v>74</v>
      </c>
      <c r="F862" t="s">
        <v>16828</v>
      </c>
      <c r="G862" t="s">
        <v>74</v>
      </c>
      <c r="H862" t="s">
        <v>74</v>
      </c>
      <c r="I862" t="s">
        <v>16829</v>
      </c>
      <c r="J862" t="s">
        <v>12936</v>
      </c>
      <c r="K862" t="s">
        <v>74</v>
      </c>
      <c r="L862" t="s">
        <v>74</v>
      </c>
      <c r="M862" t="s">
        <v>78</v>
      </c>
      <c r="N862" t="s">
        <v>79</v>
      </c>
      <c r="O862" t="s">
        <v>74</v>
      </c>
      <c r="P862" t="s">
        <v>74</v>
      </c>
      <c r="Q862" t="s">
        <v>74</v>
      </c>
      <c r="R862" t="s">
        <v>74</v>
      </c>
      <c r="S862" t="s">
        <v>74</v>
      </c>
      <c r="T862" t="s">
        <v>16830</v>
      </c>
      <c r="U862" t="s">
        <v>16831</v>
      </c>
      <c r="V862" t="s">
        <v>16832</v>
      </c>
      <c r="W862" t="s">
        <v>16833</v>
      </c>
      <c r="X862" t="s">
        <v>16834</v>
      </c>
      <c r="Y862" t="s">
        <v>16835</v>
      </c>
      <c r="Z862" t="s">
        <v>16836</v>
      </c>
      <c r="AA862" t="s">
        <v>16837</v>
      </c>
      <c r="AB862" t="s">
        <v>16838</v>
      </c>
      <c r="AC862" t="s">
        <v>16839</v>
      </c>
      <c r="AD862" t="s">
        <v>16840</v>
      </c>
      <c r="AE862" t="s">
        <v>16841</v>
      </c>
      <c r="AF862" t="s">
        <v>74</v>
      </c>
      <c r="AG862">
        <v>62</v>
      </c>
      <c r="AH862">
        <v>40</v>
      </c>
      <c r="AI862">
        <v>44</v>
      </c>
      <c r="AJ862">
        <v>1</v>
      </c>
      <c r="AK862">
        <v>28</v>
      </c>
      <c r="AL862" t="s">
        <v>11741</v>
      </c>
      <c r="AM862" t="s">
        <v>11742</v>
      </c>
      <c r="AN862" t="s">
        <v>12945</v>
      </c>
      <c r="AO862" t="s">
        <v>12946</v>
      </c>
      <c r="AP862" t="s">
        <v>12947</v>
      </c>
      <c r="AQ862" t="s">
        <v>74</v>
      </c>
      <c r="AR862" t="s">
        <v>12948</v>
      </c>
      <c r="AS862" t="s">
        <v>12949</v>
      </c>
      <c r="AT862" t="s">
        <v>11250</v>
      </c>
      <c r="AU862">
        <v>2020</v>
      </c>
      <c r="AV862">
        <v>37</v>
      </c>
      <c r="AW862">
        <v>5</v>
      </c>
      <c r="AX862" t="s">
        <v>74</v>
      </c>
      <c r="AY862" t="s">
        <v>74</v>
      </c>
      <c r="AZ862" t="s">
        <v>2622</v>
      </c>
      <c r="BA862" t="s">
        <v>74</v>
      </c>
      <c r="BB862">
        <v>477</v>
      </c>
      <c r="BC862">
        <v>493</v>
      </c>
      <c r="BD862" t="s">
        <v>74</v>
      </c>
      <c r="BE862" t="s">
        <v>16842</v>
      </c>
      <c r="BF862" t="str">
        <f>HYPERLINK("http://dx.doi.org/10.1007/s00376-020-9183-x","http://dx.doi.org/10.1007/s00376-020-9183-x")</f>
        <v>http://dx.doi.org/10.1007/s00376-020-9183-x</v>
      </c>
      <c r="BG862" t="s">
        <v>74</v>
      </c>
      <c r="BH862" t="s">
        <v>14775</v>
      </c>
      <c r="BI862">
        <v>17</v>
      </c>
      <c r="BJ862" t="s">
        <v>159</v>
      </c>
      <c r="BK862" t="s">
        <v>102</v>
      </c>
      <c r="BL862" t="s">
        <v>159</v>
      </c>
      <c r="BM862" t="s">
        <v>12951</v>
      </c>
      <c r="BN862" t="s">
        <v>74</v>
      </c>
      <c r="BO862" t="s">
        <v>189</v>
      </c>
      <c r="BP862" t="s">
        <v>74</v>
      </c>
      <c r="BQ862" t="s">
        <v>74</v>
      </c>
      <c r="BR862" t="s">
        <v>106</v>
      </c>
      <c r="BS862" t="s">
        <v>16843</v>
      </c>
      <c r="BT862" t="str">
        <f>HYPERLINK("https%3A%2F%2Fwww.webofscience.com%2Fwos%2Fwoscc%2Ffull-record%2FWOS:000523585200001","View Full Record in Web of Science")</f>
        <v>View Full Record in Web of Science</v>
      </c>
    </row>
    <row r="863" spans="1:72" x14ac:dyDescent="0.15">
      <c r="A863" t="s">
        <v>72</v>
      </c>
      <c r="B863" t="s">
        <v>16844</v>
      </c>
      <c r="C863" t="s">
        <v>74</v>
      </c>
      <c r="D863" t="s">
        <v>74</v>
      </c>
      <c r="E863" t="s">
        <v>74</v>
      </c>
      <c r="F863" t="s">
        <v>16845</v>
      </c>
      <c r="G863" t="s">
        <v>74</v>
      </c>
      <c r="H863" t="s">
        <v>74</v>
      </c>
      <c r="I863" t="s">
        <v>16846</v>
      </c>
      <c r="J863" t="s">
        <v>12936</v>
      </c>
      <c r="K863" t="s">
        <v>74</v>
      </c>
      <c r="L863" t="s">
        <v>74</v>
      </c>
      <c r="M863" t="s">
        <v>78</v>
      </c>
      <c r="N863" t="s">
        <v>79</v>
      </c>
      <c r="O863" t="s">
        <v>74</v>
      </c>
      <c r="P863" t="s">
        <v>74</v>
      </c>
      <c r="Q863" t="s">
        <v>74</v>
      </c>
      <c r="R863" t="s">
        <v>74</v>
      </c>
      <c r="S863" t="s">
        <v>74</v>
      </c>
      <c r="T863" t="s">
        <v>16847</v>
      </c>
      <c r="U863" t="s">
        <v>16848</v>
      </c>
      <c r="V863" t="s">
        <v>16849</v>
      </c>
      <c r="W863" t="s">
        <v>16850</v>
      </c>
      <c r="X863" t="s">
        <v>16851</v>
      </c>
      <c r="Y863" t="s">
        <v>16852</v>
      </c>
      <c r="Z863" t="s">
        <v>12485</v>
      </c>
      <c r="AA863" t="s">
        <v>12486</v>
      </c>
      <c r="AB863" t="s">
        <v>12487</v>
      </c>
      <c r="AC863" t="s">
        <v>16853</v>
      </c>
      <c r="AD863" t="s">
        <v>16854</v>
      </c>
      <c r="AE863" t="s">
        <v>16855</v>
      </c>
      <c r="AF863" t="s">
        <v>74</v>
      </c>
      <c r="AG863">
        <v>37</v>
      </c>
      <c r="AH863">
        <v>2</v>
      </c>
      <c r="AI863">
        <v>3</v>
      </c>
      <c r="AJ863">
        <v>1</v>
      </c>
      <c r="AK863">
        <v>14</v>
      </c>
      <c r="AL863" t="s">
        <v>11741</v>
      </c>
      <c r="AM863" t="s">
        <v>11742</v>
      </c>
      <c r="AN863" t="s">
        <v>12945</v>
      </c>
      <c r="AO863" t="s">
        <v>12946</v>
      </c>
      <c r="AP863" t="s">
        <v>12947</v>
      </c>
      <c r="AQ863" t="s">
        <v>74</v>
      </c>
      <c r="AR863" t="s">
        <v>12948</v>
      </c>
      <c r="AS863" t="s">
        <v>12949</v>
      </c>
      <c r="AT863" t="s">
        <v>11250</v>
      </c>
      <c r="AU863">
        <v>2020</v>
      </c>
      <c r="AV863">
        <v>37</v>
      </c>
      <c r="AW863">
        <v>5</v>
      </c>
      <c r="AX863" t="s">
        <v>74</v>
      </c>
      <c r="AY863" t="s">
        <v>74</v>
      </c>
      <c r="AZ863" t="s">
        <v>2622</v>
      </c>
      <c r="BA863" t="s">
        <v>74</v>
      </c>
      <c r="BB863">
        <v>545</v>
      </c>
      <c r="BC863">
        <v>554</v>
      </c>
      <c r="BD863" t="s">
        <v>74</v>
      </c>
      <c r="BE863" t="s">
        <v>16856</v>
      </c>
      <c r="BF863" t="str">
        <f>HYPERLINK("http://dx.doi.org/10.1007/s00376-019-9124-8","http://dx.doi.org/10.1007/s00376-019-9124-8")</f>
        <v>http://dx.doi.org/10.1007/s00376-019-9124-8</v>
      </c>
      <c r="BG863" t="s">
        <v>74</v>
      </c>
      <c r="BH863" t="s">
        <v>14775</v>
      </c>
      <c r="BI863">
        <v>10</v>
      </c>
      <c r="BJ863" t="s">
        <v>159</v>
      </c>
      <c r="BK863" t="s">
        <v>102</v>
      </c>
      <c r="BL863" t="s">
        <v>159</v>
      </c>
      <c r="BM863" t="s">
        <v>12951</v>
      </c>
      <c r="BN863" t="s">
        <v>74</v>
      </c>
      <c r="BO863" t="s">
        <v>1657</v>
      </c>
      <c r="BP863" t="s">
        <v>74</v>
      </c>
      <c r="BQ863" t="s">
        <v>74</v>
      </c>
      <c r="BR863" t="s">
        <v>106</v>
      </c>
      <c r="BS863" t="s">
        <v>16857</v>
      </c>
      <c r="BT863" t="str">
        <f>HYPERLINK("https%3A%2F%2Fwww.webofscience.com%2Fwos%2Fwoscc%2Ffull-record%2FWOS:000523585200003","View Full Record in Web of Science")</f>
        <v>View Full Record in Web of Science</v>
      </c>
    </row>
    <row r="864" spans="1:72" x14ac:dyDescent="0.15">
      <c r="A864" t="s">
        <v>72</v>
      </c>
      <c r="B864" t="s">
        <v>16858</v>
      </c>
      <c r="C864" t="s">
        <v>74</v>
      </c>
      <c r="D864" t="s">
        <v>74</v>
      </c>
      <c r="E864" t="s">
        <v>74</v>
      </c>
      <c r="F864" t="s">
        <v>16859</v>
      </c>
      <c r="G864" t="s">
        <v>74</v>
      </c>
      <c r="H864" t="s">
        <v>74</v>
      </c>
      <c r="I864" t="s">
        <v>16860</v>
      </c>
      <c r="J864" t="s">
        <v>16861</v>
      </c>
      <c r="K864" t="s">
        <v>74</v>
      </c>
      <c r="L864" t="s">
        <v>74</v>
      </c>
      <c r="M864" t="s">
        <v>78</v>
      </c>
      <c r="N864" t="s">
        <v>79</v>
      </c>
      <c r="O864" t="s">
        <v>74</v>
      </c>
      <c r="P864" t="s">
        <v>74</v>
      </c>
      <c r="Q864" t="s">
        <v>74</v>
      </c>
      <c r="R864" t="s">
        <v>74</v>
      </c>
      <c r="S864" t="s">
        <v>74</v>
      </c>
      <c r="T864" t="s">
        <v>16862</v>
      </c>
      <c r="U864" t="s">
        <v>16863</v>
      </c>
      <c r="V864" t="s">
        <v>16864</v>
      </c>
      <c r="W864" t="s">
        <v>16865</v>
      </c>
      <c r="X864" t="s">
        <v>16866</v>
      </c>
      <c r="Y864" t="s">
        <v>16867</v>
      </c>
      <c r="Z864" t="s">
        <v>16868</v>
      </c>
      <c r="AA864" t="s">
        <v>16869</v>
      </c>
      <c r="AB864" t="s">
        <v>16870</v>
      </c>
      <c r="AC864" t="s">
        <v>16871</v>
      </c>
      <c r="AD864" t="s">
        <v>16871</v>
      </c>
      <c r="AE864" t="s">
        <v>16872</v>
      </c>
      <c r="AF864" t="s">
        <v>74</v>
      </c>
      <c r="AG864">
        <v>57</v>
      </c>
      <c r="AH864">
        <v>45</v>
      </c>
      <c r="AI864">
        <v>47</v>
      </c>
      <c r="AJ864">
        <v>8</v>
      </c>
      <c r="AK864">
        <v>67</v>
      </c>
      <c r="AL864" t="s">
        <v>284</v>
      </c>
      <c r="AM864" t="s">
        <v>285</v>
      </c>
      <c r="AN864" t="s">
        <v>286</v>
      </c>
      <c r="AO864" t="s">
        <v>16873</v>
      </c>
      <c r="AP864" t="s">
        <v>16874</v>
      </c>
      <c r="AQ864" t="s">
        <v>74</v>
      </c>
      <c r="AR864" t="s">
        <v>16875</v>
      </c>
      <c r="AS864" t="s">
        <v>16876</v>
      </c>
      <c r="AT864" t="s">
        <v>16791</v>
      </c>
      <c r="AU864">
        <v>2020</v>
      </c>
      <c r="AV864">
        <v>387</v>
      </c>
      <c r="AW864" t="s">
        <v>74</v>
      </c>
      <c r="AX864" t="s">
        <v>74</v>
      </c>
      <c r="AY864" t="s">
        <v>74</v>
      </c>
      <c r="AZ864" t="s">
        <v>74</v>
      </c>
      <c r="BA864" t="s">
        <v>74</v>
      </c>
      <c r="BB864" t="s">
        <v>74</v>
      </c>
      <c r="BC864" t="s">
        <v>74</v>
      </c>
      <c r="BD864">
        <v>121703</v>
      </c>
      <c r="BE864" t="s">
        <v>16877</v>
      </c>
      <c r="BF864" t="str">
        <f>HYPERLINK("http://dx.doi.org/10.1016/j.jhazmat.2019.121703","http://dx.doi.org/10.1016/j.jhazmat.2019.121703")</f>
        <v>http://dx.doi.org/10.1016/j.jhazmat.2019.121703</v>
      </c>
      <c r="BG864" t="s">
        <v>74</v>
      </c>
      <c r="BH864" t="s">
        <v>74</v>
      </c>
      <c r="BI864">
        <v>6</v>
      </c>
      <c r="BJ864" t="s">
        <v>3483</v>
      </c>
      <c r="BK864" t="s">
        <v>102</v>
      </c>
      <c r="BL864" t="s">
        <v>3484</v>
      </c>
      <c r="BM864" t="s">
        <v>16878</v>
      </c>
      <c r="BN864">
        <v>31786024</v>
      </c>
      <c r="BO864" t="s">
        <v>448</v>
      </c>
      <c r="BP864" t="s">
        <v>74</v>
      </c>
      <c r="BQ864" t="s">
        <v>74</v>
      </c>
      <c r="BR864" t="s">
        <v>106</v>
      </c>
      <c r="BS864" t="s">
        <v>16879</v>
      </c>
      <c r="BT864" t="str">
        <f>HYPERLINK("https%3A%2F%2Fwww.webofscience.com%2Fwos%2Fwoscc%2Ffull-record%2FWOS:000514758500073","View Full Record in Web of Science")</f>
        <v>View Full Record in Web of Science</v>
      </c>
    </row>
    <row r="865" spans="1:72" x14ac:dyDescent="0.15">
      <c r="A865" t="s">
        <v>72</v>
      </c>
      <c r="B865" t="s">
        <v>16880</v>
      </c>
      <c r="C865" t="s">
        <v>74</v>
      </c>
      <c r="D865" t="s">
        <v>74</v>
      </c>
      <c r="E865" t="s">
        <v>74</v>
      </c>
      <c r="F865" t="s">
        <v>16881</v>
      </c>
      <c r="G865" t="s">
        <v>74</v>
      </c>
      <c r="H865" t="s">
        <v>74</v>
      </c>
      <c r="I865" t="s">
        <v>16882</v>
      </c>
      <c r="J865" t="s">
        <v>1758</v>
      </c>
      <c r="K865" t="s">
        <v>74</v>
      </c>
      <c r="L865" t="s">
        <v>74</v>
      </c>
      <c r="M865" t="s">
        <v>78</v>
      </c>
      <c r="N865" t="s">
        <v>79</v>
      </c>
      <c r="O865" t="s">
        <v>74</v>
      </c>
      <c r="P865" t="s">
        <v>74</v>
      </c>
      <c r="Q865" t="s">
        <v>74</v>
      </c>
      <c r="R865" t="s">
        <v>74</v>
      </c>
      <c r="S865" t="s">
        <v>74</v>
      </c>
      <c r="T865" t="s">
        <v>16883</v>
      </c>
      <c r="U865" t="s">
        <v>16884</v>
      </c>
      <c r="V865" t="s">
        <v>16885</v>
      </c>
      <c r="W865" t="s">
        <v>16886</v>
      </c>
      <c r="X865" t="s">
        <v>16887</v>
      </c>
      <c r="Y865" t="s">
        <v>16888</v>
      </c>
      <c r="Z865" t="s">
        <v>16889</v>
      </c>
      <c r="AA865" t="s">
        <v>16890</v>
      </c>
      <c r="AB865" t="s">
        <v>74</v>
      </c>
      <c r="AC865" t="s">
        <v>16891</v>
      </c>
      <c r="AD865" t="s">
        <v>16892</v>
      </c>
      <c r="AE865" t="s">
        <v>16893</v>
      </c>
      <c r="AF865" t="s">
        <v>74</v>
      </c>
      <c r="AG865">
        <v>116</v>
      </c>
      <c r="AH865">
        <v>14</v>
      </c>
      <c r="AI865">
        <v>18</v>
      </c>
      <c r="AJ865">
        <v>1</v>
      </c>
      <c r="AK865">
        <v>16</v>
      </c>
      <c r="AL865" t="s">
        <v>124</v>
      </c>
      <c r="AM865" t="s">
        <v>93</v>
      </c>
      <c r="AN865" t="s">
        <v>125</v>
      </c>
      <c r="AO865" t="s">
        <v>1770</v>
      </c>
      <c r="AP865" t="s">
        <v>74</v>
      </c>
      <c r="AQ865" t="s">
        <v>74</v>
      </c>
      <c r="AR865" t="s">
        <v>1771</v>
      </c>
      <c r="AS865" t="s">
        <v>1772</v>
      </c>
      <c r="AT865" t="s">
        <v>16894</v>
      </c>
      <c r="AU865">
        <v>2020</v>
      </c>
      <c r="AV865">
        <v>8</v>
      </c>
      <c r="AW865" t="s">
        <v>74</v>
      </c>
      <c r="AX865" t="s">
        <v>74</v>
      </c>
      <c r="AY865" t="s">
        <v>74</v>
      </c>
      <c r="AZ865" t="s">
        <v>74</v>
      </c>
      <c r="BA865" t="s">
        <v>74</v>
      </c>
      <c r="BB865" t="s">
        <v>74</v>
      </c>
      <c r="BC865" t="s">
        <v>74</v>
      </c>
      <c r="BD865" t="s">
        <v>16895</v>
      </c>
      <c r="BE865" t="s">
        <v>16896</v>
      </c>
      <c r="BF865" t="str">
        <f>HYPERLINK("http://dx.doi.org/10.1093/conphys/coaa022","http://dx.doi.org/10.1093/conphys/coaa022")</f>
        <v>http://dx.doi.org/10.1093/conphys/coaa022</v>
      </c>
      <c r="BG865" t="s">
        <v>74</v>
      </c>
      <c r="BH865" t="s">
        <v>74</v>
      </c>
      <c r="BI865">
        <v>14</v>
      </c>
      <c r="BJ865" t="s">
        <v>1775</v>
      </c>
      <c r="BK865" t="s">
        <v>102</v>
      </c>
      <c r="BL865" t="s">
        <v>1776</v>
      </c>
      <c r="BM865" t="s">
        <v>16897</v>
      </c>
      <c r="BN865">
        <v>32274067</v>
      </c>
      <c r="BO865" t="s">
        <v>1778</v>
      </c>
      <c r="BP865" t="s">
        <v>74</v>
      </c>
      <c r="BQ865" t="s">
        <v>74</v>
      </c>
      <c r="BR865" t="s">
        <v>106</v>
      </c>
      <c r="BS865" t="s">
        <v>16898</v>
      </c>
      <c r="BT865" t="str">
        <f>HYPERLINK("https%3A%2F%2Fwww.webofscience.com%2Fwos%2Fwoscc%2Ffull-record%2FWOS:000527701400001","View Full Record in Web of Science")</f>
        <v>View Full Record in Web of Science</v>
      </c>
    </row>
    <row r="866" spans="1:72" x14ac:dyDescent="0.15">
      <c r="A866" t="s">
        <v>72</v>
      </c>
      <c r="B866" t="s">
        <v>16899</v>
      </c>
      <c r="C866" t="s">
        <v>74</v>
      </c>
      <c r="D866" t="s">
        <v>74</v>
      </c>
      <c r="E866" t="s">
        <v>74</v>
      </c>
      <c r="F866" t="s">
        <v>16900</v>
      </c>
      <c r="G866" t="s">
        <v>74</v>
      </c>
      <c r="H866" t="s">
        <v>74</v>
      </c>
      <c r="I866" t="s">
        <v>16901</v>
      </c>
      <c r="J866" t="s">
        <v>1783</v>
      </c>
      <c r="K866" t="s">
        <v>74</v>
      </c>
      <c r="L866" t="s">
        <v>74</v>
      </c>
      <c r="M866" t="s">
        <v>78</v>
      </c>
      <c r="N866" t="s">
        <v>79</v>
      </c>
      <c r="O866" t="s">
        <v>74</v>
      </c>
      <c r="P866" t="s">
        <v>74</v>
      </c>
      <c r="Q866" t="s">
        <v>74</v>
      </c>
      <c r="R866" t="s">
        <v>74</v>
      </c>
      <c r="S866" t="s">
        <v>74</v>
      </c>
      <c r="T866" t="s">
        <v>16902</v>
      </c>
      <c r="U866" t="s">
        <v>16903</v>
      </c>
      <c r="V866" t="s">
        <v>16904</v>
      </c>
      <c r="W866" t="s">
        <v>16905</v>
      </c>
      <c r="X866" t="s">
        <v>16906</v>
      </c>
      <c r="Y866" t="s">
        <v>16907</v>
      </c>
      <c r="Z866" t="s">
        <v>7241</v>
      </c>
      <c r="AA866" t="s">
        <v>16908</v>
      </c>
      <c r="AB866" t="s">
        <v>16909</v>
      </c>
      <c r="AC866" t="s">
        <v>16910</v>
      </c>
      <c r="AD866" t="s">
        <v>16911</v>
      </c>
      <c r="AE866" t="s">
        <v>16912</v>
      </c>
      <c r="AF866" t="s">
        <v>74</v>
      </c>
      <c r="AG866">
        <v>39</v>
      </c>
      <c r="AH866">
        <v>14</v>
      </c>
      <c r="AI866">
        <v>14</v>
      </c>
      <c r="AJ866">
        <v>2</v>
      </c>
      <c r="AK866">
        <v>16</v>
      </c>
      <c r="AL866" t="s">
        <v>1440</v>
      </c>
      <c r="AM866" t="s">
        <v>399</v>
      </c>
      <c r="AN866" t="s">
        <v>1441</v>
      </c>
      <c r="AO866" t="s">
        <v>1796</v>
      </c>
      <c r="AP866" t="s">
        <v>1797</v>
      </c>
      <c r="AQ866" t="s">
        <v>74</v>
      </c>
      <c r="AR866" t="s">
        <v>1798</v>
      </c>
      <c r="AS866" t="s">
        <v>1799</v>
      </c>
      <c r="AT866" t="s">
        <v>11250</v>
      </c>
      <c r="AU866">
        <v>2020</v>
      </c>
      <c r="AV866">
        <v>43</v>
      </c>
      <c r="AW866">
        <v>5</v>
      </c>
      <c r="AX866" t="s">
        <v>74</v>
      </c>
      <c r="AY866" t="s">
        <v>74</v>
      </c>
      <c r="AZ866" t="s">
        <v>74</v>
      </c>
      <c r="BA866" t="s">
        <v>74</v>
      </c>
      <c r="BB866">
        <v>545</v>
      </c>
      <c r="BC866">
        <v>553</v>
      </c>
      <c r="BD866" t="s">
        <v>74</v>
      </c>
      <c r="BE866" t="s">
        <v>16913</v>
      </c>
      <c r="BF866" t="str">
        <f>HYPERLINK("http://dx.doi.org/10.1007/s00300-020-02658-7","http://dx.doi.org/10.1007/s00300-020-02658-7")</f>
        <v>http://dx.doi.org/10.1007/s00300-020-02658-7</v>
      </c>
      <c r="BG866" t="s">
        <v>74</v>
      </c>
      <c r="BH866" t="s">
        <v>14775</v>
      </c>
      <c r="BI866">
        <v>9</v>
      </c>
      <c r="BJ866" t="s">
        <v>1004</v>
      </c>
      <c r="BK866" t="s">
        <v>102</v>
      </c>
      <c r="BL866" t="s">
        <v>1005</v>
      </c>
      <c r="BM866" t="s">
        <v>13979</v>
      </c>
      <c r="BN866" t="s">
        <v>74</v>
      </c>
      <c r="BO866" t="s">
        <v>74</v>
      </c>
      <c r="BP866" t="s">
        <v>74</v>
      </c>
      <c r="BQ866" t="s">
        <v>74</v>
      </c>
      <c r="BR866" t="s">
        <v>106</v>
      </c>
      <c r="BS866" t="s">
        <v>16914</v>
      </c>
      <c r="BT866" t="str">
        <f>HYPERLINK("https%3A%2F%2Fwww.webofscience.com%2Fwos%2Fwoscc%2Ffull-record%2FWOS:000524216300001","View Full Record in Web of Science")</f>
        <v>View Full Record in Web of Science</v>
      </c>
    </row>
    <row r="867" spans="1:72" x14ac:dyDescent="0.15">
      <c r="A867" t="s">
        <v>72</v>
      </c>
      <c r="B867" t="s">
        <v>16915</v>
      </c>
      <c r="C867" t="s">
        <v>74</v>
      </c>
      <c r="D867" t="s">
        <v>74</v>
      </c>
      <c r="E867" t="s">
        <v>74</v>
      </c>
      <c r="F867" t="s">
        <v>16916</v>
      </c>
      <c r="G867" t="s">
        <v>74</v>
      </c>
      <c r="H867" t="s">
        <v>74</v>
      </c>
      <c r="I867" t="s">
        <v>16917</v>
      </c>
      <c r="J867" t="s">
        <v>1783</v>
      </c>
      <c r="K867" t="s">
        <v>74</v>
      </c>
      <c r="L867" t="s">
        <v>74</v>
      </c>
      <c r="M867" t="s">
        <v>78</v>
      </c>
      <c r="N867" t="s">
        <v>79</v>
      </c>
      <c r="O867" t="s">
        <v>74</v>
      </c>
      <c r="P867" t="s">
        <v>74</v>
      </c>
      <c r="Q867" t="s">
        <v>74</v>
      </c>
      <c r="R867" t="s">
        <v>74</v>
      </c>
      <c r="S867" t="s">
        <v>74</v>
      </c>
      <c r="T867" t="s">
        <v>16918</v>
      </c>
      <c r="U867" t="s">
        <v>16919</v>
      </c>
      <c r="V867" t="s">
        <v>16920</v>
      </c>
      <c r="W867" t="s">
        <v>16921</v>
      </c>
      <c r="X867" t="s">
        <v>16922</v>
      </c>
      <c r="Y867" t="s">
        <v>16923</v>
      </c>
      <c r="Z867" t="s">
        <v>16924</v>
      </c>
      <c r="AA867" t="s">
        <v>16925</v>
      </c>
      <c r="AB867" t="s">
        <v>16926</v>
      </c>
      <c r="AC867" t="s">
        <v>16927</v>
      </c>
      <c r="AD867" t="s">
        <v>2701</v>
      </c>
      <c r="AE867" t="s">
        <v>16928</v>
      </c>
      <c r="AF867" t="s">
        <v>74</v>
      </c>
      <c r="AG867">
        <v>30</v>
      </c>
      <c r="AH867">
        <v>3</v>
      </c>
      <c r="AI867">
        <v>5</v>
      </c>
      <c r="AJ867">
        <v>0</v>
      </c>
      <c r="AK867">
        <v>19</v>
      </c>
      <c r="AL867" t="s">
        <v>1440</v>
      </c>
      <c r="AM867" t="s">
        <v>399</v>
      </c>
      <c r="AN867" t="s">
        <v>1441</v>
      </c>
      <c r="AO867" t="s">
        <v>1796</v>
      </c>
      <c r="AP867" t="s">
        <v>1797</v>
      </c>
      <c r="AQ867" t="s">
        <v>74</v>
      </c>
      <c r="AR867" t="s">
        <v>1798</v>
      </c>
      <c r="AS867" t="s">
        <v>1799</v>
      </c>
      <c r="AT867" t="s">
        <v>11250</v>
      </c>
      <c r="AU867">
        <v>2020</v>
      </c>
      <c r="AV867">
        <v>43</v>
      </c>
      <c r="AW867">
        <v>5</v>
      </c>
      <c r="AX867" t="s">
        <v>74</v>
      </c>
      <c r="AY867" t="s">
        <v>74</v>
      </c>
      <c r="AZ867" t="s">
        <v>74</v>
      </c>
      <c r="BA867" t="s">
        <v>74</v>
      </c>
      <c r="BB867">
        <v>565</v>
      </c>
      <c r="BC867">
        <v>572</v>
      </c>
      <c r="BD867" t="s">
        <v>74</v>
      </c>
      <c r="BE867" t="s">
        <v>16929</v>
      </c>
      <c r="BF867" t="str">
        <f>HYPERLINK("http://dx.doi.org/10.1007/s00300-020-02661-y","http://dx.doi.org/10.1007/s00300-020-02661-y")</f>
        <v>http://dx.doi.org/10.1007/s00300-020-02661-y</v>
      </c>
      <c r="BG867" t="s">
        <v>74</v>
      </c>
      <c r="BH867" t="s">
        <v>14775</v>
      </c>
      <c r="BI867">
        <v>8</v>
      </c>
      <c r="BJ867" t="s">
        <v>1004</v>
      </c>
      <c r="BK867" t="s">
        <v>102</v>
      </c>
      <c r="BL867" t="s">
        <v>1005</v>
      </c>
      <c r="BM867" t="s">
        <v>13979</v>
      </c>
      <c r="BN867" t="s">
        <v>74</v>
      </c>
      <c r="BO867" t="s">
        <v>74</v>
      </c>
      <c r="BP867" t="s">
        <v>74</v>
      </c>
      <c r="BQ867" t="s">
        <v>74</v>
      </c>
      <c r="BR867" t="s">
        <v>106</v>
      </c>
      <c r="BS867" t="s">
        <v>16930</v>
      </c>
      <c r="BT867" t="str">
        <f>HYPERLINK("https%3A%2F%2Fwww.webofscience.com%2Fwos%2Fwoscc%2Ffull-record%2FWOS:000524216300003","View Full Record in Web of Science")</f>
        <v>View Full Record in Web of Science</v>
      </c>
    </row>
    <row r="868" spans="1:72" x14ac:dyDescent="0.15">
      <c r="A868" t="s">
        <v>72</v>
      </c>
      <c r="B868" t="s">
        <v>16931</v>
      </c>
      <c r="C868" t="s">
        <v>74</v>
      </c>
      <c r="D868" t="s">
        <v>74</v>
      </c>
      <c r="E868" t="s">
        <v>74</v>
      </c>
      <c r="F868" t="s">
        <v>16932</v>
      </c>
      <c r="G868" t="s">
        <v>74</v>
      </c>
      <c r="H868" t="s">
        <v>74</v>
      </c>
      <c r="I868" t="s">
        <v>16933</v>
      </c>
      <c r="J868" t="s">
        <v>1106</v>
      </c>
      <c r="K868" t="s">
        <v>74</v>
      </c>
      <c r="L868" t="s">
        <v>74</v>
      </c>
      <c r="M868" t="s">
        <v>78</v>
      </c>
      <c r="N868" t="s">
        <v>79</v>
      </c>
      <c r="O868" t="s">
        <v>74</v>
      </c>
      <c r="P868" t="s">
        <v>74</v>
      </c>
      <c r="Q868" t="s">
        <v>74</v>
      </c>
      <c r="R868" t="s">
        <v>74</v>
      </c>
      <c r="S868" t="s">
        <v>74</v>
      </c>
      <c r="T868" t="s">
        <v>74</v>
      </c>
      <c r="U868" t="s">
        <v>16934</v>
      </c>
      <c r="V868" t="s">
        <v>16935</v>
      </c>
      <c r="W868" t="s">
        <v>16936</v>
      </c>
      <c r="X868" t="s">
        <v>16937</v>
      </c>
      <c r="Y868" t="s">
        <v>16938</v>
      </c>
      <c r="Z868" t="s">
        <v>16939</v>
      </c>
      <c r="AA868" t="s">
        <v>16940</v>
      </c>
      <c r="AB868" t="s">
        <v>16941</v>
      </c>
      <c r="AC868" t="s">
        <v>16942</v>
      </c>
      <c r="AD868" t="s">
        <v>16943</v>
      </c>
      <c r="AE868" t="s">
        <v>16944</v>
      </c>
      <c r="AF868" t="s">
        <v>74</v>
      </c>
      <c r="AG868">
        <v>36</v>
      </c>
      <c r="AH868">
        <v>5</v>
      </c>
      <c r="AI868">
        <v>5</v>
      </c>
      <c r="AJ868">
        <v>0</v>
      </c>
      <c r="AK868">
        <v>3</v>
      </c>
      <c r="AL868" t="s">
        <v>1389</v>
      </c>
      <c r="AM868" t="s">
        <v>945</v>
      </c>
      <c r="AN868" t="s">
        <v>1390</v>
      </c>
      <c r="AO868" t="s">
        <v>1121</v>
      </c>
      <c r="AP868" t="s">
        <v>74</v>
      </c>
      <c r="AQ868" t="s">
        <v>74</v>
      </c>
      <c r="AR868" t="s">
        <v>1122</v>
      </c>
      <c r="AS868" t="s">
        <v>1123</v>
      </c>
      <c r="AT868" t="s">
        <v>6747</v>
      </c>
      <c r="AU868">
        <v>2020</v>
      </c>
      <c r="AV868">
        <v>10</v>
      </c>
      <c r="AW868">
        <v>1</v>
      </c>
      <c r="AX868" t="s">
        <v>74</v>
      </c>
      <c r="AY868" t="s">
        <v>74</v>
      </c>
      <c r="AZ868" t="s">
        <v>74</v>
      </c>
      <c r="BA868" t="s">
        <v>74</v>
      </c>
      <c r="BB868" t="s">
        <v>74</v>
      </c>
      <c r="BC868" t="s">
        <v>74</v>
      </c>
      <c r="BD868">
        <v>5940</v>
      </c>
      <c r="BE868" t="s">
        <v>16945</v>
      </c>
      <c r="BF868" t="str">
        <f>HYPERLINK("http://dx.doi.org/10.1038/s41598-020-62570-2","http://dx.doi.org/10.1038/s41598-020-62570-2")</f>
        <v>http://dx.doi.org/10.1038/s41598-020-62570-2</v>
      </c>
      <c r="BG868" t="s">
        <v>74</v>
      </c>
      <c r="BH868" t="s">
        <v>74</v>
      </c>
      <c r="BI868">
        <v>8</v>
      </c>
      <c r="BJ868" t="s">
        <v>1125</v>
      </c>
      <c r="BK868" t="s">
        <v>102</v>
      </c>
      <c r="BL868" t="s">
        <v>1126</v>
      </c>
      <c r="BM868" t="s">
        <v>16946</v>
      </c>
      <c r="BN868">
        <v>32246079</v>
      </c>
      <c r="BO868" t="s">
        <v>1778</v>
      </c>
      <c r="BP868" t="s">
        <v>74</v>
      </c>
      <c r="BQ868" t="s">
        <v>74</v>
      </c>
      <c r="BR868" t="s">
        <v>106</v>
      </c>
      <c r="BS868" t="s">
        <v>16947</v>
      </c>
      <c r="BT868" t="str">
        <f>HYPERLINK("https%3A%2F%2Fwww.webofscience.com%2Fwos%2Fwoscc%2Ffull-record%2FWOS:000563494300004","View Full Record in Web of Science")</f>
        <v>View Full Record in Web of Science</v>
      </c>
    </row>
    <row r="869" spans="1:72" x14ac:dyDescent="0.15">
      <c r="A869" t="s">
        <v>72</v>
      </c>
      <c r="B869" t="s">
        <v>16948</v>
      </c>
      <c r="C869" t="s">
        <v>74</v>
      </c>
      <c r="D869" t="s">
        <v>74</v>
      </c>
      <c r="E869" t="s">
        <v>74</v>
      </c>
      <c r="F869" t="s">
        <v>16949</v>
      </c>
      <c r="G869" t="s">
        <v>74</v>
      </c>
      <c r="H869" t="s">
        <v>74</v>
      </c>
      <c r="I869" t="s">
        <v>16950</v>
      </c>
      <c r="J869" t="s">
        <v>1106</v>
      </c>
      <c r="K869" t="s">
        <v>74</v>
      </c>
      <c r="L869" t="s">
        <v>74</v>
      </c>
      <c r="M869" t="s">
        <v>78</v>
      </c>
      <c r="N869" t="s">
        <v>79</v>
      </c>
      <c r="O869" t="s">
        <v>74</v>
      </c>
      <c r="P869" t="s">
        <v>74</v>
      </c>
      <c r="Q869" t="s">
        <v>74</v>
      </c>
      <c r="R869" t="s">
        <v>74</v>
      </c>
      <c r="S869" t="s">
        <v>74</v>
      </c>
      <c r="T869" t="s">
        <v>74</v>
      </c>
      <c r="U869" t="s">
        <v>16951</v>
      </c>
      <c r="V869" t="s">
        <v>16952</v>
      </c>
      <c r="W869" t="s">
        <v>16953</v>
      </c>
      <c r="X869" t="s">
        <v>16954</v>
      </c>
      <c r="Y869" t="s">
        <v>16955</v>
      </c>
      <c r="Z869" t="s">
        <v>16956</v>
      </c>
      <c r="AA869" t="s">
        <v>16957</v>
      </c>
      <c r="AB869" t="s">
        <v>74</v>
      </c>
      <c r="AC869" t="s">
        <v>16958</v>
      </c>
      <c r="AD869" t="s">
        <v>16959</v>
      </c>
      <c r="AE869" t="s">
        <v>16960</v>
      </c>
      <c r="AF869" t="s">
        <v>74</v>
      </c>
      <c r="AG869">
        <v>69</v>
      </c>
      <c r="AH869">
        <v>17</v>
      </c>
      <c r="AI869">
        <v>20</v>
      </c>
      <c r="AJ869">
        <v>1</v>
      </c>
      <c r="AK869">
        <v>13</v>
      </c>
      <c r="AL869" t="s">
        <v>1118</v>
      </c>
      <c r="AM869" t="s">
        <v>1119</v>
      </c>
      <c r="AN869" t="s">
        <v>1120</v>
      </c>
      <c r="AO869" t="s">
        <v>1121</v>
      </c>
      <c r="AP869" t="s">
        <v>74</v>
      </c>
      <c r="AQ869" t="s">
        <v>74</v>
      </c>
      <c r="AR869" t="s">
        <v>1122</v>
      </c>
      <c r="AS869" t="s">
        <v>1123</v>
      </c>
      <c r="AT869" t="s">
        <v>6747</v>
      </c>
      <c r="AU869">
        <v>2020</v>
      </c>
      <c r="AV869">
        <v>10</v>
      </c>
      <c r="AW869">
        <v>1</v>
      </c>
      <c r="AX869" t="s">
        <v>74</v>
      </c>
      <c r="AY869" t="s">
        <v>74</v>
      </c>
      <c r="AZ869" t="s">
        <v>74</v>
      </c>
      <c r="BA869" t="s">
        <v>74</v>
      </c>
      <c r="BB869" t="s">
        <v>74</v>
      </c>
      <c r="BC869" t="s">
        <v>74</v>
      </c>
      <c r="BD869">
        <v>5911</v>
      </c>
      <c r="BE869" t="s">
        <v>16961</v>
      </c>
      <c r="BF869" t="str">
        <f>HYPERLINK("http://dx.doi.org/10.1038/s41598-020-62829-8","http://dx.doi.org/10.1038/s41598-020-62829-8")</f>
        <v>http://dx.doi.org/10.1038/s41598-020-62829-8</v>
      </c>
      <c r="BG869" t="s">
        <v>74</v>
      </c>
      <c r="BH869" t="s">
        <v>74</v>
      </c>
      <c r="BI869">
        <v>10</v>
      </c>
      <c r="BJ869" t="s">
        <v>1125</v>
      </c>
      <c r="BK869" t="s">
        <v>102</v>
      </c>
      <c r="BL869" t="s">
        <v>1126</v>
      </c>
      <c r="BM869" t="s">
        <v>16962</v>
      </c>
      <c r="BN869">
        <v>32246093</v>
      </c>
      <c r="BO869" t="s">
        <v>1778</v>
      </c>
      <c r="BP869" t="s">
        <v>74</v>
      </c>
      <c r="BQ869" t="s">
        <v>74</v>
      </c>
      <c r="BR869" t="s">
        <v>106</v>
      </c>
      <c r="BS869" t="s">
        <v>16963</v>
      </c>
      <c r="BT869" t="str">
        <f>HYPERLINK("https%3A%2F%2Fwww.webofscience.com%2Fwos%2Fwoscc%2Ffull-record%2FWOS:000563492400005","View Full Record in Web of Science")</f>
        <v>View Full Record in Web of Science</v>
      </c>
    </row>
    <row r="870" spans="1:72" x14ac:dyDescent="0.15">
      <c r="A870" t="s">
        <v>72</v>
      </c>
      <c r="B870" t="s">
        <v>16964</v>
      </c>
      <c r="C870" t="s">
        <v>74</v>
      </c>
      <c r="D870" t="s">
        <v>74</v>
      </c>
      <c r="E870" t="s">
        <v>74</v>
      </c>
      <c r="F870" t="s">
        <v>16965</v>
      </c>
      <c r="G870" t="s">
        <v>74</v>
      </c>
      <c r="H870" t="s">
        <v>74</v>
      </c>
      <c r="I870" t="s">
        <v>16966</v>
      </c>
      <c r="J870" t="s">
        <v>1065</v>
      </c>
      <c r="K870" t="s">
        <v>74</v>
      </c>
      <c r="L870" t="s">
        <v>74</v>
      </c>
      <c r="M870" t="s">
        <v>78</v>
      </c>
      <c r="N870" t="s">
        <v>79</v>
      </c>
      <c r="O870" t="s">
        <v>74</v>
      </c>
      <c r="P870" t="s">
        <v>74</v>
      </c>
      <c r="Q870" t="s">
        <v>74</v>
      </c>
      <c r="R870" t="s">
        <v>74</v>
      </c>
      <c r="S870" t="s">
        <v>74</v>
      </c>
      <c r="T870" t="s">
        <v>16967</v>
      </c>
      <c r="U870" t="s">
        <v>16968</v>
      </c>
      <c r="V870" t="s">
        <v>16969</v>
      </c>
      <c r="W870" t="s">
        <v>16970</v>
      </c>
      <c r="X870" t="s">
        <v>16971</v>
      </c>
      <c r="Y870" t="s">
        <v>16972</v>
      </c>
      <c r="Z870" t="s">
        <v>16973</v>
      </c>
      <c r="AA870" t="s">
        <v>16974</v>
      </c>
      <c r="AB870" t="s">
        <v>16975</v>
      </c>
      <c r="AC870" t="s">
        <v>16976</v>
      </c>
      <c r="AD870" t="s">
        <v>16977</v>
      </c>
      <c r="AE870" t="s">
        <v>16978</v>
      </c>
      <c r="AF870" t="s">
        <v>74</v>
      </c>
      <c r="AG870">
        <v>36</v>
      </c>
      <c r="AH870">
        <v>14</v>
      </c>
      <c r="AI870">
        <v>15</v>
      </c>
      <c r="AJ870">
        <v>0</v>
      </c>
      <c r="AK870">
        <v>14</v>
      </c>
      <c r="AL870" t="s">
        <v>1024</v>
      </c>
      <c r="AM870" t="s">
        <v>1025</v>
      </c>
      <c r="AN870" t="s">
        <v>1026</v>
      </c>
      <c r="AO870" t="s">
        <v>74</v>
      </c>
      <c r="AP870" t="s">
        <v>1078</v>
      </c>
      <c r="AQ870" t="s">
        <v>74</v>
      </c>
      <c r="AR870" t="s">
        <v>1079</v>
      </c>
      <c r="AS870" t="s">
        <v>1080</v>
      </c>
      <c r="AT870" t="s">
        <v>6747</v>
      </c>
      <c r="AU870">
        <v>2020</v>
      </c>
      <c r="AV870">
        <v>7</v>
      </c>
      <c r="AW870" t="s">
        <v>74</v>
      </c>
      <c r="AX870" t="s">
        <v>74</v>
      </c>
      <c r="AY870" t="s">
        <v>74</v>
      </c>
      <c r="AZ870" t="s">
        <v>74</v>
      </c>
      <c r="BA870" t="s">
        <v>74</v>
      </c>
      <c r="BB870" t="s">
        <v>74</v>
      </c>
      <c r="BC870" t="s">
        <v>74</v>
      </c>
      <c r="BD870">
        <v>187</v>
      </c>
      <c r="BE870" t="s">
        <v>16979</v>
      </c>
      <c r="BF870" t="str">
        <f>HYPERLINK("http://dx.doi.org/10.3389/fmars.2020.00187","http://dx.doi.org/10.3389/fmars.2020.00187")</f>
        <v>http://dx.doi.org/10.3389/fmars.2020.00187</v>
      </c>
      <c r="BG870" t="s">
        <v>74</v>
      </c>
      <c r="BH870" t="s">
        <v>74</v>
      </c>
      <c r="BI870">
        <v>18</v>
      </c>
      <c r="BJ870" t="s">
        <v>237</v>
      </c>
      <c r="BK870" t="s">
        <v>102</v>
      </c>
      <c r="BL870" t="s">
        <v>238</v>
      </c>
      <c r="BM870" t="s">
        <v>16980</v>
      </c>
      <c r="BN870" t="s">
        <v>74</v>
      </c>
      <c r="BO870" t="s">
        <v>2071</v>
      </c>
      <c r="BP870" t="s">
        <v>74</v>
      </c>
      <c r="BQ870" t="s">
        <v>74</v>
      </c>
      <c r="BR870" t="s">
        <v>106</v>
      </c>
      <c r="BS870" t="s">
        <v>16981</v>
      </c>
      <c r="BT870" t="str">
        <f>HYPERLINK("https%3A%2F%2Fwww.webofscience.com%2Fwos%2Fwoscc%2Ffull-record%2FWOS:000523560700001","View Full Record in Web of Science")</f>
        <v>View Full Record in Web of Science</v>
      </c>
    </row>
    <row r="871" spans="1:72" x14ac:dyDescent="0.15">
      <c r="A871" t="s">
        <v>72</v>
      </c>
      <c r="B871" t="s">
        <v>16982</v>
      </c>
      <c r="C871" t="s">
        <v>74</v>
      </c>
      <c r="D871" t="s">
        <v>74</v>
      </c>
      <c r="E871" t="s">
        <v>74</v>
      </c>
      <c r="F871" t="s">
        <v>16983</v>
      </c>
      <c r="G871" t="s">
        <v>74</v>
      </c>
      <c r="H871" t="s">
        <v>74</v>
      </c>
      <c r="I871" t="s">
        <v>16984</v>
      </c>
      <c r="J871" t="s">
        <v>16985</v>
      </c>
      <c r="K871" t="s">
        <v>74</v>
      </c>
      <c r="L871" t="s">
        <v>74</v>
      </c>
      <c r="M871" t="s">
        <v>78</v>
      </c>
      <c r="N871" t="s">
        <v>79</v>
      </c>
      <c r="O871" t="s">
        <v>74</v>
      </c>
      <c r="P871" t="s">
        <v>74</v>
      </c>
      <c r="Q871" t="s">
        <v>74</v>
      </c>
      <c r="R871" t="s">
        <v>74</v>
      </c>
      <c r="S871" t="s">
        <v>74</v>
      </c>
      <c r="T871" t="s">
        <v>16986</v>
      </c>
      <c r="U871" t="s">
        <v>16987</v>
      </c>
      <c r="V871" t="s">
        <v>16988</v>
      </c>
      <c r="W871" t="s">
        <v>16989</v>
      </c>
      <c r="X871" t="s">
        <v>16990</v>
      </c>
      <c r="Y871" t="s">
        <v>16991</v>
      </c>
      <c r="Z871" t="s">
        <v>16992</v>
      </c>
      <c r="AA871" t="s">
        <v>16993</v>
      </c>
      <c r="AB871" t="s">
        <v>16994</v>
      </c>
      <c r="AC871" t="s">
        <v>16995</v>
      </c>
      <c r="AD871" t="s">
        <v>16996</v>
      </c>
      <c r="AE871" t="s">
        <v>16997</v>
      </c>
      <c r="AF871" t="s">
        <v>74</v>
      </c>
      <c r="AG871">
        <v>67</v>
      </c>
      <c r="AH871">
        <v>3</v>
      </c>
      <c r="AI871">
        <v>3</v>
      </c>
      <c r="AJ871">
        <v>2</v>
      </c>
      <c r="AK871">
        <v>23</v>
      </c>
      <c r="AL871" t="s">
        <v>1440</v>
      </c>
      <c r="AM871" t="s">
        <v>1628</v>
      </c>
      <c r="AN871" t="s">
        <v>1629</v>
      </c>
      <c r="AO871" t="s">
        <v>16998</v>
      </c>
      <c r="AP871" t="s">
        <v>16999</v>
      </c>
      <c r="AQ871" t="s">
        <v>74</v>
      </c>
      <c r="AR871" t="s">
        <v>17000</v>
      </c>
      <c r="AS871" t="s">
        <v>17001</v>
      </c>
      <c r="AT871" t="s">
        <v>7663</v>
      </c>
      <c r="AU871">
        <v>2020</v>
      </c>
      <c r="AV871">
        <v>29</v>
      </c>
      <c r="AW871">
        <v>7</v>
      </c>
      <c r="AX871" t="s">
        <v>74</v>
      </c>
      <c r="AY871" t="s">
        <v>74</v>
      </c>
      <c r="AZ871" t="s">
        <v>74</v>
      </c>
      <c r="BA871" t="s">
        <v>74</v>
      </c>
      <c r="BB871">
        <v>2361</v>
      </c>
      <c r="BC871">
        <v>2375</v>
      </c>
      <c r="BD871" t="s">
        <v>74</v>
      </c>
      <c r="BE871" t="s">
        <v>17002</v>
      </c>
      <c r="BF871" t="str">
        <f>HYPERLINK("http://dx.doi.org/10.1007/s10531-020-01978-8","http://dx.doi.org/10.1007/s10531-020-01978-8")</f>
        <v>http://dx.doi.org/10.1007/s10531-020-01978-8</v>
      </c>
      <c r="BG871" t="s">
        <v>74</v>
      </c>
      <c r="BH871" t="s">
        <v>14775</v>
      </c>
      <c r="BI871">
        <v>15</v>
      </c>
      <c r="BJ871" t="s">
        <v>1375</v>
      </c>
      <c r="BK871" t="s">
        <v>102</v>
      </c>
      <c r="BL871" t="s">
        <v>1005</v>
      </c>
      <c r="BM871" t="s">
        <v>17003</v>
      </c>
      <c r="BN871" t="s">
        <v>74</v>
      </c>
      <c r="BO871" t="s">
        <v>74</v>
      </c>
      <c r="BP871" t="s">
        <v>74</v>
      </c>
      <c r="BQ871" t="s">
        <v>74</v>
      </c>
      <c r="BR871" t="s">
        <v>106</v>
      </c>
      <c r="BS871" t="s">
        <v>17004</v>
      </c>
      <c r="BT871" t="str">
        <f>HYPERLINK("https%3A%2F%2Fwww.webofscience.com%2Fwos%2Fwoscc%2Ffull-record%2FWOS:000523057800001","View Full Record in Web of Science")</f>
        <v>View Full Record in Web of Science</v>
      </c>
    </row>
    <row r="872" spans="1:72" x14ac:dyDescent="0.15">
      <c r="A872" t="s">
        <v>72</v>
      </c>
      <c r="B872" t="s">
        <v>17005</v>
      </c>
      <c r="C872" t="s">
        <v>74</v>
      </c>
      <c r="D872" t="s">
        <v>74</v>
      </c>
      <c r="E872" t="s">
        <v>74</v>
      </c>
      <c r="F872" t="s">
        <v>17006</v>
      </c>
      <c r="G872" t="s">
        <v>74</v>
      </c>
      <c r="H872" t="s">
        <v>74</v>
      </c>
      <c r="I872" t="s">
        <v>17007</v>
      </c>
      <c r="J872" t="s">
        <v>6606</v>
      </c>
      <c r="K872" t="s">
        <v>74</v>
      </c>
      <c r="L872" t="s">
        <v>74</v>
      </c>
      <c r="M872" t="s">
        <v>78</v>
      </c>
      <c r="N872" t="s">
        <v>79</v>
      </c>
      <c r="O872" t="s">
        <v>74</v>
      </c>
      <c r="P872" t="s">
        <v>74</v>
      </c>
      <c r="Q872" t="s">
        <v>74</v>
      </c>
      <c r="R872" t="s">
        <v>74</v>
      </c>
      <c r="S872" t="s">
        <v>74</v>
      </c>
      <c r="T872" t="s">
        <v>74</v>
      </c>
      <c r="U872" t="s">
        <v>17008</v>
      </c>
      <c r="V872" t="s">
        <v>17009</v>
      </c>
      <c r="W872" t="s">
        <v>17010</v>
      </c>
      <c r="X872" t="s">
        <v>17011</v>
      </c>
      <c r="Y872" t="s">
        <v>17012</v>
      </c>
      <c r="Z872" t="s">
        <v>17013</v>
      </c>
      <c r="AA872" t="s">
        <v>74</v>
      </c>
      <c r="AB872" t="s">
        <v>17014</v>
      </c>
      <c r="AC872" t="s">
        <v>17015</v>
      </c>
      <c r="AD872" t="s">
        <v>2795</v>
      </c>
      <c r="AE872" t="s">
        <v>17016</v>
      </c>
      <c r="AF872" t="s">
        <v>74</v>
      </c>
      <c r="AG872">
        <v>25</v>
      </c>
      <c r="AH872">
        <v>81</v>
      </c>
      <c r="AI872">
        <v>89</v>
      </c>
      <c r="AJ872">
        <v>2</v>
      </c>
      <c r="AK872">
        <v>31</v>
      </c>
      <c r="AL872" t="s">
        <v>6607</v>
      </c>
      <c r="AM872" t="s">
        <v>152</v>
      </c>
      <c r="AN872" t="s">
        <v>6608</v>
      </c>
      <c r="AO872" t="s">
        <v>6609</v>
      </c>
      <c r="AP872" t="s">
        <v>6610</v>
      </c>
      <c r="AQ872" t="s">
        <v>74</v>
      </c>
      <c r="AR872" t="s">
        <v>6606</v>
      </c>
      <c r="AS872" t="s">
        <v>6611</v>
      </c>
      <c r="AT872" t="s">
        <v>6747</v>
      </c>
      <c r="AU872">
        <v>2020</v>
      </c>
      <c r="AV872">
        <v>368</v>
      </c>
      <c r="AW872">
        <v>6486</v>
      </c>
      <c r="AX872" t="s">
        <v>74</v>
      </c>
      <c r="AY872" t="s">
        <v>74</v>
      </c>
      <c r="AZ872" t="s">
        <v>74</v>
      </c>
      <c r="BA872" t="s">
        <v>74</v>
      </c>
      <c r="BB872">
        <v>76</v>
      </c>
      <c r="BC872" t="s">
        <v>1244</v>
      </c>
      <c r="BD872" t="s">
        <v>74</v>
      </c>
      <c r="BE872" t="s">
        <v>17017</v>
      </c>
      <c r="BF872" t="str">
        <f>HYPERLINK("http://dx.doi.org/10.1126/science.aaz1183","http://dx.doi.org/10.1126/science.aaz1183")</f>
        <v>http://dx.doi.org/10.1126/science.aaz1183</v>
      </c>
      <c r="BG872" t="s">
        <v>74</v>
      </c>
      <c r="BH872" t="s">
        <v>74</v>
      </c>
      <c r="BI872">
        <v>14</v>
      </c>
      <c r="BJ872" t="s">
        <v>1125</v>
      </c>
      <c r="BK872" t="s">
        <v>102</v>
      </c>
      <c r="BL872" t="s">
        <v>1126</v>
      </c>
      <c r="BM872" t="s">
        <v>17018</v>
      </c>
      <c r="BN872">
        <v>32241945</v>
      </c>
      <c r="BO872" t="s">
        <v>1657</v>
      </c>
      <c r="BP872" t="s">
        <v>74</v>
      </c>
      <c r="BQ872" t="s">
        <v>74</v>
      </c>
      <c r="BR872" t="s">
        <v>106</v>
      </c>
      <c r="BS872" t="s">
        <v>17019</v>
      </c>
      <c r="BT872" t="str">
        <f>HYPERLINK("https%3A%2F%2Fwww.webofscience.com%2Fwos%2Fwoscc%2Ffull-record%2FWOS:000523259700061","View Full Record in Web of Science")</f>
        <v>View Full Record in Web of Science</v>
      </c>
    </row>
    <row r="873" spans="1:72" x14ac:dyDescent="0.15">
      <c r="A873" t="s">
        <v>72</v>
      </c>
      <c r="B873" t="s">
        <v>17020</v>
      </c>
      <c r="C873" t="s">
        <v>74</v>
      </c>
      <c r="D873" t="s">
        <v>74</v>
      </c>
      <c r="E873" t="s">
        <v>74</v>
      </c>
      <c r="F873" t="s">
        <v>17021</v>
      </c>
      <c r="G873" t="s">
        <v>74</v>
      </c>
      <c r="H873" t="s">
        <v>74</v>
      </c>
      <c r="I873" t="s">
        <v>17022</v>
      </c>
      <c r="J873" t="s">
        <v>17023</v>
      </c>
      <c r="K873" t="s">
        <v>74</v>
      </c>
      <c r="L873" t="s">
        <v>74</v>
      </c>
      <c r="M873" t="s">
        <v>78</v>
      </c>
      <c r="N873" t="s">
        <v>79</v>
      </c>
      <c r="O873" t="s">
        <v>74</v>
      </c>
      <c r="P873" t="s">
        <v>74</v>
      </c>
      <c r="Q873" t="s">
        <v>74</v>
      </c>
      <c r="R873" t="s">
        <v>74</v>
      </c>
      <c r="S873" t="s">
        <v>74</v>
      </c>
      <c r="T873" t="s">
        <v>17024</v>
      </c>
      <c r="U873" t="s">
        <v>17025</v>
      </c>
      <c r="V873" t="s">
        <v>17026</v>
      </c>
      <c r="W873" t="s">
        <v>17027</v>
      </c>
      <c r="X873" t="s">
        <v>17028</v>
      </c>
      <c r="Y873" t="s">
        <v>17029</v>
      </c>
      <c r="Z873" t="s">
        <v>17030</v>
      </c>
      <c r="AA873" t="s">
        <v>74</v>
      </c>
      <c r="AB873" t="s">
        <v>17031</v>
      </c>
      <c r="AC873" t="s">
        <v>17032</v>
      </c>
      <c r="AD873" t="s">
        <v>17033</v>
      </c>
      <c r="AE873" t="s">
        <v>17034</v>
      </c>
      <c r="AF873" t="s">
        <v>74</v>
      </c>
      <c r="AG873">
        <v>63</v>
      </c>
      <c r="AH873">
        <v>2</v>
      </c>
      <c r="AI873">
        <v>2</v>
      </c>
      <c r="AJ873">
        <v>1</v>
      </c>
      <c r="AK873">
        <v>8</v>
      </c>
      <c r="AL873" t="s">
        <v>17035</v>
      </c>
      <c r="AM873" t="s">
        <v>17036</v>
      </c>
      <c r="AN873" t="s">
        <v>17037</v>
      </c>
      <c r="AO873" t="s">
        <v>17038</v>
      </c>
      <c r="AP873" t="s">
        <v>17039</v>
      </c>
      <c r="AQ873" t="s">
        <v>74</v>
      </c>
      <c r="AR873" t="s">
        <v>17040</v>
      </c>
      <c r="AS873" t="s">
        <v>17041</v>
      </c>
      <c r="AT873" t="s">
        <v>11155</v>
      </c>
      <c r="AU873">
        <v>2020</v>
      </c>
      <c r="AV873">
        <v>42</v>
      </c>
      <c r="AW873">
        <v>2</v>
      </c>
      <c r="AX873" t="s">
        <v>74</v>
      </c>
      <c r="AY873" t="s">
        <v>74</v>
      </c>
      <c r="AZ873" t="s">
        <v>74</v>
      </c>
      <c r="BA873" t="s">
        <v>74</v>
      </c>
      <c r="BB873">
        <v>209</v>
      </c>
      <c r="BC873">
        <v>219</v>
      </c>
      <c r="BD873" t="s">
        <v>74</v>
      </c>
      <c r="BE873" t="s">
        <v>17042</v>
      </c>
      <c r="BF873" t="str">
        <f>HYPERLINK("http://dx.doi.org/10.2989/1814232X.2020.1774805","http://dx.doi.org/10.2989/1814232X.2020.1774805")</f>
        <v>http://dx.doi.org/10.2989/1814232X.2020.1774805</v>
      </c>
      <c r="BG873" t="s">
        <v>74</v>
      </c>
      <c r="BH873" t="s">
        <v>74</v>
      </c>
      <c r="BI873">
        <v>11</v>
      </c>
      <c r="BJ873" t="s">
        <v>1680</v>
      </c>
      <c r="BK873" t="s">
        <v>102</v>
      </c>
      <c r="BL873" t="s">
        <v>1680</v>
      </c>
      <c r="BM873" t="s">
        <v>17043</v>
      </c>
      <c r="BN873" t="s">
        <v>74</v>
      </c>
      <c r="BO873" t="s">
        <v>74</v>
      </c>
      <c r="BP873" t="s">
        <v>74</v>
      </c>
      <c r="BQ873" t="s">
        <v>74</v>
      </c>
      <c r="BR873" t="s">
        <v>106</v>
      </c>
      <c r="BS873" t="s">
        <v>17044</v>
      </c>
      <c r="BT873" t="str">
        <f>HYPERLINK("https%3A%2F%2Fwww.webofscience.com%2Fwos%2Fwoscc%2Ffull-record%2FWOS:000558450600008","View Full Record in Web of Science")</f>
        <v>View Full Record in Web of Science</v>
      </c>
    </row>
    <row r="874" spans="1:72" x14ac:dyDescent="0.15">
      <c r="A874" t="s">
        <v>72</v>
      </c>
      <c r="B874" t="s">
        <v>17045</v>
      </c>
      <c r="C874" t="s">
        <v>74</v>
      </c>
      <c r="D874" t="s">
        <v>74</v>
      </c>
      <c r="E874" t="s">
        <v>74</v>
      </c>
      <c r="F874" t="s">
        <v>17046</v>
      </c>
      <c r="G874" t="s">
        <v>74</v>
      </c>
      <c r="H874" t="s">
        <v>74</v>
      </c>
      <c r="I874" t="s">
        <v>17047</v>
      </c>
      <c r="J874" t="s">
        <v>1106</v>
      </c>
      <c r="K874" t="s">
        <v>74</v>
      </c>
      <c r="L874" t="s">
        <v>74</v>
      </c>
      <c r="M874" t="s">
        <v>78</v>
      </c>
      <c r="N874" t="s">
        <v>79</v>
      </c>
      <c r="O874" t="s">
        <v>74</v>
      </c>
      <c r="P874" t="s">
        <v>74</v>
      </c>
      <c r="Q874" t="s">
        <v>74</v>
      </c>
      <c r="R874" t="s">
        <v>74</v>
      </c>
      <c r="S874" t="s">
        <v>74</v>
      </c>
      <c r="T874" t="s">
        <v>74</v>
      </c>
      <c r="U874" t="s">
        <v>17048</v>
      </c>
      <c r="V874" t="s">
        <v>17049</v>
      </c>
      <c r="W874" t="s">
        <v>17050</v>
      </c>
      <c r="X874" t="s">
        <v>17051</v>
      </c>
      <c r="Y874" t="s">
        <v>17052</v>
      </c>
      <c r="Z874" t="s">
        <v>17053</v>
      </c>
      <c r="AA874" t="s">
        <v>17054</v>
      </c>
      <c r="AB874" t="s">
        <v>17055</v>
      </c>
      <c r="AC874" t="s">
        <v>17056</v>
      </c>
      <c r="AD874" t="s">
        <v>17057</v>
      </c>
      <c r="AE874" t="s">
        <v>17058</v>
      </c>
      <c r="AF874" t="s">
        <v>74</v>
      </c>
      <c r="AG874">
        <v>68</v>
      </c>
      <c r="AH874">
        <v>72</v>
      </c>
      <c r="AI874">
        <v>75</v>
      </c>
      <c r="AJ874">
        <v>7</v>
      </c>
      <c r="AK874">
        <v>30</v>
      </c>
      <c r="AL874" t="s">
        <v>1118</v>
      </c>
      <c r="AM874" t="s">
        <v>1119</v>
      </c>
      <c r="AN874" t="s">
        <v>1120</v>
      </c>
      <c r="AO874" t="s">
        <v>1121</v>
      </c>
      <c r="AP874" t="s">
        <v>74</v>
      </c>
      <c r="AQ874" t="s">
        <v>74</v>
      </c>
      <c r="AR874" t="s">
        <v>1122</v>
      </c>
      <c r="AS874" t="s">
        <v>1123</v>
      </c>
      <c r="AT874" t="s">
        <v>11155</v>
      </c>
      <c r="AU874">
        <v>2020</v>
      </c>
      <c r="AV874">
        <v>10</v>
      </c>
      <c r="AW874">
        <v>1</v>
      </c>
      <c r="AX874" t="s">
        <v>74</v>
      </c>
      <c r="AY874" t="s">
        <v>74</v>
      </c>
      <c r="AZ874" t="s">
        <v>74</v>
      </c>
      <c r="BA874" t="s">
        <v>74</v>
      </c>
      <c r="BB874" t="s">
        <v>74</v>
      </c>
      <c r="BC874" t="s">
        <v>74</v>
      </c>
      <c r="BD874">
        <v>5819</v>
      </c>
      <c r="BE874" t="s">
        <v>17059</v>
      </c>
      <c r="BF874" t="str">
        <f>HYPERLINK("http://dx.doi.org/10.1038/s41598-020-62544-4","http://dx.doi.org/10.1038/s41598-020-62544-4")</f>
        <v>http://dx.doi.org/10.1038/s41598-020-62544-4</v>
      </c>
      <c r="BG874" t="s">
        <v>74</v>
      </c>
      <c r="BH874" t="s">
        <v>74</v>
      </c>
      <c r="BI874">
        <v>10</v>
      </c>
      <c r="BJ874" t="s">
        <v>1125</v>
      </c>
      <c r="BK874" t="s">
        <v>102</v>
      </c>
      <c r="BL874" t="s">
        <v>1126</v>
      </c>
      <c r="BM874" t="s">
        <v>17060</v>
      </c>
      <c r="BN874">
        <v>32242034</v>
      </c>
      <c r="BO874" t="s">
        <v>1778</v>
      </c>
      <c r="BP874" t="s">
        <v>162</v>
      </c>
      <c r="BQ874" t="s">
        <v>163</v>
      </c>
      <c r="BR874" t="s">
        <v>106</v>
      </c>
      <c r="BS874" t="s">
        <v>17061</v>
      </c>
      <c r="BT874" t="str">
        <f>HYPERLINK("https%3A%2F%2Fwww.webofscience.com%2Fwos%2Fwoscc%2Ffull-record%2FWOS:000540497600026","View Full Record in Web of Science")</f>
        <v>View Full Record in Web of Science</v>
      </c>
    </row>
    <row r="875" spans="1:72" x14ac:dyDescent="0.15">
      <c r="A875" t="s">
        <v>72</v>
      </c>
      <c r="B875" t="s">
        <v>17062</v>
      </c>
      <c r="C875" t="s">
        <v>74</v>
      </c>
      <c r="D875" t="s">
        <v>74</v>
      </c>
      <c r="E875" t="s">
        <v>74</v>
      </c>
      <c r="F875" t="s">
        <v>17063</v>
      </c>
      <c r="G875" t="s">
        <v>74</v>
      </c>
      <c r="H875" t="s">
        <v>74</v>
      </c>
      <c r="I875" t="s">
        <v>17064</v>
      </c>
      <c r="J875" t="s">
        <v>3794</v>
      </c>
      <c r="K875" t="s">
        <v>74</v>
      </c>
      <c r="L875" t="s">
        <v>74</v>
      </c>
      <c r="M875" t="s">
        <v>78</v>
      </c>
      <c r="N875" t="s">
        <v>79</v>
      </c>
      <c r="O875" t="s">
        <v>74</v>
      </c>
      <c r="P875" t="s">
        <v>74</v>
      </c>
      <c r="Q875" t="s">
        <v>74</v>
      </c>
      <c r="R875" t="s">
        <v>74</v>
      </c>
      <c r="S875" t="s">
        <v>74</v>
      </c>
      <c r="T875" t="s">
        <v>17065</v>
      </c>
      <c r="U875" t="s">
        <v>17066</v>
      </c>
      <c r="V875" t="s">
        <v>17067</v>
      </c>
      <c r="W875" t="s">
        <v>17068</v>
      </c>
      <c r="X875" t="s">
        <v>17069</v>
      </c>
      <c r="Y875" t="s">
        <v>17070</v>
      </c>
      <c r="Z875" t="s">
        <v>17071</v>
      </c>
      <c r="AA875" t="s">
        <v>74</v>
      </c>
      <c r="AB875" t="s">
        <v>17072</v>
      </c>
      <c r="AC875" t="s">
        <v>74</v>
      </c>
      <c r="AD875" t="s">
        <v>74</v>
      </c>
      <c r="AE875" t="s">
        <v>74</v>
      </c>
      <c r="AF875" t="s">
        <v>74</v>
      </c>
      <c r="AG875">
        <v>13</v>
      </c>
      <c r="AH875">
        <v>1</v>
      </c>
      <c r="AI875">
        <v>1</v>
      </c>
      <c r="AJ875">
        <v>0</v>
      </c>
      <c r="AK875">
        <v>5</v>
      </c>
      <c r="AL875" t="s">
        <v>1411</v>
      </c>
      <c r="AM875" t="s">
        <v>1412</v>
      </c>
      <c r="AN875" t="s">
        <v>1413</v>
      </c>
      <c r="AO875" t="s">
        <v>74</v>
      </c>
      <c r="AP875" t="s">
        <v>3805</v>
      </c>
      <c r="AQ875" t="s">
        <v>74</v>
      </c>
      <c r="AR875" t="s">
        <v>3806</v>
      </c>
      <c r="AS875" t="s">
        <v>3807</v>
      </c>
      <c r="AT875" t="s">
        <v>11155</v>
      </c>
      <c r="AU875">
        <v>2020</v>
      </c>
      <c r="AV875">
        <v>5</v>
      </c>
      <c r="AW875">
        <v>2</v>
      </c>
      <c r="AX875" t="s">
        <v>74</v>
      </c>
      <c r="AY875" t="s">
        <v>74</v>
      </c>
      <c r="AZ875" t="s">
        <v>74</v>
      </c>
      <c r="BA875" t="s">
        <v>74</v>
      </c>
      <c r="BB875">
        <v>1986</v>
      </c>
      <c r="BC875">
        <v>1988</v>
      </c>
      <c r="BD875" t="s">
        <v>74</v>
      </c>
      <c r="BE875" t="s">
        <v>17073</v>
      </c>
      <c r="BF875" t="str">
        <f>HYPERLINK("http://dx.doi.org/10.1080/23802359.2020.1756963","http://dx.doi.org/10.1080/23802359.2020.1756963")</f>
        <v>http://dx.doi.org/10.1080/23802359.2020.1756963</v>
      </c>
      <c r="BG875" t="s">
        <v>74</v>
      </c>
      <c r="BH875" t="s">
        <v>74</v>
      </c>
      <c r="BI875">
        <v>3</v>
      </c>
      <c r="BJ875" t="s">
        <v>3810</v>
      </c>
      <c r="BK875" t="s">
        <v>102</v>
      </c>
      <c r="BL875" t="s">
        <v>3810</v>
      </c>
      <c r="BM875" t="s">
        <v>17074</v>
      </c>
      <c r="BN875" t="s">
        <v>74</v>
      </c>
      <c r="BO875" t="s">
        <v>161</v>
      </c>
      <c r="BP875" t="s">
        <v>74</v>
      </c>
      <c r="BQ875" t="s">
        <v>74</v>
      </c>
      <c r="BR875" t="s">
        <v>106</v>
      </c>
      <c r="BS875" t="s">
        <v>17075</v>
      </c>
      <c r="BT875" t="str">
        <f>HYPERLINK("https%3A%2F%2Fwww.webofscience.com%2Fwos%2Fwoscc%2Ffull-record%2FWOS:000533649800001","View Full Record in Web of Science")</f>
        <v>View Full Record in Web of Science</v>
      </c>
    </row>
    <row r="876" spans="1:72" x14ac:dyDescent="0.15">
      <c r="A876" t="s">
        <v>72</v>
      </c>
      <c r="B876" t="s">
        <v>17076</v>
      </c>
      <c r="C876" t="s">
        <v>74</v>
      </c>
      <c r="D876" t="s">
        <v>74</v>
      </c>
      <c r="E876" t="s">
        <v>74</v>
      </c>
      <c r="F876" t="s">
        <v>17077</v>
      </c>
      <c r="G876" t="s">
        <v>74</v>
      </c>
      <c r="H876" t="s">
        <v>74</v>
      </c>
      <c r="I876" t="s">
        <v>17078</v>
      </c>
      <c r="J876" t="s">
        <v>17079</v>
      </c>
      <c r="K876" t="s">
        <v>74</v>
      </c>
      <c r="L876" t="s">
        <v>74</v>
      </c>
      <c r="M876" t="s">
        <v>78</v>
      </c>
      <c r="N876" t="s">
        <v>79</v>
      </c>
      <c r="O876" t="s">
        <v>74</v>
      </c>
      <c r="P876" t="s">
        <v>74</v>
      </c>
      <c r="Q876" t="s">
        <v>74</v>
      </c>
      <c r="R876" t="s">
        <v>74</v>
      </c>
      <c r="S876" t="s">
        <v>74</v>
      </c>
      <c r="T876" t="s">
        <v>17080</v>
      </c>
      <c r="U876" t="s">
        <v>74</v>
      </c>
      <c r="V876" t="s">
        <v>17081</v>
      </c>
      <c r="W876" t="s">
        <v>17082</v>
      </c>
      <c r="X876" t="s">
        <v>17083</v>
      </c>
      <c r="Y876" t="s">
        <v>17084</v>
      </c>
      <c r="Z876" t="s">
        <v>17085</v>
      </c>
      <c r="AA876" t="s">
        <v>74</v>
      </c>
      <c r="AB876" t="s">
        <v>74</v>
      </c>
      <c r="AC876" t="s">
        <v>74</v>
      </c>
      <c r="AD876" t="s">
        <v>74</v>
      </c>
      <c r="AE876" t="s">
        <v>74</v>
      </c>
      <c r="AF876" t="s">
        <v>74</v>
      </c>
      <c r="AG876">
        <v>34</v>
      </c>
      <c r="AH876">
        <v>0</v>
      </c>
      <c r="AI876">
        <v>0</v>
      </c>
      <c r="AJ876">
        <v>0</v>
      </c>
      <c r="AK876">
        <v>4</v>
      </c>
      <c r="AL876" t="s">
        <v>2615</v>
      </c>
      <c r="AM876" t="s">
        <v>1412</v>
      </c>
      <c r="AN876" t="s">
        <v>2616</v>
      </c>
      <c r="AO876" t="s">
        <v>17086</v>
      </c>
      <c r="AP876" t="s">
        <v>17087</v>
      </c>
      <c r="AQ876" t="s">
        <v>74</v>
      </c>
      <c r="AR876" t="s">
        <v>17088</v>
      </c>
      <c r="AS876" t="s">
        <v>17089</v>
      </c>
      <c r="AT876" t="s">
        <v>11155</v>
      </c>
      <c r="AU876">
        <v>2020</v>
      </c>
      <c r="AV876">
        <v>34</v>
      </c>
      <c r="AW876">
        <v>4</v>
      </c>
      <c r="AX876" t="s">
        <v>74</v>
      </c>
      <c r="AY876" t="s">
        <v>74</v>
      </c>
      <c r="AZ876" t="s">
        <v>74</v>
      </c>
      <c r="BA876" t="s">
        <v>74</v>
      </c>
      <c r="BB876">
        <v>523</v>
      </c>
      <c r="BC876">
        <v>541</v>
      </c>
      <c r="BD876" t="s">
        <v>74</v>
      </c>
      <c r="BE876" t="s">
        <v>17090</v>
      </c>
      <c r="BF876" t="str">
        <f>HYPERLINK("http://dx.doi.org/10.1080/0950236X.2014.996246","http://dx.doi.org/10.1080/0950236X.2014.996246")</f>
        <v>http://dx.doi.org/10.1080/0950236X.2014.996246</v>
      </c>
      <c r="BG876" t="s">
        <v>74</v>
      </c>
      <c r="BH876" t="s">
        <v>74</v>
      </c>
      <c r="BI876">
        <v>19</v>
      </c>
      <c r="BJ876" t="s">
        <v>2624</v>
      </c>
      <c r="BK876" t="s">
        <v>2625</v>
      </c>
      <c r="BL876" t="s">
        <v>2624</v>
      </c>
      <c r="BM876" t="s">
        <v>17091</v>
      </c>
      <c r="BN876" t="s">
        <v>74</v>
      </c>
      <c r="BO876" t="s">
        <v>491</v>
      </c>
      <c r="BP876" t="s">
        <v>74</v>
      </c>
      <c r="BQ876" t="s">
        <v>74</v>
      </c>
      <c r="BR876" t="s">
        <v>106</v>
      </c>
      <c r="BS876" t="s">
        <v>17092</v>
      </c>
      <c r="BT876" t="str">
        <f>HYPERLINK("https%3A%2F%2Fwww.webofscience.com%2Fwos%2Fwoscc%2Ffull-record%2FWOS:000532822700001","View Full Record in Web of Science")</f>
        <v>View Full Record in Web of Science</v>
      </c>
    </row>
    <row r="877" spans="1:72" x14ac:dyDescent="0.15">
      <c r="A877" t="s">
        <v>72</v>
      </c>
      <c r="B877" t="s">
        <v>17093</v>
      </c>
      <c r="C877" t="s">
        <v>74</v>
      </c>
      <c r="D877" t="s">
        <v>74</v>
      </c>
      <c r="E877" t="s">
        <v>74</v>
      </c>
      <c r="F877" t="s">
        <v>17094</v>
      </c>
      <c r="G877" t="s">
        <v>74</v>
      </c>
      <c r="H877" t="s">
        <v>74</v>
      </c>
      <c r="I877" t="s">
        <v>17095</v>
      </c>
      <c r="J877" t="s">
        <v>3502</v>
      </c>
      <c r="K877" t="s">
        <v>74</v>
      </c>
      <c r="L877" t="s">
        <v>74</v>
      </c>
      <c r="M877" t="s">
        <v>78</v>
      </c>
      <c r="N877" t="s">
        <v>79</v>
      </c>
      <c r="O877" t="s">
        <v>74</v>
      </c>
      <c r="P877" t="s">
        <v>74</v>
      </c>
      <c r="Q877" t="s">
        <v>74</v>
      </c>
      <c r="R877" t="s">
        <v>74</v>
      </c>
      <c r="S877" t="s">
        <v>74</v>
      </c>
      <c r="T877" t="s">
        <v>17096</v>
      </c>
      <c r="U877" t="s">
        <v>17097</v>
      </c>
      <c r="V877" t="s">
        <v>17098</v>
      </c>
      <c r="W877" t="s">
        <v>17099</v>
      </c>
      <c r="X877" t="s">
        <v>17100</v>
      </c>
      <c r="Y877" t="s">
        <v>17101</v>
      </c>
      <c r="Z877" t="s">
        <v>17102</v>
      </c>
      <c r="AA877" t="s">
        <v>17103</v>
      </c>
      <c r="AB877" t="s">
        <v>17104</v>
      </c>
      <c r="AC877" t="s">
        <v>17105</v>
      </c>
      <c r="AD877" t="s">
        <v>17106</v>
      </c>
      <c r="AE877" t="s">
        <v>17107</v>
      </c>
      <c r="AF877" t="s">
        <v>74</v>
      </c>
      <c r="AG877">
        <v>58</v>
      </c>
      <c r="AH877">
        <v>9</v>
      </c>
      <c r="AI877">
        <v>10</v>
      </c>
      <c r="AJ877">
        <v>1</v>
      </c>
      <c r="AK877">
        <v>26</v>
      </c>
      <c r="AL877" t="s">
        <v>994</v>
      </c>
      <c r="AM877" t="s">
        <v>995</v>
      </c>
      <c r="AN877" t="s">
        <v>996</v>
      </c>
      <c r="AO877" t="s">
        <v>3515</v>
      </c>
      <c r="AP877" t="s">
        <v>3516</v>
      </c>
      <c r="AQ877" t="s">
        <v>74</v>
      </c>
      <c r="AR877" t="s">
        <v>3517</v>
      </c>
      <c r="AS877" t="s">
        <v>3518</v>
      </c>
      <c r="AT877" t="s">
        <v>7663</v>
      </c>
      <c r="AU877">
        <v>2020</v>
      </c>
      <c r="AV877">
        <v>56</v>
      </c>
      <c r="AW877">
        <v>3</v>
      </c>
      <c r="AX877" t="s">
        <v>74</v>
      </c>
      <c r="AY877" t="s">
        <v>74</v>
      </c>
      <c r="AZ877" t="s">
        <v>74</v>
      </c>
      <c r="BA877" t="s">
        <v>74</v>
      </c>
      <c r="BB877">
        <v>761</v>
      </c>
      <c r="BC877">
        <v>774</v>
      </c>
      <c r="BD877" t="s">
        <v>74</v>
      </c>
      <c r="BE877" t="s">
        <v>17108</v>
      </c>
      <c r="BF877" t="str">
        <f>HYPERLINK("http://dx.doi.org/10.1111/jpy.12985","http://dx.doi.org/10.1111/jpy.12985")</f>
        <v>http://dx.doi.org/10.1111/jpy.12985</v>
      </c>
      <c r="BG877" t="s">
        <v>74</v>
      </c>
      <c r="BH877" t="s">
        <v>14775</v>
      </c>
      <c r="BI877">
        <v>14</v>
      </c>
      <c r="BJ877" t="s">
        <v>3520</v>
      </c>
      <c r="BK877" t="s">
        <v>102</v>
      </c>
      <c r="BL877" t="s">
        <v>3520</v>
      </c>
      <c r="BM877" t="s">
        <v>16145</v>
      </c>
      <c r="BN877">
        <v>32141081</v>
      </c>
      <c r="BO877" t="s">
        <v>74</v>
      </c>
      <c r="BP877" t="s">
        <v>74</v>
      </c>
      <c r="BQ877" t="s">
        <v>74</v>
      </c>
      <c r="BR877" t="s">
        <v>106</v>
      </c>
      <c r="BS877" t="s">
        <v>17109</v>
      </c>
      <c r="BT877" t="str">
        <f>HYPERLINK("https%3A%2F%2Fwww.webofscience.com%2Fwos%2Fwoscc%2Ffull-record%2FWOS:000523197600001","View Full Record in Web of Science")</f>
        <v>View Full Record in Web of Science</v>
      </c>
    </row>
    <row r="878" spans="1:72" x14ac:dyDescent="0.15">
      <c r="A878" t="s">
        <v>72</v>
      </c>
      <c r="B878" t="s">
        <v>17110</v>
      </c>
      <c r="C878" t="s">
        <v>74</v>
      </c>
      <c r="D878" t="s">
        <v>74</v>
      </c>
      <c r="E878" t="s">
        <v>74</v>
      </c>
      <c r="F878" t="s">
        <v>17111</v>
      </c>
      <c r="G878" t="s">
        <v>74</v>
      </c>
      <c r="H878" t="s">
        <v>74</v>
      </c>
      <c r="I878" t="s">
        <v>17112</v>
      </c>
      <c r="J878" t="s">
        <v>1427</v>
      </c>
      <c r="K878" t="s">
        <v>74</v>
      </c>
      <c r="L878" t="s">
        <v>74</v>
      </c>
      <c r="M878" t="s">
        <v>78</v>
      </c>
      <c r="N878" t="s">
        <v>79</v>
      </c>
      <c r="O878" t="s">
        <v>74</v>
      </c>
      <c r="P878" t="s">
        <v>74</v>
      </c>
      <c r="Q878" t="s">
        <v>74</v>
      </c>
      <c r="R878" t="s">
        <v>74</v>
      </c>
      <c r="S878" t="s">
        <v>74</v>
      </c>
      <c r="T878" t="s">
        <v>17113</v>
      </c>
      <c r="U878" t="s">
        <v>17114</v>
      </c>
      <c r="V878" t="s">
        <v>17115</v>
      </c>
      <c r="W878" t="s">
        <v>17116</v>
      </c>
      <c r="X878" t="s">
        <v>17117</v>
      </c>
      <c r="Y878" t="s">
        <v>17118</v>
      </c>
      <c r="Z878" t="s">
        <v>17119</v>
      </c>
      <c r="AA878" t="s">
        <v>17120</v>
      </c>
      <c r="AB878" t="s">
        <v>17121</v>
      </c>
      <c r="AC878" t="s">
        <v>17122</v>
      </c>
      <c r="AD878" t="s">
        <v>17123</v>
      </c>
      <c r="AE878" t="s">
        <v>17124</v>
      </c>
      <c r="AF878" t="s">
        <v>74</v>
      </c>
      <c r="AG878">
        <v>66</v>
      </c>
      <c r="AH878">
        <v>4</v>
      </c>
      <c r="AI878">
        <v>4</v>
      </c>
      <c r="AJ878">
        <v>0</v>
      </c>
      <c r="AK878">
        <v>8</v>
      </c>
      <c r="AL878" t="s">
        <v>1440</v>
      </c>
      <c r="AM878" t="s">
        <v>399</v>
      </c>
      <c r="AN878" t="s">
        <v>1441</v>
      </c>
      <c r="AO878" t="s">
        <v>1442</v>
      </c>
      <c r="AP878" t="s">
        <v>1443</v>
      </c>
      <c r="AQ878" t="s">
        <v>74</v>
      </c>
      <c r="AR878" t="s">
        <v>1427</v>
      </c>
      <c r="AS878" t="s">
        <v>1444</v>
      </c>
      <c r="AT878" t="s">
        <v>5993</v>
      </c>
      <c r="AU878">
        <v>2020</v>
      </c>
      <c r="AV878">
        <v>192</v>
      </c>
      <c r="AW878">
        <v>4</v>
      </c>
      <c r="AX878" t="s">
        <v>74</v>
      </c>
      <c r="AY878" t="s">
        <v>74</v>
      </c>
      <c r="AZ878" t="s">
        <v>74</v>
      </c>
      <c r="BA878" t="s">
        <v>74</v>
      </c>
      <c r="BB878">
        <v>999</v>
      </c>
      <c r="BC878">
        <v>1012</v>
      </c>
      <c r="BD878" t="s">
        <v>74</v>
      </c>
      <c r="BE878" t="s">
        <v>17125</v>
      </c>
      <c r="BF878" t="str">
        <f>HYPERLINK("http://dx.doi.org/10.1007/s00442-020-04633-9","http://dx.doi.org/10.1007/s00442-020-04633-9")</f>
        <v>http://dx.doi.org/10.1007/s00442-020-04633-9</v>
      </c>
      <c r="BG878" t="s">
        <v>74</v>
      </c>
      <c r="BH878" t="s">
        <v>14775</v>
      </c>
      <c r="BI878">
        <v>14</v>
      </c>
      <c r="BJ878" t="s">
        <v>1446</v>
      </c>
      <c r="BK878" t="s">
        <v>102</v>
      </c>
      <c r="BL878" t="s">
        <v>103</v>
      </c>
      <c r="BM878" t="s">
        <v>17126</v>
      </c>
      <c r="BN878">
        <v>32242324</v>
      </c>
      <c r="BO878" t="s">
        <v>1474</v>
      </c>
      <c r="BP878" t="s">
        <v>74</v>
      </c>
      <c r="BQ878" t="s">
        <v>74</v>
      </c>
      <c r="BR878" t="s">
        <v>106</v>
      </c>
      <c r="BS878" t="s">
        <v>17127</v>
      </c>
      <c r="BT878" t="str">
        <f>HYPERLINK("https%3A%2F%2Fwww.webofscience.com%2Fwos%2Fwoscc%2Ffull-record%2FWOS:000523047900001","View Full Record in Web of Science")</f>
        <v>View Full Record in Web of Science</v>
      </c>
    </row>
    <row r="879" spans="1:72" x14ac:dyDescent="0.15">
      <c r="A879" t="s">
        <v>72</v>
      </c>
      <c r="B879" t="s">
        <v>17128</v>
      </c>
      <c r="C879" t="s">
        <v>74</v>
      </c>
      <c r="D879" t="s">
        <v>74</v>
      </c>
      <c r="E879" t="s">
        <v>74</v>
      </c>
      <c r="F879" t="s">
        <v>17129</v>
      </c>
      <c r="G879" t="s">
        <v>74</v>
      </c>
      <c r="H879" t="s">
        <v>74</v>
      </c>
      <c r="I879" t="s">
        <v>17130</v>
      </c>
      <c r="J879" t="s">
        <v>17131</v>
      </c>
      <c r="K879" t="s">
        <v>74</v>
      </c>
      <c r="L879" t="s">
        <v>74</v>
      </c>
      <c r="M879" t="s">
        <v>78</v>
      </c>
      <c r="N879" t="s">
        <v>79</v>
      </c>
      <c r="O879" t="s">
        <v>74</v>
      </c>
      <c r="P879" t="s">
        <v>74</v>
      </c>
      <c r="Q879" t="s">
        <v>74</v>
      </c>
      <c r="R879" t="s">
        <v>74</v>
      </c>
      <c r="S879" t="s">
        <v>74</v>
      </c>
      <c r="T879" t="s">
        <v>17132</v>
      </c>
      <c r="U879" t="s">
        <v>17133</v>
      </c>
      <c r="V879" t="s">
        <v>17134</v>
      </c>
      <c r="W879" t="s">
        <v>17135</v>
      </c>
      <c r="X879" t="s">
        <v>17136</v>
      </c>
      <c r="Y879" t="s">
        <v>17137</v>
      </c>
      <c r="Z879" t="s">
        <v>17138</v>
      </c>
      <c r="AA879" t="s">
        <v>74</v>
      </c>
      <c r="AB879" t="s">
        <v>17139</v>
      </c>
      <c r="AC879" t="s">
        <v>74</v>
      </c>
      <c r="AD879" t="s">
        <v>74</v>
      </c>
      <c r="AE879" t="s">
        <v>74</v>
      </c>
      <c r="AF879" t="s">
        <v>74</v>
      </c>
      <c r="AG879">
        <v>14</v>
      </c>
      <c r="AH879">
        <v>1</v>
      </c>
      <c r="AI879">
        <v>1</v>
      </c>
      <c r="AJ879">
        <v>0</v>
      </c>
      <c r="AK879">
        <v>3</v>
      </c>
      <c r="AL879" t="s">
        <v>1411</v>
      </c>
      <c r="AM879" t="s">
        <v>1412</v>
      </c>
      <c r="AN879" t="s">
        <v>1413</v>
      </c>
      <c r="AO879" t="s">
        <v>17140</v>
      </c>
      <c r="AP879" t="s">
        <v>17141</v>
      </c>
      <c r="AQ879" t="s">
        <v>74</v>
      </c>
      <c r="AR879" t="s">
        <v>17142</v>
      </c>
      <c r="AS879" t="s">
        <v>17143</v>
      </c>
      <c r="AT879" t="s">
        <v>11155</v>
      </c>
      <c r="AU879">
        <v>2020</v>
      </c>
      <c r="AV879">
        <v>58</v>
      </c>
      <c r="AW879">
        <v>2</v>
      </c>
      <c r="AX879" t="s">
        <v>74</v>
      </c>
      <c r="AY879" t="s">
        <v>74</v>
      </c>
      <c r="AZ879" t="s">
        <v>74</v>
      </c>
      <c r="BA879" t="s">
        <v>74</v>
      </c>
      <c r="BB879">
        <v>145</v>
      </c>
      <c r="BC879">
        <v>152</v>
      </c>
      <c r="BD879" t="s">
        <v>74</v>
      </c>
      <c r="BE879" t="s">
        <v>17144</v>
      </c>
      <c r="BF879" t="str">
        <f>HYPERLINK("http://dx.doi.org/10.1080/0028825X.2019.1682625","http://dx.doi.org/10.1080/0028825X.2019.1682625")</f>
        <v>http://dx.doi.org/10.1080/0028825X.2019.1682625</v>
      </c>
      <c r="BG879" t="s">
        <v>74</v>
      </c>
      <c r="BH879" t="s">
        <v>74</v>
      </c>
      <c r="BI879">
        <v>8</v>
      </c>
      <c r="BJ879" t="s">
        <v>1635</v>
      </c>
      <c r="BK879" t="s">
        <v>102</v>
      </c>
      <c r="BL879" t="s">
        <v>1635</v>
      </c>
      <c r="BM879" t="s">
        <v>17145</v>
      </c>
      <c r="BN879" t="s">
        <v>74</v>
      </c>
      <c r="BO879" t="s">
        <v>74</v>
      </c>
      <c r="BP879" t="s">
        <v>74</v>
      </c>
      <c r="BQ879" t="s">
        <v>74</v>
      </c>
      <c r="BR879" t="s">
        <v>106</v>
      </c>
      <c r="BS879" t="s">
        <v>17146</v>
      </c>
      <c r="BT879" t="str">
        <f>HYPERLINK("https%3A%2F%2Fwww.webofscience.com%2Fwos%2Fwoscc%2Ffull-record%2FWOS:000522665600006","View Full Record in Web of Science")</f>
        <v>View Full Record in Web of Science</v>
      </c>
    </row>
    <row r="880" spans="1:72" x14ac:dyDescent="0.15">
      <c r="A880" t="s">
        <v>72</v>
      </c>
      <c r="B880" t="s">
        <v>17147</v>
      </c>
      <c r="C880" t="s">
        <v>74</v>
      </c>
      <c r="D880" t="s">
        <v>74</v>
      </c>
      <c r="E880" t="s">
        <v>74</v>
      </c>
      <c r="F880" t="s">
        <v>17148</v>
      </c>
      <c r="G880" t="s">
        <v>74</v>
      </c>
      <c r="H880" t="s">
        <v>74</v>
      </c>
      <c r="I880" t="s">
        <v>17149</v>
      </c>
      <c r="J880" t="s">
        <v>1357</v>
      </c>
      <c r="K880" t="s">
        <v>74</v>
      </c>
      <c r="L880" t="s">
        <v>74</v>
      </c>
      <c r="M880" t="s">
        <v>78</v>
      </c>
      <c r="N880" t="s">
        <v>79</v>
      </c>
      <c r="O880" t="s">
        <v>74</v>
      </c>
      <c r="P880" t="s">
        <v>74</v>
      </c>
      <c r="Q880" t="s">
        <v>74</v>
      </c>
      <c r="R880" t="s">
        <v>74</v>
      </c>
      <c r="S880" t="s">
        <v>74</v>
      </c>
      <c r="T880" t="s">
        <v>17150</v>
      </c>
      <c r="U880" t="s">
        <v>17151</v>
      </c>
      <c r="V880" t="s">
        <v>17152</v>
      </c>
      <c r="W880" t="s">
        <v>17153</v>
      </c>
      <c r="X880" t="s">
        <v>17154</v>
      </c>
      <c r="Y880" t="s">
        <v>17155</v>
      </c>
      <c r="Z880" t="s">
        <v>17156</v>
      </c>
      <c r="AA880" t="s">
        <v>17157</v>
      </c>
      <c r="AB880" t="s">
        <v>17158</v>
      </c>
      <c r="AC880" t="s">
        <v>17159</v>
      </c>
      <c r="AD880" t="s">
        <v>17160</v>
      </c>
      <c r="AE880" t="s">
        <v>17161</v>
      </c>
      <c r="AF880" t="s">
        <v>74</v>
      </c>
      <c r="AG880">
        <v>74</v>
      </c>
      <c r="AH880">
        <v>37</v>
      </c>
      <c r="AI880">
        <v>40</v>
      </c>
      <c r="AJ880">
        <v>4</v>
      </c>
      <c r="AK880">
        <v>47</v>
      </c>
      <c r="AL880" t="s">
        <v>994</v>
      </c>
      <c r="AM880" t="s">
        <v>995</v>
      </c>
      <c r="AN880" t="s">
        <v>996</v>
      </c>
      <c r="AO880" t="s">
        <v>1370</v>
      </c>
      <c r="AP880" t="s">
        <v>1371</v>
      </c>
      <c r="AQ880" t="s">
        <v>74</v>
      </c>
      <c r="AR880" t="s">
        <v>1372</v>
      </c>
      <c r="AS880" t="s">
        <v>1373</v>
      </c>
      <c r="AT880" t="s">
        <v>7663</v>
      </c>
      <c r="AU880">
        <v>2020</v>
      </c>
      <c r="AV880">
        <v>26</v>
      </c>
      <c r="AW880">
        <v>6</v>
      </c>
      <c r="AX880" t="s">
        <v>74</v>
      </c>
      <c r="AY880" t="s">
        <v>74</v>
      </c>
      <c r="AZ880" t="s">
        <v>74</v>
      </c>
      <c r="BA880" t="s">
        <v>74</v>
      </c>
      <c r="BB880">
        <v>3512</v>
      </c>
      <c r="BC880">
        <v>3524</v>
      </c>
      <c r="BD880" t="s">
        <v>74</v>
      </c>
      <c r="BE880" t="s">
        <v>17162</v>
      </c>
      <c r="BF880" t="str">
        <f>HYPERLINK("http://dx.doi.org/10.1111/gcb.15052","http://dx.doi.org/10.1111/gcb.15052")</f>
        <v>http://dx.doi.org/10.1111/gcb.15052</v>
      </c>
      <c r="BG880" t="s">
        <v>74</v>
      </c>
      <c r="BH880" t="s">
        <v>14775</v>
      </c>
      <c r="BI880">
        <v>13</v>
      </c>
      <c r="BJ880" t="s">
        <v>1375</v>
      </c>
      <c r="BK880" t="s">
        <v>102</v>
      </c>
      <c r="BL880" t="s">
        <v>1005</v>
      </c>
      <c r="BM880" t="s">
        <v>17163</v>
      </c>
      <c r="BN880">
        <v>32105368</v>
      </c>
      <c r="BO880" t="s">
        <v>74</v>
      </c>
      <c r="BP880" t="s">
        <v>74</v>
      </c>
      <c r="BQ880" t="s">
        <v>74</v>
      </c>
      <c r="BR880" t="s">
        <v>106</v>
      </c>
      <c r="BS880" t="s">
        <v>17164</v>
      </c>
      <c r="BT880" t="str">
        <f>HYPERLINK("https%3A%2F%2Fwww.webofscience.com%2Fwos%2Fwoscc%2Ffull-record%2FWOS:000523203900001","View Full Record in Web of Science")</f>
        <v>View Full Record in Web of Science</v>
      </c>
    </row>
    <row r="881" spans="1:72" x14ac:dyDescent="0.15">
      <c r="A881" t="s">
        <v>72</v>
      </c>
      <c r="B881" t="s">
        <v>17165</v>
      </c>
      <c r="C881" t="s">
        <v>74</v>
      </c>
      <c r="D881" t="s">
        <v>74</v>
      </c>
      <c r="E881" t="s">
        <v>74</v>
      </c>
      <c r="F881" t="s">
        <v>17166</v>
      </c>
      <c r="G881" t="s">
        <v>74</v>
      </c>
      <c r="H881" t="s">
        <v>74</v>
      </c>
      <c r="I881" t="s">
        <v>17167</v>
      </c>
      <c r="J881" t="s">
        <v>9745</v>
      </c>
      <c r="K881" t="s">
        <v>74</v>
      </c>
      <c r="L881" t="s">
        <v>74</v>
      </c>
      <c r="M881" t="s">
        <v>78</v>
      </c>
      <c r="N881" t="s">
        <v>79</v>
      </c>
      <c r="O881" t="s">
        <v>74</v>
      </c>
      <c r="P881" t="s">
        <v>74</v>
      </c>
      <c r="Q881" t="s">
        <v>74</v>
      </c>
      <c r="R881" t="s">
        <v>74</v>
      </c>
      <c r="S881" t="s">
        <v>74</v>
      </c>
      <c r="T881" t="s">
        <v>17168</v>
      </c>
      <c r="U881" t="s">
        <v>17169</v>
      </c>
      <c r="V881" t="s">
        <v>17170</v>
      </c>
      <c r="W881" t="s">
        <v>17171</v>
      </c>
      <c r="X881" t="s">
        <v>17172</v>
      </c>
      <c r="Y881" t="s">
        <v>17173</v>
      </c>
      <c r="Z881" t="s">
        <v>17174</v>
      </c>
      <c r="AA881" t="s">
        <v>17175</v>
      </c>
      <c r="AB881" t="s">
        <v>17176</v>
      </c>
      <c r="AC881" t="s">
        <v>17177</v>
      </c>
      <c r="AD881" t="s">
        <v>17178</v>
      </c>
      <c r="AE881" t="s">
        <v>17179</v>
      </c>
      <c r="AF881" t="s">
        <v>74</v>
      </c>
      <c r="AG881">
        <v>56</v>
      </c>
      <c r="AH881">
        <v>58</v>
      </c>
      <c r="AI881">
        <v>62</v>
      </c>
      <c r="AJ881">
        <v>15</v>
      </c>
      <c r="AK881">
        <v>123</v>
      </c>
      <c r="AL881" t="s">
        <v>2377</v>
      </c>
      <c r="AM881" t="s">
        <v>945</v>
      </c>
      <c r="AN881" t="s">
        <v>2378</v>
      </c>
      <c r="AO881" t="s">
        <v>9752</v>
      </c>
      <c r="AP881" t="s">
        <v>74</v>
      </c>
      <c r="AQ881" t="s">
        <v>74</v>
      </c>
      <c r="AR881" t="s">
        <v>9745</v>
      </c>
      <c r="AS881" t="s">
        <v>9753</v>
      </c>
      <c r="AT881" t="s">
        <v>11155</v>
      </c>
      <c r="AU881">
        <v>2020</v>
      </c>
      <c r="AV881">
        <v>8</v>
      </c>
      <c r="AW881">
        <v>1</v>
      </c>
      <c r="AX881" t="s">
        <v>74</v>
      </c>
      <c r="AY881" t="s">
        <v>74</v>
      </c>
      <c r="AZ881" t="s">
        <v>74</v>
      </c>
      <c r="BA881" t="s">
        <v>74</v>
      </c>
      <c r="BB881" t="s">
        <v>74</v>
      </c>
      <c r="BC881" t="s">
        <v>74</v>
      </c>
      <c r="BD881">
        <v>47</v>
      </c>
      <c r="BE881" t="s">
        <v>17180</v>
      </c>
      <c r="BF881" t="str">
        <f>HYPERLINK("http://dx.doi.org/10.1186/s40168-020-00826-9","http://dx.doi.org/10.1186/s40168-020-00826-9")</f>
        <v>http://dx.doi.org/10.1186/s40168-020-00826-9</v>
      </c>
      <c r="BG881" t="s">
        <v>74</v>
      </c>
      <c r="BH881" t="s">
        <v>74</v>
      </c>
      <c r="BI881">
        <v>12</v>
      </c>
      <c r="BJ881" t="s">
        <v>2045</v>
      </c>
      <c r="BK881" t="s">
        <v>102</v>
      </c>
      <c r="BL881" t="s">
        <v>2045</v>
      </c>
      <c r="BM881" t="s">
        <v>17181</v>
      </c>
      <c r="BN881">
        <v>32241287</v>
      </c>
      <c r="BO881" t="s">
        <v>3956</v>
      </c>
      <c r="BP881" t="s">
        <v>74</v>
      </c>
      <c r="BQ881" t="s">
        <v>74</v>
      </c>
      <c r="BR881" t="s">
        <v>106</v>
      </c>
      <c r="BS881" t="s">
        <v>17182</v>
      </c>
      <c r="BT881" t="str">
        <f>HYPERLINK("https%3A%2F%2Fwww.webofscience.com%2Fwos%2Fwoscc%2Ffull-record%2FWOS:000523500600002","View Full Record in Web of Science")</f>
        <v>View Full Record in Web of Science</v>
      </c>
    </row>
    <row r="882" spans="1:72" x14ac:dyDescent="0.15">
      <c r="A882" t="s">
        <v>72</v>
      </c>
      <c r="B882" t="s">
        <v>17183</v>
      </c>
      <c r="C882" t="s">
        <v>74</v>
      </c>
      <c r="D882" t="s">
        <v>74</v>
      </c>
      <c r="E882" t="s">
        <v>74</v>
      </c>
      <c r="F882" t="s">
        <v>17184</v>
      </c>
      <c r="G882" t="s">
        <v>74</v>
      </c>
      <c r="H882" t="s">
        <v>74</v>
      </c>
      <c r="I882" t="s">
        <v>17185</v>
      </c>
      <c r="J882" t="s">
        <v>1231</v>
      </c>
      <c r="K882" t="s">
        <v>74</v>
      </c>
      <c r="L882" t="s">
        <v>74</v>
      </c>
      <c r="M882" t="s">
        <v>78</v>
      </c>
      <c r="N882" t="s">
        <v>1850</v>
      </c>
      <c r="O882" t="s">
        <v>74</v>
      </c>
      <c r="P882" t="s">
        <v>74</v>
      </c>
      <c r="Q882" t="s">
        <v>74</v>
      </c>
      <c r="R882" t="s">
        <v>74</v>
      </c>
      <c r="S882" t="s">
        <v>74</v>
      </c>
      <c r="T882" t="s">
        <v>74</v>
      </c>
      <c r="U882" t="s">
        <v>17186</v>
      </c>
      <c r="V882" t="s">
        <v>74</v>
      </c>
      <c r="W882" t="s">
        <v>17187</v>
      </c>
      <c r="X882" t="s">
        <v>17188</v>
      </c>
      <c r="Y882" t="s">
        <v>17189</v>
      </c>
      <c r="Z882" t="s">
        <v>17190</v>
      </c>
      <c r="AA882" t="s">
        <v>17191</v>
      </c>
      <c r="AB882" t="s">
        <v>17192</v>
      </c>
      <c r="AC882" t="s">
        <v>17193</v>
      </c>
      <c r="AD882" t="s">
        <v>688</v>
      </c>
      <c r="AE882" t="s">
        <v>74</v>
      </c>
      <c r="AF882" t="s">
        <v>74</v>
      </c>
      <c r="AG882">
        <v>12</v>
      </c>
      <c r="AH882">
        <v>61</v>
      </c>
      <c r="AI882">
        <v>64</v>
      </c>
      <c r="AJ882">
        <v>4</v>
      </c>
      <c r="AK882">
        <v>43</v>
      </c>
      <c r="AL882" t="s">
        <v>1240</v>
      </c>
      <c r="AM882" t="s">
        <v>1119</v>
      </c>
      <c r="AN882" t="s">
        <v>1120</v>
      </c>
      <c r="AO882" t="s">
        <v>1241</v>
      </c>
      <c r="AP882" t="s">
        <v>1242</v>
      </c>
      <c r="AQ882" t="s">
        <v>74</v>
      </c>
      <c r="AR882" t="s">
        <v>1231</v>
      </c>
      <c r="AS882" t="s">
        <v>1243</v>
      </c>
      <c r="AT882" t="s">
        <v>11155</v>
      </c>
      <c r="AU882">
        <v>2020</v>
      </c>
      <c r="AV882">
        <v>580</v>
      </c>
      <c r="AW882">
        <v>7801</v>
      </c>
      <c r="AX882" t="s">
        <v>74</v>
      </c>
      <c r="AY882" t="s">
        <v>74</v>
      </c>
      <c r="AZ882" t="s">
        <v>74</v>
      </c>
      <c r="BA882" t="s">
        <v>74</v>
      </c>
      <c r="BB882">
        <v>26</v>
      </c>
      <c r="BC882">
        <v>28</v>
      </c>
      <c r="BD882" t="s">
        <v>74</v>
      </c>
      <c r="BE882" t="s">
        <v>17194</v>
      </c>
      <c r="BF882" t="str">
        <f>HYPERLINK("http://dx.doi.org/10.1038/d41586-020-00915-7","http://dx.doi.org/10.1038/d41586-020-00915-7")</f>
        <v>http://dx.doi.org/10.1038/d41586-020-00915-7</v>
      </c>
      <c r="BG882" t="s">
        <v>74</v>
      </c>
      <c r="BH882" t="s">
        <v>74</v>
      </c>
      <c r="BI882">
        <v>3</v>
      </c>
      <c r="BJ882" t="s">
        <v>1125</v>
      </c>
      <c r="BK882" t="s">
        <v>925</v>
      </c>
      <c r="BL882" t="s">
        <v>1126</v>
      </c>
      <c r="BM882" t="s">
        <v>17195</v>
      </c>
      <c r="BN882">
        <v>32235941</v>
      </c>
      <c r="BO882" t="s">
        <v>10177</v>
      </c>
      <c r="BP882" t="s">
        <v>74</v>
      </c>
      <c r="BQ882" t="s">
        <v>74</v>
      </c>
      <c r="BR882" t="s">
        <v>106</v>
      </c>
      <c r="BS882" t="s">
        <v>17196</v>
      </c>
      <c r="BT882" t="str">
        <f>HYPERLINK("https%3A%2F%2Fwww.webofscience.com%2Fwos%2Fwoscc%2Ffull-record%2FWOS:000543788900001","View Full Record in Web of Science")</f>
        <v>View Full Record in Web of Science</v>
      </c>
    </row>
    <row r="883" spans="1:72" x14ac:dyDescent="0.15">
      <c r="A883" t="s">
        <v>72</v>
      </c>
      <c r="B883" t="s">
        <v>17197</v>
      </c>
      <c r="C883" t="s">
        <v>74</v>
      </c>
      <c r="D883" t="s">
        <v>74</v>
      </c>
      <c r="E883" t="s">
        <v>74</v>
      </c>
      <c r="F883" t="s">
        <v>17198</v>
      </c>
      <c r="G883" t="s">
        <v>74</v>
      </c>
      <c r="H883" t="s">
        <v>17199</v>
      </c>
      <c r="I883" t="s">
        <v>17200</v>
      </c>
      <c r="J883" t="s">
        <v>1231</v>
      </c>
      <c r="K883" t="s">
        <v>74</v>
      </c>
      <c r="L883" t="s">
        <v>74</v>
      </c>
      <c r="M883" t="s">
        <v>78</v>
      </c>
      <c r="N883" t="s">
        <v>79</v>
      </c>
      <c r="O883" t="s">
        <v>74</v>
      </c>
      <c r="P883" t="s">
        <v>74</v>
      </c>
      <c r="Q883" t="s">
        <v>74</v>
      </c>
      <c r="R883" t="s">
        <v>74</v>
      </c>
      <c r="S883" t="s">
        <v>74</v>
      </c>
      <c r="T883" t="s">
        <v>74</v>
      </c>
      <c r="U883" t="s">
        <v>17201</v>
      </c>
      <c r="V883" t="s">
        <v>17202</v>
      </c>
      <c r="W883" t="s">
        <v>17203</v>
      </c>
      <c r="X883" t="s">
        <v>17204</v>
      </c>
      <c r="Y883" t="s">
        <v>17205</v>
      </c>
      <c r="Z883" t="s">
        <v>17206</v>
      </c>
      <c r="AA883" t="s">
        <v>17207</v>
      </c>
      <c r="AB883" t="s">
        <v>17208</v>
      </c>
      <c r="AC883" t="s">
        <v>17209</v>
      </c>
      <c r="AD883" t="s">
        <v>17210</v>
      </c>
      <c r="AE883" t="s">
        <v>17211</v>
      </c>
      <c r="AF883" t="s">
        <v>74</v>
      </c>
      <c r="AG883">
        <v>116</v>
      </c>
      <c r="AH883">
        <v>61</v>
      </c>
      <c r="AI883">
        <v>67</v>
      </c>
      <c r="AJ883">
        <v>6</v>
      </c>
      <c r="AK883">
        <v>61</v>
      </c>
      <c r="AL883" t="s">
        <v>1118</v>
      </c>
      <c r="AM883" t="s">
        <v>1119</v>
      </c>
      <c r="AN883" t="s">
        <v>1120</v>
      </c>
      <c r="AO883" t="s">
        <v>1241</v>
      </c>
      <c r="AP883" t="s">
        <v>1242</v>
      </c>
      <c r="AQ883" t="s">
        <v>74</v>
      </c>
      <c r="AR883" t="s">
        <v>1231</v>
      </c>
      <c r="AS883" t="s">
        <v>1243</v>
      </c>
      <c r="AT883" t="s">
        <v>11155</v>
      </c>
      <c r="AU883">
        <v>2020</v>
      </c>
      <c r="AV883">
        <v>580</v>
      </c>
      <c r="AW883">
        <v>7801</v>
      </c>
      <c r="AX883" t="s">
        <v>74</v>
      </c>
      <c r="AY883" t="s">
        <v>74</v>
      </c>
      <c r="AZ883" t="s">
        <v>74</v>
      </c>
      <c r="BA883" t="s">
        <v>74</v>
      </c>
      <c r="BB883">
        <v>81</v>
      </c>
      <c r="BC883" t="s">
        <v>1244</v>
      </c>
      <c r="BD883" t="s">
        <v>74</v>
      </c>
      <c r="BE883" t="s">
        <v>17212</v>
      </c>
      <c r="BF883" t="str">
        <f>HYPERLINK("http://dx.doi.org/10.1038/s41586-020-2148-5","http://dx.doi.org/10.1038/s41586-020-2148-5")</f>
        <v>http://dx.doi.org/10.1038/s41586-020-2148-5</v>
      </c>
      <c r="BG883" t="s">
        <v>74</v>
      </c>
      <c r="BH883" t="s">
        <v>74</v>
      </c>
      <c r="BI883">
        <v>20</v>
      </c>
      <c r="BJ883" t="s">
        <v>1125</v>
      </c>
      <c r="BK883" t="s">
        <v>102</v>
      </c>
      <c r="BL883" t="s">
        <v>1126</v>
      </c>
      <c r="BM883" t="s">
        <v>17213</v>
      </c>
      <c r="BN883">
        <v>32238944</v>
      </c>
      <c r="BO883" t="s">
        <v>491</v>
      </c>
      <c r="BP883" t="s">
        <v>74</v>
      </c>
      <c r="BQ883" t="s">
        <v>74</v>
      </c>
      <c r="BR883" t="s">
        <v>106</v>
      </c>
      <c r="BS883" t="s">
        <v>17214</v>
      </c>
      <c r="BT883" t="str">
        <f>HYPERLINK("https%3A%2F%2Fwww.webofscience.com%2Fwos%2Fwoscc%2Ffull-record%2FWOS:000543789300004","View Full Record in Web of Science")</f>
        <v>View Full Record in Web of Science</v>
      </c>
    </row>
    <row r="884" spans="1:72" x14ac:dyDescent="0.15">
      <c r="A884" t="s">
        <v>72</v>
      </c>
      <c r="B884" t="s">
        <v>17215</v>
      </c>
      <c r="C884" t="s">
        <v>74</v>
      </c>
      <c r="D884" t="s">
        <v>74</v>
      </c>
      <c r="E884" t="s">
        <v>74</v>
      </c>
      <c r="F884" t="s">
        <v>17216</v>
      </c>
      <c r="G884" t="s">
        <v>74</v>
      </c>
      <c r="H884" t="s">
        <v>74</v>
      </c>
      <c r="I884" t="s">
        <v>17217</v>
      </c>
      <c r="J884" t="s">
        <v>3794</v>
      </c>
      <c r="K884" t="s">
        <v>74</v>
      </c>
      <c r="L884" t="s">
        <v>74</v>
      </c>
      <c r="M884" t="s">
        <v>78</v>
      </c>
      <c r="N884" t="s">
        <v>79</v>
      </c>
      <c r="O884" t="s">
        <v>74</v>
      </c>
      <c r="P884" t="s">
        <v>74</v>
      </c>
      <c r="Q884" t="s">
        <v>74</v>
      </c>
      <c r="R884" t="s">
        <v>74</v>
      </c>
      <c r="S884" t="s">
        <v>74</v>
      </c>
      <c r="T884" t="s">
        <v>17218</v>
      </c>
      <c r="U884" t="s">
        <v>17219</v>
      </c>
      <c r="V884" t="s">
        <v>17220</v>
      </c>
      <c r="W884" t="s">
        <v>17221</v>
      </c>
      <c r="X884" t="s">
        <v>17222</v>
      </c>
      <c r="Y884" t="s">
        <v>17223</v>
      </c>
      <c r="Z884" t="s">
        <v>17224</v>
      </c>
      <c r="AA884" t="s">
        <v>17225</v>
      </c>
      <c r="AB884" t="s">
        <v>17226</v>
      </c>
      <c r="AC884" t="s">
        <v>17227</v>
      </c>
      <c r="AD884" t="s">
        <v>17228</v>
      </c>
      <c r="AE884" t="s">
        <v>17229</v>
      </c>
      <c r="AF884" t="s">
        <v>74</v>
      </c>
      <c r="AG884">
        <v>13</v>
      </c>
      <c r="AH884">
        <v>2</v>
      </c>
      <c r="AI884">
        <v>2</v>
      </c>
      <c r="AJ884">
        <v>0</v>
      </c>
      <c r="AK884">
        <v>5</v>
      </c>
      <c r="AL884" t="s">
        <v>1411</v>
      </c>
      <c r="AM884" t="s">
        <v>1412</v>
      </c>
      <c r="AN884" t="s">
        <v>1413</v>
      </c>
      <c r="AO884" t="s">
        <v>74</v>
      </c>
      <c r="AP884" t="s">
        <v>3805</v>
      </c>
      <c r="AQ884" t="s">
        <v>74</v>
      </c>
      <c r="AR884" t="s">
        <v>3806</v>
      </c>
      <c r="AS884" t="s">
        <v>3807</v>
      </c>
      <c r="AT884" t="s">
        <v>11155</v>
      </c>
      <c r="AU884">
        <v>2020</v>
      </c>
      <c r="AV884">
        <v>5</v>
      </c>
      <c r="AW884">
        <v>2</v>
      </c>
      <c r="AX884" t="s">
        <v>74</v>
      </c>
      <c r="AY884" t="s">
        <v>74</v>
      </c>
      <c r="AZ884" t="s">
        <v>74</v>
      </c>
      <c r="BA884" t="s">
        <v>74</v>
      </c>
      <c r="BB884">
        <v>1327</v>
      </c>
      <c r="BC884">
        <v>1328</v>
      </c>
      <c r="BD884" t="s">
        <v>74</v>
      </c>
      <c r="BE884" t="s">
        <v>17230</v>
      </c>
      <c r="BF884" t="str">
        <f>HYPERLINK("http://dx.doi.org/10.1080/23802359.2020.1734494","http://dx.doi.org/10.1080/23802359.2020.1734494")</f>
        <v>http://dx.doi.org/10.1080/23802359.2020.1734494</v>
      </c>
      <c r="BG884" t="s">
        <v>74</v>
      </c>
      <c r="BH884" t="s">
        <v>74</v>
      </c>
      <c r="BI884">
        <v>2</v>
      </c>
      <c r="BJ884" t="s">
        <v>3810</v>
      </c>
      <c r="BK884" t="s">
        <v>102</v>
      </c>
      <c r="BL884" t="s">
        <v>3810</v>
      </c>
      <c r="BM884" t="s">
        <v>17231</v>
      </c>
      <c r="BN884" t="s">
        <v>74</v>
      </c>
      <c r="BO884" t="s">
        <v>105</v>
      </c>
      <c r="BP884" t="s">
        <v>74</v>
      </c>
      <c r="BQ884" t="s">
        <v>74</v>
      </c>
      <c r="BR884" t="s">
        <v>106</v>
      </c>
      <c r="BS884" t="s">
        <v>17232</v>
      </c>
      <c r="BT884" t="str">
        <f>HYPERLINK("https%3A%2F%2Fwww.webofscience.com%2Fwos%2Fwoscc%2Ffull-record%2FWOS:000518960200001","View Full Record in Web of Science")</f>
        <v>View Full Record in Web of Science</v>
      </c>
    </row>
    <row r="885" spans="1:72" x14ac:dyDescent="0.15">
      <c r="A885" t="s">
        <v>72</v>
      </c>
      <c r="B885" t="s">
        <v>17233</v>
      </c>
      <c r="C885" t="s">
        <v>74</v>
      </c>
      <c r="D885" t="s">
        <v>74</v>
      </c>
      <c r="E885" t="s">
        <v>74</v>
      </c>
      <c r="F885" t="s">
        <v>17234</v>
      </c>
      <c r="G885" t="s">
        <v>74</v>
      </c>
      <c r="H885" t="s">
        <v>74</v>
      </c>
      <c r="I885" t="s">
        <v>17235</v>
      </c>
      <c r="J885" t="s">
        <v>3794</v>
      </c>
      <c r="K885" t="s">
        <v>74</v>
      </c>
      <c r="L885" t="s">
        <v>74</v>
      </c>
      <c r="M885" t="s">
        <v>78</v>
      </c>
      <c r="N885" t="s">
        <v>79</v>
      </c>
      <c r="O885" t="s">
        <v>74</v>
      </c>
      <c r="P885" t="s">
        <v>74</v>
      </c>
      <c r="Q885" t="s">
        <v>74</v>
      </c>
      <c r="R885" t="s">
        <v>74</v>
      </c>
      <c r="S885" t="s">
        <v>74</v>
      </c>
      <c r="T885" t="s">
        <v>17236</v>
      </c>
      <c r="U885" t="s">
        <v>74</v>
      </c>
      <c r="V885" t="s">
        <v>17237</v>
      </c>
      <c r="W885" t="s">
        <v>17238</v>
      </c>
      <c r="X885" t="s">
        <v>17239</v>
      </c>
      <c r="Y885" t="s">
        <v>17240</v>
      </c>
      <c r="Z885" t="s">
        <v>17241</v>
      </c>
      <c r="AA885" t="s">
        <v>17242</v>
      </c>
      <c r="AB885" t="s">
        <v>17243</v>
      </c>
      <c r="AC885" t="s">
        <v>17244</v>
      </c>
      <c r="AD885" t="s">
        <v>17245</v>
      </c>
      <c r="AE885" t="s">
        <v>17246</v>
      </c>
      <c r="AF885" t="s">
        <v>74</v>
      </c>
      <c r="AG885">
        <v>7</v>
      </c>
      <c r="AH885">
        <v>2</v>
      </c>
      <c r="AI885">
        <v>2</v>
      </c>
      <c r="AJ885">
        <v>0</v>
      </c>
      <c r="AK885">
        <v>9</v>
      </c>
      <c r="AL885" t="s">
        <v>1411</v>
      </c>
      <c r="AM885" t="s">
        <v>1412</v>
      </c>
      <c r="AN885" t="s">
        <v>1413</v>
      </c>
      <c r="AO885" t="s">
        <v>74</v>
      </c>
      <c r="AP885" t="s">
        <v>3805</v>
      </c>
      <c r="AQ885" t="s">
        <v>74</v>
      </c>
      <c r="AR885" t="s">
        <v>3806</v>
      </c>
      <c r="AS885" t="s">
        <v>3807</v>
      </c>
      <c r="AT885" t="s">
        <v>11155</v>
      </c>
      <c r="AU885">
        <v>2020</v>
      </c>
      <c r="AV885">
        <v>5</v>
      </c>
      <c r="AW885">
        <v>2</v>
      </c>
      <c r="AX885" t="s">
        <v>74</v>
      </c>
      <c r="AY885" t="s">
        <v>74</v>
      </c>
      <c r="AZ885" t="s">
        <v>74</v>
      </c>
      <c r="BA885" t="s">
        <v>74</v>
      </c>
      <c r="BB885">
        <v>1182</v>
      </c>
      <c r="BC885">
        <v>1183</v>
      </c>
      <c r="BD885" t="s">
        <v>74</v>
      </c>
      <c r="BE885" t="s">
        <v>17247</v>
      </c>
      <c r="BF885" t="str">
        <f>HYPERLINK("http://dx.doi.org/10.1080/23802359.2020.1731340","http://dx.doi.org/10.1080/23802359.2020.1731340")</f>
        <v>http://dx.doi.org/10.1080/23802359.2020.1731340</v>
      </c>
      <c r="BG885" t="s">
        <v>74</v>
      </c>
      <c r="BH885" t="s">
        <v>74</v>
      </c>
      <c r="BI885">
        <v>2</v>
      </c>
      <c r="BJ885" t="s">
        <v>3810</v>
      </c>
      <c r="BK885" t="s">
        <v>102</v>
      </c>
      <c r="BL885" t="s">
        <v>3810</v>
      </c>
      <c r="BM885" t="s">
        <v>17248</v>
      </c>
      <c r="BN885" t="s">
        <v>74</v>
      </c>
      <c r="BO885" t="s">
        <v>105</v>
      </c>
      <c r="BP885" t="s">
        <v>74</v>
      </c>
      <c r="BQ885" t="s">
        <v>74</v>
      </c>
      <c r="BR885" t="s">
        <v>106</v>
      </c>
      <c r="BS885" t="s">
        <v>17249</v>
      </c>
      <c r="BT885" t="str">
        <f>HYPERLINK("https%3A%2F%2Fwww.webofscience.com%2Fwos%2Fwoscc%2Ffull-record%2FWOS:000517478400001","View Full Record in Web of Science")</f>
        <v>View Full Record in Web of Science</v>
      </c>
    </row>
    <row r="886" spans="1:72" x14ac:dyDescent="0.15">
      <c r="A886" t="s">
        <v>72</v>
      </c>
      <c r="B886" t="s">
        <v>17250</v>
      </c>
      <c r="C886" t="s">
        <v>74</v>
      </c>
      <c r="D886" t="s">
        <v>74</v>
      </c>
      <c r="E886" t="s">
        <v>74</v>
      </c>
      <c r="F886" t="s">
        <v>17251</v>
      </c>
      <c r="G886" t="s">
        <v>74</v>
      </c>
      <c r="H886" t="s">
        <v>74</v>
      </c>
      <c r="I886" t="s">
        <v>17252</v>
      </c>
      <c r="J886" t="s">
        <v>8270</v>
      </c>
      <c r="K886" t="s">
        <v>74</v>
      </c>
      <c r="L886" t="s">
        <v>74</v>
      </c>
      <c r="M886" t="s">
        <v>78</v>
      </c>
      <c r="N886" t="s">
        <v>1850</v>
      </c>
      <c r="O886" t="s">
        <v>74</v>
      </c>
      <c r="P886" t="s">
        <v>74</v>
      </c>
      <c r="Q886" t="s">
        <v>74</v>
      </c>
      <c r="R886" t="s">
        <v>74</v>
      </c>
      <c r="S886" t="s">
        <v>74</v>
      </c>
      <c r="T886" t="s">
        <v>74</v>
      </c>
      <c r="U886" t="s">
        <v>74</v>
      </c>
      <c r="V886" t="s">
        <v>74</v>
      </c>
      <c r="W886" t="s">
        <v>74</v>
      </c>
      <c r="X886" t="s">
        <v>74</v>
      </c>
      <c r="Y886" t="s">
        <v>74</v>
      </c>
      <c r="Z886" t="s">
        <v>74</v>
      </c>
      <c r="AA886" t="s">
        <v>17253</v>
      </c>
      <c r="AB886" t="s">
        <v>74</v>
      </c>
      <c r="AC886" t="s">
        <v>74</v>
      </c>
      <c r="AD886" t="s">
        <v>74</v>
      </c>
      <c r="AE886" t="s">
        <v>74</v>
      </c>
      <c r="AF886" t="s">
        <v>74</v>
      </c>
      <c r="AG886">
        <v>0</v>
      </c>
      <c r="AH886">
        <v>0</v>
      </c>
      <c r="AI886">
        <v>0</v>
      </c>
      <c r="AJ886">
        <v>1</v>
      </c>
      <c r="AK886">
        <v>3</v>
      </c>
      <c r="AL886" t="s">
        <v>4638</v>
      </c>
      <c r="AM886" t="s">
        <v>399</v>
      </c>
      <c r="AN886" t="s">
        <v>4867</v>
      </c>
      <c r="AO886" t="s">
        <v>8274</v>
      </c>
      <c r="AP886" t="s">
        <v>8275</v>
      </c>
      <c r="AQ886" t="s">
        <v>74</v>
      </c>
      <c r="AR886" t="s">
        <v>8276</v>
      </c>
      <c r="AS886" t="s">
        <v>8277</v>
      </c>
      <c r="AT886" t="s">
        <v>5993</v>
      </c>
      <c r="AU886">
        <v>2020</v>
      </c>
      <c r="AV886">
        <v>32</v>
      </c>
      <c r="AW886">
        <v>2</v>
      </c>
      <c r="AX886" t="s">
        <v>74</v>
      </c>
      <c r="AY886" t="s">
        <v>74</v>
      </c>
      <c r="AZ886" t="s">
        <v>2622</v>
      </c>
      <c r="BA886" t="s">
        <v>74</v>
      </c>
      <c r="BB886">
        <v>71</v>
      </c>
      <c r="BC886">
        <v>71</v>
      </c>
      <c r="BD886" t="s">
        <v>74</v>
      </c>
      <c r="BE886" t="s">
        <v>17254</v>
      </c>
      <c r="BF886" t="str">
        <f>HYPERLINK("http://dx.doi.org/10.1017/S0954102020000115","http://dx.doi.org/10.1017/S0954102020000115")</f>
        <v>http://dx.doi.org/10.1017/S0954102020000115</v>
      </c>
      <c r="BG886" t="s">
        <v>74</v>
      </c>
      <c r="BH886" t="s">
        <v>74</v>
      </c>
      <c r="BI886">
        <v>1</v>
      </c>
      <c r="BJ886" t="s">
        <v>8279</v>
      </c>
      <c r="BK886" t="s">
        <v>102</v>
      </c>
      <c r="BL886" t="s">
        <v>8280</v>
      </c>
      <c r="BM886" t="s">
        <v>17255</v>
      </c>
      <c r="BN886" t="s">
        <v>74</v>
      </c>
      <c r="BO886" t="s">
        <v>1657</v>
      </c>
      <c r="BP886" t="s">
        <v>74</v>
      </c>
      <c r="BQ886" t="s">
        <v>74</v>
      </c>
      <c r="BR886" t="s">
        <v>106</v>
      </c>
      <c r="BS886" t="s">
        <v>17256</v>
      </c>
      <c r="BT886" t="str">
        <f>HYPERLINK("https%3A%2F%2Fwww.webofscience.com%2Fwos%2Fwoscc%2Ffull-record%2FWOS:000516643200001","View Full Record in Web of Science")</f>
        <v>View Full Record in Web of Science</v>
      </c>
    </row>
    <row r="887" spans="1:72" x14ac:dyDescent="0.15">
      <c r="A887" t="s">
        <v>72</v>
      </c>
      <c r="B887" t="s">
        <v>17257</v>
      </c>
      <c r="C887" t="s">
        <v>74</v>
      </c>
      <c r="D887" t="s">
        <v>74</v>
      </c>
      <c r="E887" t="s">
        <v>74</v>
      </c>
      <c r="F887" t="s">
        <v>17258</v>
      </c>
      <c r="G887" t="s">
        <v>74</v>
      </c>
      <c r="H887" t="s">
        <v>74</v>
      </c>
      <c r="I887" t="s">
        <v>17259</v>
      </c>
      <c r="J887" t="s">
        <v>13102</v>
      </c>
      <c r="K887" t="s">
        <v>74</v>
      </c>
      <c r="L887" t="s">
        <v>74</v>
      </c>
      <c r="M887" t="s">
        <v>78</v>
      </c>
      <c r="N887" t="s">
        <v>1850</v>
      </c>
      <c r="O887" t="s">
        <v>74</v>
      </c>
      <c r="P887" t="s">
        <v>74</v>
      </c>
      <c r="Q887" t="s">
        <v>74</v>
      </c>
      <c r="R887" t="s">
        <v>74</v>
      </c>
      <c r="S887" t="s">
        <v>74</v>
      </c>
      <c r="T887" t="s">
        <v>74</v>
      </c>
      <c r="U887" t="s">
        <v>17260</v>
      </c>
      <c r="V887" t="s">
        <v>74</v>
      </c>
      <c r="W887" t="s">
        <v>17261</v>
      </c>
      <c r="X887" t="s">
        <v>17262</v>
      </c>
      <c r="Y887" t="s">
        <v>17263</v>
      </c>
      <c r="Z887" t="s">
        <v>17264</v>
      </c>
      <c r="AA887" t="s">
        <v>74</v>
      </c>
      <c r="AB887" t="s">
        <v>74</v>
      </c>
      <c r="AC887" t="s">
        <v>17265</v>
      </c>
      <c r="AD887" t="s">
        <v>17266</v>
      </c>
      <c r="AE887" t="s">
        <v>17267</v>
      </c>
      <c r="AF887" t="s">
        <v>74</v>
      </c>
      <c r="AG887">
        <v>56</v>
      </c>
      <c r="AH887">
        <v>2</v>
      </c>
      <c r="AI887">
        <v>2</v>
      </c>
      <c r="AJ887">
        <v>0</v>
      </c>
      <c r="AK887">
        <v>12</v>
      </c>
      <c r="AL887" t="s">
        <v>92</v>
      </c>
      <c r="AM887" t="s">
        <v>93</v>
      </c>
      <c r="AN887" t="s">
        <v>94</v>
      </c>
      <c r="AO887" t="s">
        <v>13115</v>
      </c>
      <c r="AP887" t="s">
        <v>13116</v>
      </c>
      <c r="AQ887" t="s">
        <v>74</v>
      </c>
      <c r="AR887" t="s">
        <v>13117</v>
      </c>
      <c r="AS887" t="s">
        <v>13118</v>
      </c>
      <c r="AT887" t="s">
        <v>5993</v>
      </c>
      <c r="AU887">
        <v>2020</v>
      </c>
      <c r="AV887">
        <v>174</v>
      </c>
      <c r="AW887" t="s">
        <v>74</v>
      </c>
      <c r="AX887" t="s">
        <v>74</v>
      </c>
      <c r="AY887" t="s">
        <v>74</v>
      </c>
      <c r="AZ887" t="s">
        <v>2622</v>
      </c>
      <c r="BA887" t="s">
        <v>74</v>
      </c>
      <c r="BB887" t="s">
        <v>74</v>
      </c>
      <c r="BC887" t="s">
        <v>74</v>
      </c>
      <c r="BD887">
        <v>104790</v>
      </c>
      <c r="BE887" t="s">
        <v>17268</v>
      </c>
      <c r="BF887" t="str">
        <f>HYPERLINK("http://dx.doi.org/10.1016/j.dsr2.2020.104790","http://dx.doi.org/10.1016/j.dsr2.2020.104790")</f>
        <v>http://dx.doi.org/10.1016/j.dsr2.2020.104790</v>
      </c>
      <c r="BG887" t="s">
        <v>74</v>
      </c>
      <c r="BH887" t="s">
        <v>74</v>
      </c>
      <c r="BI887">
        <v>6</v>
      </c>
      <c r="BJ887" t="s">
        <v>213</v>
      </c>
      <c r="BK887" t="s">
        <v>102</v>
      </c>
      <c r="BL887" t="s">
        <v>213</v>
      </c>
      <c r="BM887" t="s">
        <v>17269</v>
      </c>
      <c r="BN887" t="s">
        <v>74</v>
      </c>
      <c r="BO887" t="s">
        <v>74</v>
      </c>
      <c r="BP887" t="s">
        <v>74</v>
      </c>
      <c r="BQ887" t="s">
        <v>74</v>
      </c>
      <c r="BR887" t="s">
        <v>106</v>
      </c>
      <c r="BS887" t="s">
        <v>17270</v>
      </c>
      <c r="BT887" t="str">
        <f>HYPERLINK("https%3A%2F%2Fwww.webofscience.com%2Fwos%2Fwoscc%2Ffull-record%2FWOS:000539111000014","View Full Record in Web of Science")</f>
        <v>View Full Record in Web of Science</v>
      </c>
    </row>
    <row r="888" spans="1:72" x14ac:dyDescent="0.15">
      <c r="A888" t="s">
        <v>72</v>
      </c>
      <c r="B888" t="s">
        <v>17271</v>
      </c>
      <c r="C888" t="s">
        <v>74</v>
      </c>
      <c r="D888" t="s">
        <v>74</v>
      </c>
      <c r="E888" t="s">
        <v>74</v>
      </c>
      <c r="F888" t="s">
        <v>17272</v>
      </c>
      <c r="G888" t="s">
        <v>74</v>
      </c>
      <c r="H888" t="s">
        <v>74</v>
      </c>
      <c r="I888" t="s">
        <v>17273</v>
      </c>
      <c r="J888" t="s">
        <v>17274</v>
      </c>
      <c r="K888" t="s">
        <v>74</v>
      </c>
      <c r="L888" t="s">
        <v>74</v>
      </c>
      <c r="M888" t="s">
        <v>17275</v>
      </c>
      <c r="N888" t="s">
        <v>1850</v>
      </c>
      <c r="O888" t="s">
        <v>74</v>
      </c>
      <c r="P888" t="s">
        <v>74</v>
      </c>
      <c r="Q888" t="s">
        <v>74</v>
      </c>
      <c r="R888" t="s">
        <v>74</v>
      </c>
      <c r="S888" t="s">
        <v>74</v>
      </c>
      <c r="T888" t="s">
        <v>74</v>
      </c>
      <c r="U888" t="s">
        <v>74</v>
      </c>
      <c r="V888" t="s">
        <v>17276</v>
      </c>
      <c r="W888" t="s">
        <v>17277</v>
      </c>
      <c r="X888" t="s">
        <v>74</v>
      </c>
      <c r="Y888" t="s">
        <v>17278</v>
      </c>
      <c r="Z888" t="s">
        <v>17279</v>
      </c>
      <c r="AA888" t="s">
        <v>74</v>
      </c>
      <c r="AB888" t="s">
        <v>74</v>
      </c>
      <c r="AC888" t="s">
        <v>74</v>
      </c>
      <c r="AD888" t="s">
        <v>74</v>
      </c>
      <c r="AE888" t="s">
        <v>74</v>
      </c>
      <c r="AF888" t="s">
        <v>74</v>
      </c>
      <c r="AG888">
        <v>15</v>
      </c>
      <c r="AH888">
        <v>0</v>
      </c>
      <c r="AI888">
        <v>0</v>
      </c>
      <c r="AJ888">
        <v>0</v>
      </c>
      <c r="AK888">
        <v>0</v>
      </c>
      <c r="AL888" t="s">
        <v>17280</v>
      </c>
      <c r="AM888" t="s">
        <v>17281</v>
      </c>
      <c r="AN888" t="s">
        <v>17282</v>
      </c>
      <c r="AO888" t="s">
        <v>17283</v>
      </c>
      <c r="AP888" t="s">
        <v>17284</v>
      </c>
      <c r="AQ888" t="s">
        <v>74</v>
      </c>
      <c r="AR888" t="s">
        <v>17285</v>
      </c>
      <c r="AS888" t="s">
        <v>17286</v>
      </c>
      <c r="AT888" t="s">
        <v>5993</v>
      </c>
      <c r="AU888">
        <v>2020</v>
      </c>
      <c r="AV888">
        <v>27</v>
      </c>
      <c r="AW888">
        <v>2</v>
      </c>
      <c r="AX888" t="s">
        <v>74</v>
      </c>
      <c r="AY888" t="s">
        <v>74</v>
      </c>
      <c r="AZ888" t="s">
        <v>74</v>
      </c>
      <c r="BA888" t="s">
        <v>74</v>
      </c>
      <c r="BB888">
        <v>100</v>
      </c>
      <c r="BC888">
        <v>103</v>
      </c>
      <c r="BD888" t="s">
        <v>74</v>
      </c>
      <c r="BE888" t="s">
        <v>17287</v>
      </c>
      <c r="BF888" t="str">
        <f>HYPERLINK("http://dx.doi.org/10.1055/a-1111-8212","http://dx.doi.org/10.1055/a-1111-8212")</f>
        <v>http://dx.doi.org/10.1055/a-1111-8212</v>
      </c>
      <c r="BG888" t="s">
        <v>74</v>
      </c>
      <c r="BH888" t="s">
        <v>74</v>
      </c>
      <c r="BI888">
        <v>4</v>
      </c>
      <c r="BJ888" t="s">
        <v>16431</v>
      </c>
      <c r="BK888" t="s">
        <v>3838</v>
      </c>
      <c r="BL888" t="s">
        <v>16431</v>
      </c>
      <c r="BM888" t="s">
        <v>17288</v>
      </c>
      <c r="BN888" t="s">
        <v>74</v>
      </c>
      <c r="BO888" t="s">
        <v>74</v>
      </c>
      <c r="BP888" t="s">
        <v>74</v>
      </c>
      <c r="BQ888" t="s">
        <v>74</v>
      </c>
      <c r="BR888" t="s">
        <v>106</v>
      </c>
      <c r="BS888" t="s">
        <v>17289</v>
      </c>
      <c r="BT888" t="str">
        <f>HYPERLINK("https%3A%2F%2Fwww.webofscience.com%2Fwos%2Fwoscc%2Ffull-record%2FWOS:000533414700010","View Full Record in Web of Science")</f>
        <v>View Full Record in Web of Science</v>
      </c>
    </row>
    <row r="889" spans="1:72" x14ac:dyDescent="0.15">
      <c r="A889" t="s">
        <v>72</v>
      </c>
      <c r="B889" t="s">
        <v>17290</v>
      </c>
      <c r="C889" t="s">
        <v>74</v>
      </c>
      <c r="D889" t="s">
        <v>74</v>
      </c>
      <c r="E889" t="s">
        <v>74</v>
      </c>
      <c r="F889" t="s">
        <v>17291</v>
      </c>
      <c r="G889" t="s">
        <v>74</v>
      </c>
      <c r="H889" t="s">
        <v>74</v>
      </c>
      <c r="I889" t="s">
        <v>17292</v>
      </c>
      <c r="J889" t="s">
        <v>17293</v>
      </c>
      <c r="K889" t="s">
        <v>74</v>
      </c>
      <c r="L889" t="s">
        <v>74</v>
      </c>
      <c r="M889" t="s">
        <v>78</v>
      </c>
      <c r="N889" t="s">
        <v>79</v>
      </c>
      <c r="O889" t="s">
        <v>74</v>
      </c>
      <c r="P889" t="s">
        <v>74</v>
      </c>
      <c r="Q889" t="s">
        <v>74</v>
      </c>
      <c r="R889" t="s">
        <v>74</v>
      </c>
      <c r="S889" t="s">
        <v>74</v>
      </c>
      <c r="T889" t="s">
        <v>74</v>
      </c>
      <c r="U889" t="s">
        <v>17294</v>
      </c>
      <c r="V889" t="s">
        <v>17295</v>
      </c>
      <c r="W889" t="s">
        <v>17296</v>
      </c>
      <c r="X889" t="s">
        <v>17297</v>
      </c>
      <c r="Y889" t="s">
        <v>17298</v>
      </c>
      <c r="Z889" t="s">
        <v>17299</v>
      </c>
      <c r="AA889" t="s">
        <v>17300</v>
      </c>
      <c r="AB889" t="s">
        <v>17301</v>
      </c>
      <c r="AC889" t="s">
        <v>17302</v>
      </c>
      <c r="AD889" t="s">
        <v>17303</v>
      </c>
      <c r="AE889" t="s">
        <v>17304</v>
      </c>
      <c r="AF889" t="s">
        <v>74</v>
      </c>
      <c r="AG889">
        <v>48</v>
      </c>
      <c r="AH889">
        <v>6</v>
      </c>
      <c r="AI889">
        <v>6</v>
      </c>
      <c r="AJ889">
        <v>0</v>
      </c>
      <c r="AK889">
        <v>1</v>
      </c>
      <c r="AL889" t="s">
        <v>17305</v>
      </c>
      <c r="AM889" t="s">
        <v>17306</v>
      </c>
      <c r="AN889" t="s">
        <v>17307</v>
      </c>
      <c r="AO889" t="s">
        <v>17308</v>
      </c>
      <c r="AP889" t="s">
        <v>74</v>
      </c>
      <c r="AQ889" t="s">
        <v>74</v>
      </c>
      <c r="AR889" t="s">
        <v>17309</v>
      </c>
      <c r="AS889" t="s">
        <v>17310</v>
      </c>
      <c r="AT889" t="s">
        <v>5993</v>
      </c>
      <c r="AU889">
        <v>2020</v>
      </c>
      <c r="AV889">
        <v>50</v>
      </c>
      <c r="AW889">
        <v>2</v>
      </c>
      <c r="AX889" t="s">
        <v>74</v>
      </c>
      <c r="AY889" t="s">
        <v>74</v>
      </c>
      <c r="AZ889" t="s">
        <v>74</v>
      </c>
      <c r="BA889" t="s">
        <v>74</v>
      </c>
      <c r="BB889">
        <v>219</v>
      </c>
      <c r="BC889">
        <v>234</v>
      </c>
      <c r="BD889" t="s">
        <v>74</v>
      </c>
      <c r="BE889" t="s">
        <v>17311</v>
      </c>
      <c r="BF889" t="str">
        <f>HYPERLINK("http://dx.doi.org/10.2113/gsjfr.52.2.219","http://dx.doi.org/10.2113/gsjfr.52.2.219")</f>
        <v>http://dx.doi.org/10.2113/gsjfr.52.2.219</v>
      </c>
      <c r="BG889" t="s">
        <v>74</v>
      </c>
      <c r="BH889" t="s">
        <v>74</v>
      </c>
      <c r="BI889">
        <v>16</v>
      </c>
      <c r="BJ889" t="s">
        <v>8760</v>
      </c>
      <c r="BK889" t="s">
        <v>102</v>
      </c>
      <c r="BL889" t="s">
        <v>8760</v>
      </c>
      <c r="BM889" t="s">
        <v>17312</v>
      </c>
      <c r="BN889" t="s">
        <v>74</v>
      </c>
      <c r="BO889" t="s">
        <v>74</v>
      </c>
      <c r="BP889" t="s">
        <v>74</v>
      </c>
      <c r="BQ889" t="s">
        <v>74</v>
      </c>
      <c r="BR889" t="s">
        <v>106</v>
      </c>
      <c r="BS889" t="s">
        <v>17313</v>
      </c>
      <c r="BT889" t="str">
        <f>HYPERLINK("https%3A%2F%2Fwww.webofscience.com%2Fwos%2Fwoscc%2Ffull-record%2FWOS:000575419100009","View Full Record in Web of Science")</f>
        <v>View Full Record in Web of Science</v>
      </c>
    </row>
    <row r="890" spans="1:72" x14ac:dyDescent="0.15">
      <c r="A890" t="s">
        <v>72</v>
      </c>
      <c r="B890" t="s">
        <v>17314</v>
      </c>
      <c r="C890" t="s">
        <v>74</v>
      </c>
      <c r="D890" t="s">
        <v>74</v>
      </c>
      <c r="E890" t="s">
        <v>74</v>
      </c>
      <c r="F890" t="s">
        <v>17315</v>
      </c>
      <c r="G890" t="s">
        <v>74</v>
      </c>
      <c r="H890" t="s">
        <v>74</v>
      </c>
      <c r="I890" t="s">
        <v>17316</v>
      </c>
      <c r="J890" t="s">
        <v>3961</v>
      </c>
      <c r="K890" t="s">
        <v>74</v>
      </c>
      <c r="L890" t="s">
        <v>74</v>
      </c>
      <c r="M890" t="s">
        <v>78</v>
      </c>
      <c r="N890" t="s">
        <v>79</v>
      </c>
      <c r="O890" t="s">
        <v>74</v>
      </c>
      <c r="P890" t="s">
        <v>74</v>
      </c>
      <c r="Q890" t="s">
        <v>74</v>
      </c>
      <c r="R890" t="s">
        <v>74</v>
      </c>
      <c r="S890" t="s">
        <v>74</v>
      </c>
      <c r="T890" t="s">
        <v>17317</v>
      </c>
      <c r="U890" t="s">
        <v>17318</v>
      </c>
      <c r="V890" t="s">
        <v>17319</v>
      </c>
      <c r="W890" t="s">
        <v>17320</v>
      </c>
      <c r="X890" t="s">
        <v>17321</v>
      </c>
      <c r="Y890" t="s">
        <v>17322</v>
      </c>
      <c r="Z890" t="s">
        <v>17323</v>
      </c>
      <c r="AA890" t="s">
        <v>17324</v>
      </c>
      <c r="AB890" t="s">
        <v>17325</v>
      </c>
      <c r="AC890" t="s">
        <v>17326</v>
      </c>
      <c r="AD890" t="s">
        <v>17327</v>
      </c>
      <c r="AE890" t="s">
        <v>17328</v>
      </c>
      <c r="AF890" t="s">
        <v>74</v>
      </c>
      <c r="AG890">
        <v>65</v>
      </c>
      <c r="AH890">
        <v>4</v>
      </c>
      <c r="AI890">
        <v>4</v>
      </c>
      <c r="AJ890">
        <v>1</v>
      </c>
      <c r="AK890">
        <v>4</v>
      </c>
      <c r="AL890" t="s">
        <v>178</v>
      </c>
      <c r="AM890" t="s">
        <v>179</v>
      </c>
      <c r="AN890" t="s">
        <v>180</v>
      </c>
      <c r="AO890" t="s">
        <v>3969</v>
      </c>
      <c r="AP890" t="s">
        <v>3970</v>
      </c>
      <c r="AQ890" t="s">
        <v>74</v>
      </c>
      <c r="AR890" t="s">
        <v>3971</v>
      </c>
      <c r="AS890" t="s">
        <v>3972</v>
      </c>
      <c r="AT890" t="s">
        <v>5993</v>
      </c>
      <c r="AU890">
        <v>2020</v>
      </c>
      <c r="AV890">
        <v>50</v>
      </c>
      <c r="AW890">
        <v>4</v>
      </c>
      <c r="AX890" t="s">
        <v>74</v>
      </c>
      <c r="AY890" t="s">
        <v>74</v>
      </c>
      <c r="AZ890" t="s">
        <v>74</v>
      </c>
      <c r="BA890" t="s">
        <v>74</v>
      </c>
      <c r="BB890">
        <v>965</v>
      </c>
      <c r="BC890">
        <v>982</v>
      </c>
      <c r="BD890" t="s">
        <v>74</v>
      </c>
      <c r="BE890" t="s">
        <v>17329</v>
      </c>
      <c r="BF890" t="str">
        <f>HYPERLINK("http://dx.doi.org/10.1175/JPO-D-19-0249.1","http://dx.doi.org/10.1175/JPO-D-19-0249.1")</f>
        <v>http://dx.doi.org/10.1175/JPO-D-19-0249.1</v>
      </c>
      <c r="BG890" t="s">
        <v>74</v>
      </c>
      <c r="BH890" t="s">
        <v>74</v>
      </c>
      <c r="BI890">
        <v>18</v>
      </c>
      <c r="BJ890" t="s">
        <v>213</v>
      </c>
      <c r="BK890" t="s">
        <v>102</v>
      </c>
      <c r="BL890" t="s">
        <v>213</v>
      </c>
      <c r="BM890" t="s">
        <v>17330</v>
      </c>
      <c r="BN890" t="s">
        <v>74</v>
      </c>
      <c r="BO890" t="s">
        <v>74</v>
      </c>
      <c r="BP890" t="s">
        <v>74</v>
      </c>
      <c r="BQ890" t="s">
        <v>74</v>
      </c>
      <c r="BR890" t="s">
        <v>106</v>
      </c>
      <c r="BS890" t="s">
        <v>17331</v>
      </c>
      <c r="BT890" t="str">
        <f>HYPERLINK("https%3A%2F%2Fwww.webofscience.com%2Fwos%2Fwoscc%2Ffull-record%2FWOS:000576191500008","View Full Record in Web of Science")</f>
        <v>View Full Record in Web of Science</v>
      </c>
    </row>
    <row r="891" spans="1:72" x14ac:dyDescent="0.15">
      <c r="A891" t="s">
        <v>72</v>
      </c>
      <c r="B891" t="s">
        <v>17332</v>
      </c>
      <c r="C891" t="s">
        <v>74</v>
      </c>
      <c r="D891" t="s">
        <v>74</v>
      </c>
      <c r="E891" t="s">
        <v>74</v>
      </c>
      <c r="F891" t="s">
        <v>17333</v>
      </c>
      <c r="G891" t="s">
        <v>74</v>
      </c>
      <c r="H891" t="s">
        <v>74</v>
      </c>
      <c r="I891" t="s">
        <v>17334</v>
      </c>
      <c r="J891" t="s">
        <v>17335</v>
      </c>
      <c r="K891" t="s">
        <v>74</v>
      </c>
      <c r="L891" t="s">
        <v>74</v>
      </c>
      <c r="M891" t="s">
        <v>78</v>
      </c>
      <c r="N891" t="s">
        <v>79</v>
      </c>
      <c r="O891" t="s">
        <v>74</v>
      </c>
      <c r="P891" t="s">
        <v>74</v>
      </c>
      <c r="Q891" t="s">
        <v>74</v>
      </c>
      <c r="R891" t="s">
        <v>74</v>
      </c>
      <c r="S891" t="s">
        <v>74</v>
      </c>
      <c r="T891" t="s">
        <v>17336</v>
      </c>
      <c r="U891" t="s">
        <v>17337</v>
      </c>
      <c r="V891" t="s">
        <v>17338</v>
      </c>
      <c r="W891" t="s">
        <v>17339</v>
      </c>
      <c r="X891" t="s">
        <v>17340</v>
      </c>
      <c r="Y891" t="s">
        <v>17341</v>
      </c>
      <c r="Z891" t="s">
        <v>17342</v>
      </c>
      <c r="AA891" t="s">
        <v>17343</v>
      </c>
      <c r="AB891" t="s">
        <v>17344</v>
      </c>
      <c r="AC891" t="s">
        <v>74</v>
      </c>
      <c r="AD891" t="s">
        <v>74</v>
      </c>
      <c r="AE891" t="s">
        <v>74</v>
      </c>
      <c r="AF891" t="s">
        <v>74</v>
      </c>
      <c r="AG891">
        <v>27</v>
      </c>
      <c r="AH891">
        <v>6</v>
      </c>
      <c r="AI891">
        <v>6</v>
      </c>
      <c r="AJ891">
        <v>2</v>
      </c>
      <c r="AK891">
        <v>9</v>
      </c>
      <c r="AL891" t="s">
        <v>124</v>
      </c>
      <c r="AM891" t="s">
        <v>93</v>
      </c>
      <c r="AN891" t="s">
        <v>125</v>
      </c>
      <c r="AO891" t="s">
        <v>17345</v>
      </c>
      <c r="AP891" t="s">
        <v>74</v>
      </c>
      <c r="AQ891" t="s">
        <v>74</v>
      </c>
      <c r="AR891" t="s">
        <v>17346</v>
      </c>
      <c r="AS891" t="s">
        <v>17347</v>
      </c>
      <c r="AT891" t="s">
        <v>5993</v>
      </c>
      <c r="AU891">
        <v>2020</v>
      </c>
      <c r="AV891">
        <v>78</v>
      </c>
      <c r="AW891">
        <v>3</v>
      </c>
      <c r="AX891" t="s">
        <v>74</v>
      </c>
      <c r="AY891" t="s">
        <v>74</v>
      </c>
      <c r="AZ891" t="s">
        <v>74</v>
      </c>
      <c r="BA891" t="s">
        <v>74</v>
      </c>
      <c r="BB891" t="s">
        <v>74</v>
      </c>
      <c r="BC891" t="s">
        <v>74</v>
      </c>
      <c r="BD891" t="s">
        <v>17348</v>
      </c>
      <c r="BE891" t="s">
        <v>17349</v>
      </c>
      <c r="BF891" t="str">
        <f>HYPERLINK("http://dx.doi.org/10.1093/femspd/ftaa012","http://dx.doi.org/10.1093/femspd/ftaa012")</f>
        <v>http://dx.doi.org/10.1093/femspd/ftaa012</v>
      </c>
      <c r="BG891" t="s">
        <v>74</v>
      </c>
      <c r="BH891" t="s">
        <v>74</v>
      </c>
      <c r="BI891">
        <v>8</v>
      </c>
      <c r="BJ891" t="s">
        <v>17350</v>
      </c>
      <c r="BK891" t="s">
        <v>102</v>
      </c>
      <c r="BL891" t="s">
        <v>17350</v>
      </c>
      <c r="BM891" t="s">
        <v>17351</v>
      </c>
      <c r="BN891">
        <v>32105313</v>
      </c>
      <c r="BO891" t="s">
        <v>6176</v>
      </c>
      <c r="BP891" t="s">
        <v>74</v>
      </c>
      <c r="BQ891" t="s">
        <v>74</v>
      </c>
      <c r="BR891" t="s">
        <v>106</v>
      </c>
      <c r="BS891" t="s">
        <v>17352</v>
      </c>
      <c r="BT891" t="str">
        <f>HYPERLINK("https%3A%2F%2Fwww.webofscience.com%2Fwos%2Fwoscc%2Ffull-record%2FWOS:000565929200001","View Full Record in Web of Science")</f>
        <v>View Full Record in Web of Science</v>
      </c>
    </row>
    <row r="892" spans="1:72" x14ac:dyDescent="0.15">
      <c r="A892" t="s">
        <v>72</v>
      </c>
      <c r="B892" t="s">
        <v>17353</v>
      </c>
      <c r="C892" t="s">
        <v>74</v>
      </c>
      <c r="D892" t="s">
        <v>74</v>
      </c>
      <c r="E892" t="s">
        <v>74</v>
      </c>
      <c r="F892" t="s">
        <v>17354</v>
      </c>
      <c r="G892" t="s">
        <v>74</v>
      </c>
      <c r="H892" t="s">
        <v>74</v>
      </c>
      <c r="I892" t="s">
        <v>17355</v>
      </c>
      <c r="J892" t="s">
        <v>17356</v>
      </c>
      <c r="K892" t="s">
        <v>74</v>
      </c>
      <c r="L892" t="s">
        <v>74</v>
      </c>
      <c r="M892" t="s">
        <v>78</v>
      </c>
      <c r="N892" t="s">
        <v>79</v>
      </c>
      <c r="O892" t="s">
        <v>74</v>
      </c>
      <c r="P892" t="s">
        <v>74</v>
      </c>
      <c r="Q892" t="s">
        <v>74</v>
      </c>
      <c r="R892" t="s">
        <v>74</v>
      </c>
      <c r="S892" t="s">
        <v>74</v>
      </c>
      <c r="T892" t="s">
        <v>17357</v>
      </c>
      <c r="U892" t="s">
        <v>17358</v>
      </c>
      <c r="V892" t="s">
        <v>17359</v>
      </c>
      <c r="W892" t="s">
        <v>17360</v>
      </c>
      <c r="X892" t="s">
        <v>17361</v>
      </c>
      <c r="Y892" t="s">
        <v>17362</v>
      </c>
      <c r="Z892" t="s">
        <v>17363</v>
      </c>
      <c r="AA892" t="s">
        <v>17364</v>
      </c>
      <c r="AB892" t="s">
        <v>17365</v>
      </c>
      <c r="AC892" t="s">
        <v>17366</v>
      </c>
      <c r="AD892" t="s">
        <v>688</v>
      </c>
      <c r="AE892" t="s">
        <v>74</v>
      </c>
      <c r="AF892" t="s">
        <v>74</v>
      </c>
      <c r="AG892">
        <v>319</v>
      </c>
      <c r="AH892">
        <v>55</v>
      </c>
      <c r="AI892">
        <v>62</v>
      </c>
      <c r="AJ892">
        <v>5</v>
      </c>
      <c r="AK892">
        <v>16</v>
      </c>
      <c r="AL892" t="s">
        <v>4638</v>
      </c>
      <c r="AM892" t="s">
        <v>1744</v>
      </c>
      <c r="AN892" t="s">
        <v>4639</v>
      </c>
      <c r="AO892" t="s">
        <v>17367</v>
      </c>
      <c r="AP892" t="s">
        <v>17368</v>
      </c>
      <c r="AQ892" t="s">
        <v>74</v>
      </c>
      <c r="AR892" t="s">
        <v>17369</v>
      </c>
      <c r="AS892" t="s">
        <v>17370</v>
      </c>
      <c r="AT892" t="s">
        <v>5993</v>
      </c>
      <c r="AU892">
        <v>2020</v>
      </c>
      <c r="AV892">
        <v>61</v>
      </c>
      <c r="AW892">
        <v>81</v>
      </c>
      <c r="AX892" t="s">
        <v>74</v>
      </c>
      <c r="AY892" t="s">
        <v>74</v>
      </c>
      <c r="AZ892" t="s">
        <v>74</v>
      </c>
      <c r="BA892" t="s">
        <v>74</v>
      </c>
      <c r="BB892">
        <v>1</v>
      </c>
      <c r="BC892">
        <v>13</v>
      </c>
      <c r="BD892" t="s">
        <v>17371</v>
      </c>
      <c r="BE892" t="s">
        <v>17372</v>
      </c>
      <c r="BF892" t="str">
        <f>HYPERLINK("http://dx.doi.org/10.1017/aog.2020.11","http://dx.doi.org/10.1017/aog.2020.11")</f>
        <v>http://dx.doi.org/10.1017/aog.2020.11</v>
      </c>
      <c r="BG892" t="s">
        <v>74</v>
      </c>
      <c r="BH892" t="s">
        <v>74</v>
      </c>
      <c r="BI892">
        <v>13</v>
      </c>
      <c r="BJ892" t="s">
        <v>694</v>
      </c>
      <c r="BK892" t="s">
        <v>925</v>
      </c>
      <c r="BL892" t="s">
        <v>695</v>
      </c>
      <c r="BM892" t="s">
        <v>17373</v>
      </c>
      <c r="BN892" t="s">
        <v>74</v>
      </c>
      <c r="BO892" t="s">
        <v>1778</v>
      </c>
      <c r="BP892" t="s">
        <v>74</v>
      </c>
      <c r="BQ892" t="s">
        <v>74</v>
      </c>
      <c r="BR892" t="s">
        <v>106</v>
      </c>
      <c r="BS892" t="s">
        <v>17374</v>
      </c>
      <c r="BT892" t="str">
        <f>HYPERLINK("https%3A%2F%2Fwww.webofscience.com%2Fwos%2Fwoscc%2Ffull-record%2FWOS:000565350800001","View Full Record in Web of Science")</f>
        <v>View Full Record in Web of Science</v>
      </c>
    </row>
    <row r="893" spans="1:72" x14ac:dyDescent="0.15">
      <c r="A893" t="s">
        <v>72</v>
      </c>
      <c r="B893" t="s">
        <v>17375</v>
      </c>
      <c r="C893" t="s">
        <v>74</v>
      </c>
      <c r="D893" t="s">
        <v>74</v>
      </c>
      <c r="E893" t="s">
        <v>74</v>
      </c>
      <c r="F893" t="s">
        <v>17376</v>
      </c>
      <c r="G893" t="s">
        <v>74</v>
      </c>
      <c r="H893" t="s">
        <v>74</v>
      </c>
      <c r="I893" t="s">
        <v>17377</v>
      </c>
      <c r="J893" t="s">
        <v>17356</v>
      </c>
      <c r="K893" t="s">
        <v>74</v>
      </c>
      <c r="L893" t="s">
        <v>74</v>
      </c>
      <c r="M893" t="s">
        <v>78</v>
      </c>
      <c r="N893" t="s">
        <v>79</v>
      </c>
      <c r="O893" t="s">
        <v>74</v>
      </c>
      <c r="P893" t="s">
        <v>74</v>
      </c>
      <c r="Q893" t="s">
        <v>74</v>
      </c>
      <c r="R893" t="s">
        <v>74</v>
      </c>
      <c r="S893" t="s">
        <v>74</v>
      </c>
      <c r="T893" t="s">
        <v>17378</v>
      </c>
      <c r="U893" t="s">
        <v>17379</v>
      </c>
      <c r="V893" t="s">
        <v>17380</v>
      </c>
      <c r="W893" t="s">
        <v>17381</v>
      </c>
      <c r="X893" t="s">
        <v>17382</v>
      </c>
      <c r="Y893" t="s">
        <v>17383</v>
      </c>
      <c r="Z893" t="s">
        <v>17384</v>
      </c>
      <c r="AA893" t="s">
        <v>17385</v>
      </c>
      <c r="AB893" t="s">
        <v>17386</v>
      </c>
      <c r="AC893" t="s">
        <v>17387</v>
      </c>
      <c r="AD893" t="s">
        <v>17388</v>
      </c>
      <c r="AE893" t="s">
        <v>17389</v>
      </c>
      <c r="AF893" t="s">
        <v>74</v>
      </c>
      <c r="AG893">
        <v>69</v>
      </c>
      <c r="AH893">
        <v>11</v>
      </c>
      <c r="AI893">
        <v>12</v>
      </c>
      <c r="AJ893">
        <v>3</v>
      </c>
      <c r="AK893">
        <v>14</v>
      </c>
      <c r="AL893" t="s">
        <v>4638</v>
      </c>
      <c r="AM893" t="s">
        <v>1744</v>
      </c>
      <c r="AN893" t="s">
        <v>4639</v>
      </c>
      <c r="AO893" t="s">
        <v>17367</v>
      </c>
      <c r="AP893" t="s">
        <v>17368</v>
      </c>
      <c r="AQ893" t="s">
        <v>74</v>
      </c>
      <c r="AR893" t="s">
        <v>17369</v>
      </c>
      <c r="AS893" t="s">
        <v>17370</v>
      </c>
      <c r="AT893" t="s">
        <v>5993</v>
      </c>
      <c r="AU893">
        <v>2020</v>
      </c>
      <c r="AV893">
        <v>61</v>
      </c>
      <c r="AW893">
        <v>81</v>
      </c>
      <c r="AX893" t="s">
        <v>74</v>
      </c>
      <c r="AY893" t="s">
        <v>74</v>
      </c>
      <c r="AZ893" t="s">
        <v>74</v>
      </c>
      <c r="BA893" t="s">
        <v>74</v>
      </c>
      <c r="BB893">
        <v>14</v>
      </c>
      <c r="BC893">
        <v>24</v>
      </c>
      <c r="BD893" t="s">
        <v>17390</v>
      </c>
      <c r="BE893" t="s">
        <v>17391</v>
      </c>
      <c r="BF893" t="str">
        <f>HYPERLINK("http://dx.doi.org/10.1017/aog.2020.4","http://dx.doi.org/10.1017/aog.2020.4")</f>
        <v>http://dx.doi.org/10.1017/aog.2020.4</v>
      </c>
      <c r="BG893" t="s">
        <v>74</v>
      </c>
      <c r="BH893" t="s">
        <v>74</v>
      </c>
      <c r="BI893">
        <v>11</v>
      </c>
      <c r="BJ893" t="s">
        <v>694</v>
      </c>
      <c r="BK893" t="s">
        <v>102</v>
      </c>
      <c r="BL893" t="s">
        <v>695</v>
      </c>
      <c r="BM893" t="s">
        <v>17373</v>
      </c>
      <c r="BN893" t="s">
        <v>74</v>
      </c>
      <c r="BO893" t="s">
        <v>105</v>
      </c>
      <c r="BP893" t="s">
        <v>74</v>
      </c>
      <c r="BQ893" t="s">
        <v>74</v>
      </c>
      <c r="BR893" t="s">
        <v>106</v>
      </c>
      <c r="BS893" t="s">
        <v>17392</v>
      </c>
      <c r="BT893" t="str">
        <f>HYPERLINK("https%3A%2F%2Fwww.webofscience.com%2Fwos%2Fwoscc%2Ffull-record%2FWOS:000565350800002","View Full Record in Web of Science")</f>
        <v>View Full Record in Web of Science</v>
      </c>
    </row>
    <row r="894" spans="1:72" x14ac:dyDescent="0.15">
      <c r="A894" t="s">
        <v>72</v>
      </c>
      <c r="B894" t="s">
        <v>17393</v>
      </c>
      <c r="C894" t="s">
        <v>74</v>
      </c>
      <c r="D894" t="s">
        <v>74</v>
      </c>
      <c r="E894" t="s">
        <v>74</v>
      </c>
      <c r="F894" t="s">
        <v>17394</v>
      </c>
      <c r="G894" t="s">
        <v>74</v>
      </c>
      <c r="H894" t="s">
        <v>74</v>
      </c>
      <c r="I894" t="s">
        <v>17395</v>
      </c>
      <c r="J894" t="s">
        <v>17356</v>
      </c>
      <c r="K894" t="s">
        <v>74</v>
      </c>
      <c r="L894" t="s">
        <v>74</v>
      </c>
      <c r="M894" t="s">
        <v>78</v>
      </c>
      <c r="N894" t="s">
        <v>79</v>
      </c>
      <c r="O894" t="s">
        <v>74</v>
      </c>
      <c r="P894" t="s">
        <v>74</v>
      </c>
      <c r="Q894" t="s">
        <v>74</v>
      </c>
      <c r="R894" t="s">
        <v>74</v>
      </c>
      <c r="S894" t="s">
        <v>74</v>
      </c>
      <c r="T894" t="s">
        <v>17396</v>
      </c>
      <c r="U894" t="s">
        <v>17397</v>
      </c>
      <c r="V894" t="s">
        <v>17398</v>
      </c>
      <c r="W894" t="s">
        <v>17399</v>
      </c>
      <c r="X894" t="s">
        <v>17400</v>
      </c>
      <c r="Y894" t="s">
        <v>17401</v>
      </c>
      <c r="Z894" t="s">
        <v>17402</v>
      </c>
      <c r="AA894" t="s">
        <v>17403</v>
      </c>
      <c r="AB894" t="s">
        <v>17404</v>
      </c>
      <c r="AC894" t="s">
        <v>17405</v>
      </c>
      <c r="AD894" t="s">
        <v>992</v>
      </c>
      <c r="AE894" t="s">
        <v>17406</v>
      </c>
      <c r="AF894" t="s">
        <v>74</v>
      </c>
      <c r="AG894">
        <v>40</v>
      </c>
      <c r="AH894">
        <v>20</v>
      </c>
      <c r="AI894">
        <v>21</v>
      </c>
      <c r="AJ894">
        <v>3</v>
      </c>
      <c r="AK894">
        <v>11</v>
      </c>
      <c r="AL894" t="s">
        <v>4638</v>
      </c>
      <c r="AM894" t="s">
        <v>1744</v>
      </c>
      <c r="AN894" t="s">
        <v>4639</v>
      </c>
      <c r="AO894" t="s">
        <v>17367</v>
      </c>
      <c r="AP894" t="s">
        <v>17368</v>
      </c>
      <c r="AQ894" t="s">
        <v>74</v>
      </c>
      <c r="AR894" t="s">
        <v>17369</v>
      </c>
      <c r="AS894" t="s">
        <v>17370</v>
      </c>
      <c r="AT894" t="s">
        <v>5993</v>
      </c>
      <c r="AU894">
        <v>2020</v>
      </c>
      <c r="AV894">
        <v>61</v>
      </c>
      <c r="AW894">
        <v>81</v>
      </c>
      <c r="AX894" t="s">
        <v>74</v>
      </c>
      <c r="AY894" t="s">
        <v>74</v>
      </c>
      <c r="AZ894" t="s">
        <v>74</v>
      </c>
      <c r="BA894" t="s">
        <v>74</v>
      </c>
      <c r="BB894">
        <v>35</v>
      </c>
      <c r="BC894">
        <v>45</v>
      </c>
      <c r="BD894" t="s">
        <v>17407</v>
      </c>
      <c r="BE894" t="s">
        <v>17408</v>
      </c>
      <c r="BF894" t="str">
        <f>HYPERLINK("http://dx.doi.org/10.1017/aog.2020.29","http://dx.doi.org/10.1017/aog.2020.29")</f>
        <v>http://dx.doi.org/10.1017/aog.2020.29</v>
      </c>
      <c r="BG894" t="s">
        <v>74</v>
      </c>
      <c r="BH894" t="s">
        <v>74</v>
      </c>
      <c r="BI894">
        <v>11</v>
      </c>
      <c r="BJ894" t="s">
        <v>694</v>
      </c>
      <c r="BK894" t="s">
        <v>102</v>
      </c>
      <c r="BL894" t="s">
        <v>695</v>
      </c>
      <c r="BM894" t="s">
        <v>17373</v>
      </c>
      <c r="BN894" t="s">
        <v>74</v>
      </c>
      <c r="BO894" t="s">
        <v>1128</v>
      </c>
      <c r="BP894" t="s">
        <v>74</v>
      </c>
      <c r="BQ894" t="s">
        <v>74</v>
      </c>
      <c r="BR894" t="s">
        <v>106</v>
      </c>
      <c r="BS894" t="s">
        <v>17409</v>
      </c>
      <c r="BT894" t="str">
        <f>HYPERLINK("https%3A%2F%2Fwww.webofscience.com%2Fwos%2Fwoscc%2Ffull-record%2FWOS:000565350800004","View Full Record in Web of Science")</f>
        <v>View Full Record in Web of Science</v>
      </c>
    </row>
    <row r="895" spans="1:72" x14ac:dyDescent="0.15">
      <c r="A895" t="s">
        <v>72</v>
      </c>
      <c r="B895" t="s">
        <v>17410</v>
      </c>
      <c r="C895" t="s">
        <v>74</v>
      </c>
      <c r="D895" t="s">
        <v>74</v>
      </c>
      <c r="E895" t="s">
        <v>74</v>
      </c>
      <c r="F895" t="s">
        <v>17411</v>
      </c>
      <c r="G895" t="s">
        <v>74</v>
      </c>
      <c r="H895" t="s">
        <v>74</v>
      </c>
      <c r="I895" t="s">
        <v>17412</v>
      </c>
      <c r="J895" t="s">
        <v>17356</v>
      </c>
      <c r="K895" t="s">
        <v>74</v>
      </c>
      <c r="L895" t="s">
        <v>74</v>
      </c>
      <c r="M895" t="s">
        <v>78</v>
      </c>
      <c r="N895" t="s">
        <v>79</v>
      </c>
      <c r="O895" t="s">
        <v>74</v>
      </c>
      <c r="P895" t="s">
        <v>74</v>
      </c>
      <c r="Q895" t="s">
        <v>74</v>
      </c>
      <c r="R895" t="s">
        <v>74</v>
      </c>
      <c r="S895" t="s">
        <v>74</v>
      </c>
      <c r="T895" t="s">
        <v>17413</v>
      </c>
      <c r="U895" t="s">
        <v>17414</v>
      </c>
      <c r="V895" t="s">
        <v>17415</v>
      </c>
      <c r="W895" t="s">
        <v>17416</v>
      </c>
      <c r="X895" t="s">
        <v>17417</v>
      </c>
      <c r="Y895" t="s">
        <v>17418</v>
      </c>
      <c r="Z895" t="s">
        <v>17419</v>
      </c>
      <c r="AA895" t="s">
        <v>17420</v>
      </c>
      <c r="AB895" t="s">
        <v>74</v>
      </c>
      <c r="AC895" t="s">
        <v>17421</v>
      </c>
      <c r="AD895" t="s">
        <v>17422</v>
      </c>
      <c r="AE895" t="s">
        <v>17423</v>
      </c>
      <c r="AF895" t="s">
        <v>74</v>
      </c>
      <c r="AG895">
        <v>34</v>
      </c>
      <c r="AH895">
        <v>31</v>
      </c>
      <c r="AI895">
        <v>33</v>
      </c>
      <c r="AJ895">
        <v>2</v>
      </c>
      <c r="AK895">
        <v>7</v>
      </c>
      <c r="AL895" t="s">
        <v>4638</v>
      </c>
      <c r="AM895" t="s">
        <v>1744</v>
      </c>
      <c r="AN895" t="s">
        <v>4639</v>
      </c>
      <c r="AO895" t="s">
        <v>17367</v>
      </c>
      <c r="AP895" t="s">
        <v>17368</v>
      </c>
      <c r="AQ895" t="s">
        <v>74</v>
      </c>
      <c r="AR895" t="s">
        <v>17369</v>
      </c>
      <c r="AS895" t="s">
        <v>17370</v>
      </c>
      <c r="AT895" t="s">
        <v>5993</v>
      </c>
      <c r="AU895">
        <v>2020</v>
      </c>
      <c r="AV895">
        <v>61</v>
      </c>
      <c r="AW895">
        <v>81</v>
      </c>
      <c r="AX895" t="s">
        <v>74</v>
      </c>
      <c r="AY895" t="s">
        <v>74</v>
      </c>
      <c r="AZ895" t="s">
        <v>74</v>
      </c>
      <c r="BA895" t="s">
        <v>74</v>
      </c>
      <c r="BB895">
        <v>58</v>
      </c>
      <c r="BC895">
        <v>67</v>
      </c>
      <c r="BD895" t="s">
        <v>17424</v>
      </c>
      <c r="BE895" t="s">
        <v>17425</v>
      </c>
      <c r="BF895" t="str">
        <f>HYPERLINK("http://dx.doi.org/10.1017/aog.2019.37","http://dx.doi.org/10.1017/aog.2019.37")</f>
        <v>http://dx.doi.org/10.1017/aog.2019.37</v>
      </c>
      <c r="BG895" t="s">
        <v>74</v>
      </c>
      <c r="BH895" t="s">
        <v>74</v>
      </c>
      <c r="BI895">
        <v>10</v>
      </c>
      <c r="BJ895" t="s">
        <v>694</v>
      </c>
      <c r="BK895" t="s">
        <v>102</v>
      </c>
      <c r="BL895" t="s">
        <v>695</v>
      </c>
      <c r="BM895" t="s">
        <v>17373</v>
      </c>
      <c r="BN895" t="s">
        <v>74</v>
      </c>
      <c r="BO895" t="s">
        <v>161</v>
      </c>
      <c r="BP895" t="s">
        <v>74</v>
      </c>
      <c r="BQ895" t="s">
        <v>74</v>
      </c>
      <c r="BR895" t="s">
        <v>106</v>
      </c>
      <c r="BS895" t="s">
        <v>17426</v>
      </c>
      <c r="BT895" t="str">
        <f>HYPERLINK("https%3A%2F%2Fwww.webofscience.com%2Fwos%2Fwoscc%2Ffull-record%2FWOS:000565350800006","View Full Record in Web of Science")</f>
        <v>View Full Record in Web of Science</v>
      </c>
    </row>
    <row r="896" spans="1:72" x14ac:dyDescent="0.15">
      <c r="A896" t="s">
        <v>72</v>
      </c>
      <c r="B896" t="s">
        <v>17427</v>
      </c>
      <c r="C896" t="s">
        <v>74</v>
      </c>
      <c r="D896" t="s">
        <v>74</v>
      </c>
      <c r="E896" t="s">
        <v>74</v>
      </c>
      <c r="F896" t="s">
        <v>17428</v>
      </c>
      <c r="G896" t="s">
        <v>74</v>
      </c>
      <c r="H896" t="s">
        <v>74</v>
      </c>
      <c r="I896" t="s">
        <v>17429</v>
      </c>
      <c r="J896" t="s">
        <v>17356</v>
      </c>
      <c r="K896" t="s">
        <v>74</v>
      </c>
      <c r="L896" t="s">
        <v>74</v>
      </c>
      <c r="M896" t="s">
        <v>78</v>
      </c>
      <c r="N896" t="s">
        <v>79</v>
      </c>
      <c r="O896" t="s">
        <v>74</v>
      </c>
      <c r="P896" t="s">
        <v>74</v>
      </c>
      <c r="Q896" t="s">
        <v>74</v>
      </c>
      <c r="R896" t="s">
        <v>74</v>
      </c>
      <c r="S896" t="s">
        <v>74</v>
      </c>
      <c r="T896" t="s">
        <v>17430</v>
      </c>
      <c r="U896" t="s">
        <v>17431</v>
      </c>
      <c r="V896" t="s">
        <v>17432</v>
      </c>
      <c r="W896" t="s">
        <v>17433</v>
      </c>
      <c r="X896" t="s">
        <v>17434</v>
      </c>
      <c r="Y896" t="s">
        <v>17435</v>
      </c>
      <c r="Z896" t="s">
        <v>17436</v>
      </c>
      <c r="AA896" t="s">
        <v>74</v>
      </c>
      <c r="AB896" t="s">
        <v>17437</v>
      </c>
      <c r="AC896" t="s">
        <v>17438</v>
      </c>
      <c r="AD896" t="s">
        <v>17439</v>
      </c>
      <c r="AE896" t="s">
        <v>17440</v>
      </c>
      <c r="AF896" t="s">
        <v>74</v>
      </c>
      <c r="AG896">
        <v>39</v>
      </c>
      <c r="AH896">
        <v>22</v>
      </c>
      <c r="AI896">
        <v>23</v>
      </c>
      <c r="AJ896">
        <v>0</v>
      </c>
      <c r="AK896">
        <v>1</v>
      </c>
      <c r="AL896" t="s">
        <v>4638</v>
      </c>
      <c r="AM896" t="s">
        <v>1744</v>
      </c>
      <c r="AN896" t="s">
        <v>4639</v>
      </c>
      <c r="AO896" t="s">
        <v>17367</v>
      </c>
      <c r="AP896" t="s">
        <v>17368</v>
      </c>
      <c r="AQ896" t="s">
        <v>74</v>
      </c>
      <c r="AR896" t="s">
        <v>17369</v>
      </c>
      <c r="AS896" t="s">
        <v>17370</v>
      </c>
      <c r="AT896" t="s">
        <v>5993</v>
      </c>
      <c r="AU896">
        <v>2020</v>
      </c>
      <c r="AV896">
        <v>61</v>
      </c>
      <c r="AW896">
        <v>81</v>
      </c>
      <c r="AX896" t="s">
        <v>74</v>
      </c>
      <c r="AY896" t="s">
        <v>74</v>
      </c>
      <c r="AZ896" t="s">
        <v>74</v>
      </c>
      <c r="BA896" t="s">
        <v>74</v>
      </c>
      <c r="BB896">
        <v>74</v>
      </c>
      <c r="BC896">
        <v>83</v>
      </c>
      <c r="BD896" t="s">
        <v>17441</v>
      </c>
      <c r="BE896" t="s">
        <v>17442</v>
      </c>
      <c r="BF896" t="str">
        <f>HYPERLINK("http://dx.doi.org/10.1017/aog.2020.6","http://dx.doi.org/10.1017/aog.2020.6")</f>
        <v>http://dx.doi.org/10.1017/aog.2020.6</v>
      </c>
      <c r="BG896" t="s">
        <v>74</v>
      </c>
      <c r="BH896" t="s">
        <v>74</v>
      </c>
      <c r="BI896">
        <v>10</v>
      </c>
      <c r="BJ896" t="s">
        <v>694</v>
      </c>
      <c r="BK896" t="s">
        <v>102</v>
      </c>
      <c r="BL896" t="s">
        <v>695</v>
      </c>
      <c r="BM896" t="s">
        <v>17373</v>
      </c>
      <c r="BN896" t="s">
        <v>74</v>
      </c>
      <c r="BO896" t="s">
        <v>1778</v>
      </c>
      <c r="BP896" t="s">
        <v>74</v>
      </c>
      <c r="BQ896" t="s">
        <v>74</v>
      </c>
      <c r="BR896" t="s">
        <v>106</v>
      </c>
      <c r="BS896" t="s">
        <v>17443</v>
      </c>
      <c r="BT896" t="str">
        <f>HYPERLINK("https%3A%2F%2Fwww.webofscience.com%2Fwos%2Fwoscc%2Ffull-record%2FWOS:000565350800008","View Full Record in Web of Science")</f>
        <v>View Full Record in Web of Science</v>
      </c>
    </row>
    <row r="897" spans="1:72" x14ac:dyDescent="0.15">
      <c r="A897" t="s">
        <v>72</v>
      </c>
      <c r="B897" t="s">
        <v>17444</v>
      </c>
      <c r="C897" t="s">
        <v>74</v>
      </c>
      <c r="D897" t="s">
        <v>74</v>
      </c>
      <c r="E897" t="s">
        <v>74</v>
      </c>
      <c r="F897" t="s">
        <v>17445</v>
      </c>
      <c r="G897" t="s">
        <v>74</v>
      </c>
      <c r="H897" t="s">
        <v>74</v>
      </c>
      <c r="I897" t="s">
        <v>17446</v>
      </c>
      <c r="J897" t="s">
        <v>17356</v>
      </c>
      <c r="K897" t="s">
        <v>74</v>
      </c>
      <c r="L897" t="s">
        <v>74</v>
      </c>
      <c r="M897" t="s">
        <v>78</v>
      </c>
      <c r="N897" t="s">
        <v>79</v>
      </c>
      <c r="O897" t="s">
        <v>74</v>
      </c>
      <c r="P897" t="s">
        <v>74</v>
      </c>
      <c r="Q897" t="s">
        <v>74</v>
      </c>
      <c r="R897" t="s">
        <v>74</v>
      </c>
      <c r="S897" t="s">
        <v>74</v>
      </c>
      <c r="T897" t="s">
        <v>17447</v>
      </c>
      <c r="U897" t="s">
        <v>17448</v>
      </c>
      <c r="V897" t="s">
        <v>17449</v>
      </c>
      <c r="W897" t="s">
        <v>17450</v>
      </c>
      <c r="X897" t="s">
        <v>17451</v>
      </c>
      <c r="Y897" t="s">
        <v>17452</v>
      </c>
      <c r="Z897" t="s">
        <v>17453</v>
      </c>
      <c r="AA897" t="s">
        <v>74</v>
      </c>
      <c r="AB897" t="s">
        <v>74</v>
      </c>
      <c r="AC897" t="s">
        <v>17454</v>
      </c>
      <c r="AD897" t="s">
        <v>17455</v>
      </c>
      <c r="AE897" t="s">
        <v>17456</v>
      </c>
      <c r="AF897" t="s">
        <v>74</v>
      </c>
      <c r="AG897">
        <v>16</v>
      </c>
      <c r="AH897">
        <v>3</v>
      </c>
      <c r="AI897">
        <v>3</v>
      </c>
      <c r="AJ897">
        <v>0</v>
      </c>
      <c r="AK897">
        <v>2</v>
      </c>
      <c r="AL897" t="s">
        <v>4638</v>
      </c>
      <c r="AM897" t="s">
        <v>1744</v>
      </c>
      <c r="AN897" t="s">
        <v>4639</v>
      </c>
      <c r="AO897" t="s">
        <v>17367</v>
      </c>
      <c r="AP897" t="s">
        <v>17368</v>
      </c>
      <c r="AQ897" t="s">
        <v>74</v>
      </c>
      <c r="AR897" t="s">
        <v>17369</v>
      </c>
      <c r="AS897" t="s">
        <v>17370</v>
      </c>
      <c r="AT897" t="s">
        <v>5993</v>
      </c>
      <c r="AU897">
        <v>2020</v>
      </c>
      <c r="AV897">
        <v>61</v>
      </c>
      <c r="AW897">
        <v>81</v>
      </c>
      <c r="AX897" t="s">
        <v>74</v>
      </c>
      <c r="AY897" t="s">
        <v>74</v>
      </c>
      <c r="AZ897" t="s">
        <v>74</v>
      </c>
      <c r="BA897" t="s">
        <v>74</v>
      </c>
      <c r="BB897">
        <v>108</v>
      </c>
      <c r="BC897">
        <v>113</v>
      </c>
      <c r="BD897" t="s">
        <v>17457</v>
      </c>
      <c r="BE897" t="s">
        <v>17458</v>
      </c>
      <c r="BF897" t="str">
        <f>HYPERLINK("http://dx.doi.org/10.1017/aog.2020.56","http://dx.doi.org/10.1017/aog.2020.56")</f>
        <v>http://dx.doi.org/10.1017/aog.2020.56</v>
      </c>
      <c r="BG897" t="s">
        <v>74</v>
      </c>
      <c r="BH897" t="s">
        <v>74</v>
      </c>
      <c r="BI897">
        <v>6</v>
      </c>
      <c r="BJ897" t="s">
        <v>694</v>
      </c>
      <c r="BK897" t="s">
        <v>102</v>
      </c>
      <c r="BL897" t="s">
        <v>695</v>
      </c>
      <c r="BM897" t="s">
        <v>17373</v>
      </c>
      <c r="BN897" t="s">
        <v>74</v>
      </c>
      <c r="BO897" t="s">
        <v>2993</v>
      </c>
      <c r="BP897" t="s">
        <v>74</v>
      </c>
      <c r="BQ897" t="s">
        <v>74</v>
      </c>
      <c r="BR897" t="s">
        <v>106</v>
      </c>
      <c r="BS897" t="s">
        <v>17459</v>
      </c>
      <c r="BT897" t="str">
        <f>HYPERLINK("https%3A%2F%2Fwww.webofscience.com%2Fwos%2Fwoscc%2Ffull-record%2FWOS:000565350800012","View Full Record in Web of Science")</f>
        <v>View Full Record in Web of Science</v>
      </c>
    </row>
    <row r="898" spans="1:72" x14ac:dyDescent="0.15">
      <c r="A898" t="s">
        <v>72</v>
      </c>
      <c r="B898" t="s">
        <v>17460</v>
      </c>
      <c r="C898" t="s">
        <v>74</v>
      </c>
      <c r="D898" t="s">
        <v>74</v>
      </c>
      <c r="E898" t="s">
        <v>74</v>
      </c>
      <c r="F898" t="s">
        <v>17461</v>
      </c>
      <c r="G898" t="s">
        <v>74</v>
      </c>
      <c r="H898" t="s">
        <v>74</v>
      </c>
      <c r="I898" t="s">
        <v>17462</v>
      </c>
      <c r="J898" t="s">
        <v>17356</v>
      </c>
      <c r="K898" t="s">
        <v>74</v>
      </c>
      <c r="L898" t="s">
        <v>74</v>
      </c>
      <c r="M898" t="s">
        <v>78</v>
      </c>
      <c r="N898" t="s">
        <v>79</v>
      </c>
      <c r="O898" t="s">
        <v>74</v>
      </c>
      <c r="P898" t="s">
        <v>74</v>
      </c>
      <c r="Q898" t="s">
        <v>74</v>
      </c>
      <c r="R898" t="s">
        <v>74</v>
      </c>
      <c r="S898" t="s">
        <v>74</v>
      </c>
      <c r="T898" t="s">
        <v>17463</v>
      </c>
      <c r="U898" t="s">
        <v>17464</v>
      </c>
      <c r="V898" t="s">
        <v>17465</v>
      </c>
      <c r="W898" t="s">
        <v>17466</v>
      </c>
      <c r="X898" t="s">
        <v>3708</v>
      </c>
      <c r="Y898" t="s">
        <v>17467</v>
      </c>
      <c r="Z898" t="s">
        <v>17468</v>
      </c>
      <c r="AA898" t="s">
        <v>74</v>
      </c>
      <c r="AB898" t="s">
        <v>74</v>
      </c>
      <c r="AC898" t="s">
        <v>17469</v>
      </c>
      <c r="AD898" t="s">
        <v>17470</v>
      </c>
      <c r="AE898" t="s">
        <v>17471</v>
      </c>
      <c r="AF898" t="s">
        <v>74</v>
      </c>
      <c r="AG898">
        <v>38</v>
      </c>
      <c r="AH898">
        <v>8</v>
      </c>
      <c r="AI898">
        <v>8</v>
      </c>
      <c r="AJ898">
        <v>0</v>
      </c>
      <c r="AK898">
        <v>3</v>
      </c>
      <c r="AL898" t="s">
        <v>4638</v>
      </c>
      <c r="AM898" t="s">
        <v>1744</v>
      </c>
      <c r="AN898" t="s">
        <v>4639</v>
      </c>
      <c r="AO898" t="s">
        <v>17367</v>
      </c>
      <c r="AP898" t="s">
        <v>17368</v>
      </c>
      <c r="AQ898" t="s">
        <v>74</v>
      </c>
      <c r="AR898" t="s">
        <v>17369</v>
      </c>
      <c r="AS898" t="s">
        <v>17370</v>
      </c>
      <c r="AT898" t="s">
        <v>5993</v>
      </c>
      <c r="AU898">
        <v>2020</v>
      </c>
      <c r="AV898">
        <v>61</v>
      </c>
      <c r="AW898">
        <v>81</v>
      </c>
      <c r="AX898" t="s">
        <v>74</v>
      </c>
      <c r="AY898" t="s">
        <v>74</v>
      </c>
      <c r="AZ898" t="s">
        <v>74</v>
      </c>
      <c r="BA898" t="s">
        <v>74</v>
      </c>
      <c r="BB898">
        <v>154</v>
      </c>
      <c r="BC898">
        <v>161</v>
      </c>
      <c r="BD898" t="s">
        <v>17472</v>
      </c>
      <c r="BE898" t="s">
        <v>17473</v>
      </c>
      <c r="BF898" t="str">
        <f>HYPERLINK("http://dx.doi.org/10.1017/aog.2020.33","http://dx.doi.org/10.1017/aog.2020.33")</f>
        <v>http://dx.doi.org/10.1017/aog.2020.33</v>
      </c>
      <c r="BG898" t="s">
        <v>74</v>
      </c>
      <c r="BH898" t="s">
        <v>74</v>
      </c>
      <c r="BI898">
        <v>8</v>
      </c>
      <c r="BJ898" t="s">
        <v>694</v>
      </c>
      <c r="BK898" t="s">
        <v>102</v>
      </c>
      <c r="BL898" t="s">
        <v>695</v>
      </c>
      <c r="BM898" t="s">
        <v>17373</v>
      </c>
      <c r="BN898" t="s">
        <v>74</v>
      </c>
      <c r="BO898" t="s">
        <v>2071</v>
      </c>
      <c r="BP898" t="s">
        <v>74</v>
      </c>
      <c r="BQ898" t="s">
        <v>74</v>
      </c>
      <c r="BR898" t="s">
        <v>106</v>
      </c>
      <c r="BS898" t="s">
        <v>17474</v>
      </c>
      <c r="BT898" t="str">
        <f>HYPERLINK("https%3A%2F%2Fwww.webofscience.com%2Fwos%2Fwoscc%2Ffull-record%2FWOS:000565350800017","View Full Record in Web of Science")</f>
        <v>View Full Record in Web of Science</v>
      </c>
    </row>
    <row r="899" spans="1:72" x14ac:dyDescent="0.15">
      <c r="A899" t="s">
        <v>72</v>
      </c>
      <c r="B899" t="s">
        <v>17475</v>
      </c>
      <c r="C899" t="s">
        <v>74</v>
      </c>
      <c r="D899" t="s">
        <v>74</v>
      </c>
      <c r="E899" t="s">
        <v>74</v>
      </c>
      <c r="F899" t="s">
        <v>17476</v>
      </c>
      <c r="G899" t="s">
        <v>74</v>
      </c>
      <c r="H899" t="s">
        <v>74</v>
      </c>
      <c r="I899" t="s">
        <v>17477</v>
      </c>
      <c r="J899" t="s">
        <v>17356</v>
      </c>
      <c r="K899" t="s">
        <v>74</v>
      </c>
      <c r="L899" t="s">
        <v>74</v>
      </c>
      <c r="M899" t="s">
        <v>78</v>
      </c>
      <c r="N899" t="s">
        <v>79</v>
      </c>
      <c r="O899" t="s">
        <v>74</v>
      </c>
      <c r="P899" t="s">
        <v>74</v>
      </c>
      <c r="Q899" t="s">
        <v>74</v>
      </c>
      <c r="R899" t="s">
        <v>74</v>
      </c>
      <c r="S899" t="s">
        <v>74</v>
      </c>
      <c r="T899" t="s">
        <v>17478</v>
      </c>
      <c r="U899" t="s">
        <v>17479</v>
      </c>
      <c r="V899" t="s">
        <v>17480</v>
      </c>
      <c r="W899" t="s">
        <v>17481</v>
      </c>
      <c r="X899" t="s">
        <v>5895</v>
      </c>
      <c r="Y899" t="s">
        <v>17482</v>
      </c>
      <c r="Z899" t="s">
        <v>17483</v>
      </c>
      <c r="AA899" t="s">
        <v>17484</v>
      </c>
      <c r="AB899" t="s">
        <v>17485</v>
      </c>
      <c r="AC899" t="s">
        <v>17486</v>
      </c>
      <c r="AD899" t="s">
        <v>17487</v>
      </c>
      <c r="AE899" t="s">
        <v>17488</v>
      </c>
      <c r="AF899" t="s">
        <v>74</v>
      </c>
      <c r="AG899">
        <v>56</v>
      </c>
      <c r="AH899">
        <v>9</v>
      </c>
      <c r="AI899">
        <v>10</v>
      </c>
      <c r="AJ899">
        <v>5</v>
      </c>
      <c r="AK899">
        <v>9</v>
      </c>
      <c r="AL899" t="s">
        <v>4638</v>
      </c>
      <c r="AM899" t="s">
        <v>1744</v>
      </c>
      <c r="AN899" t="s">
        <v>4639</v>
      </c>
      <c r="AO899" t="s">
        <v>17367</v>
      </c>
      <c r="AP899" t="s">
        <v>17368</v>
      </c>
      <c r="AQ899" t="s">
        <v>74</v>
      </c>
      <c r="AR899" t="s">
        <v>17369</v>
      </c>
      <c r="AS899" t="s">
        <v>17370</v>
      </c>
      <c r="AT899" t="s">
        <v>5993</v>
      </c>
      <c r="AU899">
        <v>2020</v>
      </c>
      <c r="AV899">
        <v>61</v>
      </c>
      <c r="AW899">
        <v>81</v>
      </c>
      <c r="AX899" t="s">
        <v>74</v>
      </c>
      <c r="AY899" t="s">
        <v>74</v>
      </c>
      <c r="AZ899" t="s">
        <v>74</v>
      </c>
      <c r="BA899" t="s">
        <v>74</v>
      </c>
      <c r="BB899">
        <v>162</v>
      </c>
      <c r="BC899">
        <v>175</v>
      </c>
      <c r="BD899" t="s">
        <v>17489</v>
      </c>
      <c r="BE899" t="s">
        <v>17490</v>
      </c>
      <c r="BF899" t="str">
        <f>HYPERLINK("http://dx.doi.org/10.1017/aog.2020.47","http://dx.doi.org/10.1017/aog.2020.47")</f>
        <v>http://dx.doi.org/10.1017/aog.2020.47</v>
      </c>
      <c r="BG899" t="s">
        <v>74</v>
      </c>
      <c r="BH899" t="s">
        <v>74</v>
      </c>
      <c r="BI899">
        <v>14</v>
      </c>
      <c r="BJ899" t="s">
        <v>694</v>
      </c>
      <c r="BK899" t="s">
        <v>102</v>
      </c>
      <c r="BL899" t="s">
        <v>695</v>
      </c>
      <c r="BM899" t="s">
        <v>17373</v>
      </c>
      <c r="BN899" t="s">
        <v>74</v>
      </c>
      <c r="BO899" t="s">
        <v>1778</v>
      </c>
      <c r="BP899" t="s">
        <v>74</v>
      </c>
      <c r="BQ899" t="s">
        <v>74</v>
      </c>
      <c r="BR899" t="s">
        <v>106</v>
      </c>
      <c r="BS899" t="s">
        <v>17491</v>
      </c>
      <c r="BT899" t="str">
        <f>HYPERLINK("https%3A%2F%2Fwww.webofscience.com%2Fwos%2Fwoscc%2Ffull-record%2FWOS:000565350800018","View Full Record in Web of Science")</f>
        <v>View Full Record in Web of Science</v>
      </c>
    </row>
    <row r="900" spans="1:72" x14ac:dyDescent="0.15">
      <c r="A900" t="s">
        <v>72</v>
      </c>
      <c r="B900" t="s">
        <v>17492</v>
      </c>
      <c r="C900" t="s">
        <v>74</v>
      </c>
      <c r="D900" t="s">
        <v>74</v>
      </c>
      <c r="E900" t="s">
        <v>74</v>
      </c>
      <c r="F900" t="s">
        <v>17493</v>
      </c>
      <c r="G900" t="s">
        <v>74</v>
      </c>
      <c r="H900" t="s">
        <v>74</v>
      </c>
      <c r="I900" t="s">
        <v>17494</v>
      </c>
      <c r="J900" t="s">
        <v>17356</v>
      </c>
      <c r="K900" t="s">
        <v>74</v>
      </c>
      <c r="L900" t="s">
        <v>74</v>
      </c>
      <c r="M900" t="s">
        <v>78</v>
      </c>
      <c r="N900" t="s">
        <v>79</v>
      </c>
      <c r="O900" t="s">
        <v>74</v>
      </c>
      <c r="P900" t="s">
        <v>74</v>
      </c>
      <c r="Q900" t="s">
        <v>74</v>
      </c>
      <c r="R900" t="s">
        <v>74</v>
      </c>
      <c r="S900" t="s">
        <v>74</v>
      </c>
      <c r="T900" t="s">
        <v>17495</v>
      </c>
      <c r="U900" t="s">
        <v>17496</v>
      </c>
      <c r="V900" t="s">
        <v>17497</v>
      </c>
      <c r="W900" t="s">
        <v>17498</v>
      </c>
      <c r="X900" t="s">
        <v>17499</v>
      </c>
      <c r="Y900" t="s">
        <v>17500</v>
      </c>
      <c r="Z900" t="s">
        <v>17501</v>
      </c>
      <c r="AA900" t="s">
        <v>17502</v>
      </c>
      <c r="AB900" t="s">
        <v>17503</v>
      </c>
      <c r="AC900" t="s">
        <v>17504</v>
      </c>
      <c r="AD900" t="s">
        <v>17505</v>
      </c>
      <c r="AE900" t="s">
        <v>17506</v>
      </c>
      <c r="AF900" t="s">
        <v>74</v>
      </c>
      <c r="AG900">
        <v>60</v>
      </c>
      <c r="AH900">
        <v>9</v>
      </c>
      <c r="AI900">
        <v>11</v>
      </c>
      <c r="AJ900">
        <v>1</v>
      </c>
      <c r="AK900">
        <v>6</v>
      </c>
      <c r="AL900" t="s">
        <v>4638</v>
      </c>
      <c r="AM900" t="s">
        <v>1744</v>
      </c>
      <c r="AN900" t="s">
        <v>4639</v>
      </c>
      <c r="AO900" t="s">
        <v>17367</v>
      </c>
      <c r="AP900" t="s">
        <v>17368</v>
      </c>
      <c r="AQ900" t="s">
        <v>74</v>
      </c>
      <c r="AR900" t="s">
        <v>17369</v>
      </c>
      <c r="AS900" t="s">
        <v>17370</v>
      </c>
      <c r="AT900" t="s">
        <v>5993</v>
      </c>
      <c r="AU900">
        <v>2020</v>
      </c>
      <c r="AV900">
        <v>61</v>
      </c>
      <c r="AW900">
        <v>81</v>
      </c>
      <c r="AX900" t="s">
        <v>74</v>
      </c>
      <c r="AY900" t="s">
        <v>74</v>
      </c>
      <c r="AZ900" t="s">
        <v>74</v>
      </c>
      <c r="BA900" t="s">
        <v>74</v>
      </c>
      <c r="BB900">
        <v>176</v>
      </c>
      <c r="BC900">
        <v>187</v>
      </c>
      <c r="BD900" t="s">
        <v>17507</v>
      </c>
      <c r="BE900" t="s">
        <v>17508</v>
      </c>
      <c r="BF900" t="str">
        <f>HYPERLINK("http://dx.doi.org/10.1017/aog.2020.32","http://dx.doi.org/10.1017/aog.2020.32")</f>
        <v>http://dx.doi.org/10.1017/aog.2020.32</v>
      </c>
      <c r="BG900" t="s">
        <v>74</v>
      </c>
      <c r="BH900" t="s">
        <v>74</v>
      </c>
      <c r="BI900">
        <v>12</v>
      </c>
      <c r="BJ900" t="s">
        <v>694</v>
      </c>
      <c r="BK900" t="s">
        <v>102</v>
      </c>
      <c r="BL900" t="s">
        <v>695</v>
      </c>
      <c r="BM900" t="s">
        <v>17373</v>
      </c>
      <c r="BN900" t="s">
        <v>74</v>
      </c>
      <c r="BO900" t="s">
        <v>105</v>
      </c>
      <c r="BP900" t="s">
        <v>74</v>
      </c>
      <c r="BQ900" t="s">
        <v>74</v>
      </c>
      <c r="BR900" t="s">
        <v>106</v>
      </c>
      <c r="BS900" t="s">
        <v>17509</v>
      </c>
      <c r="BT900" t="str">
        <f>HYPERLINK("https%3A%2F%2Fwww.webofscience.com%2Fwos%2Fwoscc%2Ffull-record%2FWOS:000565350800019","View Full Record in Web of Science")</f>
        <v>View Full Record in Web of Science</v>
      </c>
    </row>
    <row r="901" spans="1:72" x14ac:dyDescent="0.15">
      <c r="A901" t="s">
        <v>72</v>
      </c>
      <c r="B901" t="s">
        <v>17510</v>
      </c>
      <c r="C901" t="s">
        <v>74</v>
      </c>
      <c r="D901" t="s">
        <v>74</v>
      </c>
      <c r="E901" t="s">
        <v>74</v>
      </c>
      <c r="F901" t="s">
        <v>17511</v>
      </c>
      <c r="G901" t="s">
        <v>74</v>
      </c>
      <c r="H901" t="s">
        <v>74</v>
      </c>
      <c r="I901" t="s">
        <v>17512</v>
      </c>
      <c r="J901" t="s">
        <v>17356</v>
      </c>
      <c r="K901" t="s">
        <v>74</v>
      </c>
      <c r="L901" t="s">
        <v>74</v>
      </c>
      <c r="M901" t="s">
        <v>78</v>
      </c>
      <c r="N901" t="s">
        <v>79</v>
      </c>
      <c r="O901" t="s">
        <v>74</v>
      </c>
      <c r="P901" t="s">
        <v>74</v>
      </c>
      <c r="Q901" t="s">
        <v>74</v>
      </c>
      <c r="R901" t="s">
        <v>74</v>
      </c>
      <c r="S901" t="s">
        <v>74</v>
      </c>
      <c r="T901" t="s">
        <v>17513</v>
      </c>
      <c r="U901" t="s">
        <v>17514</v>
      </c>
      <c r="V901" t="s">
        <v>17515</v>
      </c>
      <c r="W901" t="s">
        <v>17516</v>
      </c>
      <c r="X901" t="s">
        <v>17517</v>
      </c>
      <c r="Y901" t="s">
        <v>5682</v>
      </c>
      <c r="Z901" t="s">
        <v>17518</v>
      </c>
      <c r="AA901" t="s">
        <v>17519</v>
      </c>
      <c r="AB901" t="s">
        <v>17520</v>
      </c>
      <c r="AC901" t="s">
        <v>17521</v>
      </c>
      <c r="AD901" t="s">
        <v>17522</v>
      </c>
      <c r="AE901" t="s">
        <v>17523</v>
      </c>
      <c r="AF901" t="s">
        <v>74</v>
      </c>
      <c r="AG901">
        <v>42</v>
      </c>
      <c r="AH901">
        <v>3</v>
      </c>
      <c r="AI901">
        <v>3</v>
      </c>
      <c r="AJ901">
        <v>2</v>
      </c>
      <c r="AK901">
        <v>9</v>
      </c>
      <c r="AL901" t="s">
        <v>4638</v>
      </c>
      <c r="AM901" t="s">
        <v>1744</v>
      </c>
      <c r="AN901" t="s">
        <v>4639</v>
      </c>
      <c r="AO901" t="s">
        <v>17367</v>
      </c>
      <c r="AP901" t="s">
        <v>17368</v>
      </c>
      <c r="AQ901" t="s">
        <v>74</v>
      </c>
      <c r="AR901" t="s">
        <v>17369</v>
      </c>
      <c r="AS901" t="s">
        <v>17370</v>
      </c>
      <c r="AT901" t="s">
        <v>5993</v>
      </c>
      <c r="AU901">
        <v>2020</v>
      </c>
      <c r="AV901">
        <v>61</v>
      </c>
      <c r="AW901">
        <v>81</v>
      </c>
      <c r="AX901" t="s">
        <v>74</v>
      </c>
      <c r="AY901" t="s">
        <v>74</v>
      </c>
      <c r="AZ901" t="s">
        <v>74</v>
      </c>
      <c r="BA901" t="s">
        <v>74</v>
      </c>
      <c r="BB901">
        <v>198</v>
      </c>
      <c r="BC901">
        <v>205</v>
      </c>
      <c r="BD901" t="s">
        <v>17524</v>
      </c>
      <c r="BE901" t="s">
        <v>17525</v>
      </c>
      <c r="BF901" t="str">
        <f>HYPERLINK("http://dx.doi.org/10.1017/aog.2020.50","http://dx.doi.org/10.1017/aog.2020.50")</f>
        <v>http://dx.doi.org/10.1017/aog.2020.50</v>
      </c>
      <c r="BG901" t="s">
        <v>74</v>
      </c>
      <c r="BH901" t="s">
        <v>74</v>
      </c>
      <c r="BI901">
        <v>8</v>
      </c>
      <c r="BJ901" t="s">
        <v>694</v>
      </c>
      <c r="BK901" t="s">
        <v>102</v>
      </c>
      <c r="BL901" t="s">
        <v>695</v>
      </c>
      <c r="BM901" t="s">
        <v>17373</v>
      </c>
      <c r="BN901" t="s">
        <v>74</v>
      </c>
      <c r="BO901" t="s">
        <v>161</v>
      </c>
      <c r="BP901" t="s">
        <v>74</v>
      </c>
      <c r="BQ901" t="s">
        <v>74</v>
      </c>
      <c r="BR901" t="s">
        <v>106</v>
      </c>
      <c r="BS901" t="s">
        <v>17526</v>
      </c>
      <c r="BT901" t="str">
        <f>HYPERLINK("https%3A%2F%2Fwww.webofscience.com%2Fwos%2Fwoscc%2Ffull-record%2FWOS:000565350800021","View Full Record in Web of Science")</f>
        <v>View Full Record in Web of Science</v>
      </c>
    </row>
    <row r="902" spans="1:72" x14ac:dyDescent="0.15">
      <c r="A902" t="s">
        <v>72</v>
      </c>
      <c r="B902" t="s">
        <v>17527</v>
      </c>
      <c r="C902" t="s">
        <v>74</v>
      </c>
      <c r="D902" t="s">
        <v>74</v>
      </c>
      <c r="E902" t="s">
        <v>74</v>
      </c>
      <c r="F902" t="s">
        <v>17528</v>
      </c>
      <c r="G902" t="s">
        <v>74</v>
      </c>
      <c r="H902" t="s">
        <v>74</v>
      </c>
      <c r="I902" t="s">
        <v>17529</v>
      </c>
      <c r="J902" t="s">
        <v>17356</v>
      </c>
      <c r="K902" t="s">
        <v>74</v>
      </c>
      <c r="L902" t="s">
        <v>74</v>
      </c>
      <c r="M902" t="s">
        <v>78</v>
      </c>
      <c r="N902" t="s">
        <v>79</v>
      </c>
      <c r="O902" t="s">
        <v>74</v>
      </c>
      <c r="P902" t="s">
        <v>74</v>
      </c>
      <c r="Q902" t="s">
        <v>74</v>
      </c>
      <c r="R902" t="s">
        <v>74</v>
      </c>
      <c r="S902" t="s">
        <v>74</v>
      </c>
      <c r="T902" t="s">
        <v>17530</v>
      </c>
      <c r="U902" t="s">
        <v>17531</v>
      </c>
      <c r="V902" t="s">
        <v>17532</v>
      </c>
      <c r="W902" t="s">
        <v>17533</v>
      </c>
      <c r="X902" t="s">
        <v>17534</v>
      </c>
      <c r="Y902" t="s">
        <v>17535</v>
      </c>
      <c r="Z902" t="s">
        <v>17536</v>
      </c>
      <c r="AA902" t="s">
        <v>74</v>
      </c>
      <c r="AB902" t="s">
        <v>17537</v>
      </c>
      <c r="AC902" t="s">
        <v>17538</v>
      </c>
      <c r="AD902" t="s">
        <v>17539</v>
      </c>
      <c r="AE902" t="s">
        <v>17540</v>
      </c>
      <c r="AF902" t="s">
        <v>74</v>
      </c>
      <c r="AG902">
        <v>69</v>
      </c>
      <c r="AH902">
        <v>4</v>
      </c>
      <c r="AI902">
        <v>4</v>
      </c>
      <c r="AJ902">
        <v>2</v>
      </c>
      <c r="AK902">
        <v>4</v>
      </c>
      <c r="AL902" t="s">
        <v>4638</v>
      </c>
      <c r="AM902" t="s">
        <v>1744</v>
      </c>
      <c r="AN902" t="s">
        <v>4639</v>
      </c>
      <c r="AO902" t="s">
        <v>17367</v>
      </c>
      <c r="AP902" t="s">
        <v>17368</v>
      </c>
      <c r="AQ902" t="s">
        <v>74</v>
      </c>
      <c r="AR902" t="s">
        <v>17369</v>
      </c>
      <c r="AS902" t="s">
        <v>17370</v>
      </c>
      <c r="AT902" t="s">
        <v>5993</v>
      </c>
      <c r="AU902">
        <v>2020</v>
      </c>
      <c r="AV902">
        <v>61</v>
      </c>
      <c r="AW902">
        <v>81</v>
      </c>
      <c r="AX902" t="s">
        <v>74</v>
      </c>
      <c r="AY902" t="s">
        <v>74</v>
      </c>
      <c r="AZ902" t="s">
        <v>74</v>
      </c>
      <c r="BA902" t="s">
        <v>74</v>
      </c>
      <c r="BB902">
        <v>206</v>
      </c>
      <c r="BC902">
        <v>213</v>
      </c>
      <c r="BD902" t="s">
        <v>17541</v>
      </c>
      <c r="BE902" t="s">
        <v>17542</v>
      </c>
      <c r="BF902" t="str">
        <f>HYPERLINK("http://dx.doi.org/10.1017/aog.2019.41","http://dx.doi.org/10.1017/aog.2019.41")</f>
        <v>http://dx.doi.org/10.1017/aog.2019.41</v>
      </c>
      <c r="BG902" t="s">
        <v>74</v>
      </c>
      <c r="BH902" t="s">
        <v>74</v>
      </c>
      <c r="BI902">
        <v>8</v>
      </c>
      <c r="BJ902" t="s">
        <v>694</v>
      </c>
      <c r="BK902" t="s">
        <v>102</v>
      </c>
      <c r="BL902" t="s">
        <v>695</v>
      </c>
      <c r="BM902" t="s">
        <v>17373</v>
      </c>
      <c r="BN902" t="s">
        <v>74</v>
      </c>
      <c r="BO902" t="s">
        <v>105</v>
      </c>
      <c r="BP902" t="s">
        <v>74</v>
      </c>
      <c r="BQ902" t="s">
        <v>74</v>
      </c>
      <c r="BR902" t="s">
        <v>106</v>
      </c>
      <c r="BS902" t="s">
        <v>17543</v>
      </c>
      <c r="BT902" t="str">
        <f>HYPERLINK("https%3A%2F%2Fwww.webofscience.com%2Fwos%2Fwoscc%2Ffull-record%2FWOS:000565350800022","View Full Record in Web of Science")</f>
        <v>View Full Record in Web of Science</v>
      </c>
    </row>
    <row r="903" spans="1:72" x14ac:dyDescent="0.15">
      <c r="A903" t="s">
        <v>72</v>
      </c>
      <c r="B903" t="s">
        <v>17544</v>
      </c>
      <c r="C903" t="s">
        <v>74</v>
      </c>
      <c r="D903" t="s">
        <v>74</v>
      </c>
      <c r="E903" t="s">
        <v>74</v>
      </c>
      <c r="F903" t="s">
        <v>17545</v>
      </c>
      <c r="G903" t="s">
        <v>74</v>
      </c>
      <c r="H903" t="s">
        <v>74</v>
      </c>
      <c r="I903" t="s">
        <v>17546</v>
      </c>
      <c r="J903" t="s">
        <v>17356</v>
      </c>
      <c r="K903" t="s">
        <v>74</v>
      </c>
      <c r="L903" t="s">
        <v>74</v>
      </c>
      <c r="M903" t="s">
        <v>78</v>
      </c>
      <c r="N903" t="s">
        <v>79</v>
      </c>
      <c r="O903" t="s">
        <v>74</v>
      </c>
      <c r="P903" t="s">
        <v>74</v>
      </c>
      <c r="Q903" t="s">
        <v>74</v>
      </c>
      <c r="R903" t="s">
        <v>74</v>
      </c>
      <c r="S903" t="s">
        <v>74</v>
      </c>
      <c r="T903" t="s">
        <v>17547</v>
      </c>
      <c r="U903" t="s">
        <v>17548</v>
      </c>
      <c r="V903" t="s">
        <v>17549</v>
      </c>
      <c r="W903" t="s">
        <v>17550</v>
      </c>
      <c r="X903" t="s">
        <v>17551</v>
      </c>
      <c r="Y903" t="s">
        <v>17552</v>
      </c>
      <c r="Z903" t="s">
        <v>17553</v>
      </c>
      <c r="AA903" t="s">
        <v>17554</v>
      </c>
      <c r="AB903" t="s">
        <v>17555</v>
      </c>
      <c r="AC903" t="s">
        <v>17556</v>
      </c>
      <c r="AD903" t="s">
        <v>17557</v>
      </c>
      <c r="AE903" t="s">
        <v>17558</v>
      </c>
      <c r="AF903" t="s">
        <v>74</v>
      </c>
      <c r="AG903">
        <v>42</v>
      </c>
      <c r="AH903">
        <v>8</v>
      </c>
      <c r="AI903">
        <v>8</v>
      </c>
      <c r="AJ903">
        <v>1</v>
      </c>
      <c r="AK903">
        <v>9</v>
      </c>
      <c r="AL903" t="s">
        <v>4638</v>
      </c>
      <c r="AM903" t="s">
        <v>1744</v>
      </c>
      <c r="AN903" t="s">
        <v>4639</v>
      </c>
      <c r="AO903" t="s">
        <v>17367</v>
      </c>
      <c r="AP903" t="s">
        <v>17368</v>
      </c>
      <c r="AQ903" t="s">
        <v>74</v>
      </c>
      <c r="AR903" t="s">
        <v>17369</v>
      </c>
      <c r="AS903" t="s">
        <v>17370</v>
      </c>
      <c r="AT903" t="s">
        <v>5993</v>
      </c>
      <c r="AU903">
        <v>2020</v>
      </c>
      <c r="AV903">
        <v>61</v>
      </c>
      <c r="AW903">
        <v>81</v>
      </c>
      <c r="AX903" t="s">
        <v>74</v>
      </c>
      <c r="AY903" t="s">
        <v>74</v>
      </c>
      <c r="AZ903" t="s">
        <v>74</v>
      </c>
      <c r="BA903" t="s">
        <v>74</v>
      </c>
      <c r="BB903">
        <v>234</v>
      </c>
      <c r="BC903">
        <v>241</v>
      </c>
      <c r="BD903" t="s">
        <v>17559</v>
      </c>
      <c r="BE903" t="s">
        <v>17560</v>
      </c>
      <c r="BF903" t="str">
        <f>HYPERLINK("http://dx.doi.org/10.1017/aog.2020.42","http://dx.doi.org/10.1017/aog.2020.42")</f>
        <v>http://dx.doi.org/10.1017/aog.2020.42</v>
      </c>
      <c r="BG903" t="s">
        <v>74</v>
      </c>
      <c r="BH903" t="s">
        <v>74</v>
      </c>
      <c r="BI903">
        <v>8</v>
      </c>
      <c r="BJ903" t="s">
        <v>694</v>
      </c>
      <c r="BK903" t="s">
        <v>102</v>
      </c>
      <c r="BL903" t="s">
        <v>695</v>
      </c>
      <c r="BM903" t="s">
        <v>17373</v>
      </c>
      <c r="BN903" t="s">
        <v>74</v>
      </c>
      <c r="BO903" t="s">
        <v>1778</v>
      </c>
      <c r="BP903" t="s">
        <v>74</v>
      </c>
      <c r="BQ903" t="s">
        <v>74</v>
      </c>
      <c r="BR903" t="s">
        <v>106</v>
      </c>
      <c r="BS903" t="s">
        <v>17561</v>
      </c>
      <c r="BT903" t="str">
        <f>HYPERLINK("https%3A%2F%2Fwww.webofscience.com%2Fwos%2Fwoscc%2Ffull-record%2FWOS:000565350800025","View Full Record in Web of Science")</f>
        <v>View Full Record in Web of Science</v>
      </c>
    </row>
    <row r="904" spans="1:72" x14ac:dyDescent="0.15">
      <c r="A904" t="s">
        <v>72</v>
      </c>
      <c r="B904" t="s">
        <v>17562</v>
      </c>
      <c r="C904" t="s">
        <v>74</v>
      </c>
      <c r="D904" t="s">
        <v>74</v>
      </c>
      <c r="E904" t="s">
        <v>74</v>
      </c>
      <c r="F904" t="s">
        <v>17563</v>
      </c>
      <c r="G904" t="s">
        <v>74</v>
      </c>
      <c r="H904" t="s">
        <v>74</v>
      </c>
      <c r="I904" t="s">
        <v>17564</v>
      </c>
      <c r="J904" t="s">
        <v>17356</v>
      </c>
      <c r="K904" t="s">
        <v>74</v>
      </c>
      <c r="L904" t="s">
        <v>74</v>
      </c>
      <c r="M904" t="s">
        <v>78</v>
      </c>
      <c r="N904" t="s">
        <v>79</v>
      </c>
      <c r="O904" t="s">
        <v>74</v>
      </c>
      <c r="P904" t="s">
        <v>74</v>
      </c>
      <c r="Q904" t="s">
        <v>74</v>
      </c>
      <c r="R904" t="s">
        <v>74</v>
      </c>
      <c r="S904" t="s">
        <v>74</v>
      </c>
      <c r="T904" t="s">
        <v>17565</v>
      </c>
      <c r="U904" t="s">
        <v>17566</v>
      </c>
      <c r="V904" t="s">
        <v>17567</v>
      </c>
      <c r="W904" t="s">
        <v>17568</v>
      </c>
      <c r="X904" t="s">
        <v>17569</v>
      </c>
      <c r="Y904" t="s">
        <v>17570</v>
      </c>
      <c r="Z904" t="s">
        <v>17571</v>
      </c>
      <c r="AA904" t="s">
        <v>17572</v>
      </c>
      <c r="AB904" t="s">
        <v>17573</v>
      </c>
      <c r="AC904" t="s">
        <v>17574</v>
      </c>
      <c r="AD904" t="s">
        <v>688</v>
      </c>
      <c r="AE904" t="s">
        <v>74</v>
      </c>
      <c r="AF904" t="s">
        <v>74</v>
      </c>
      <c r="AG904">
        <v>45</v>
      </c>
      <c r="AH904">
        <v>5</v>
      </c>
      <c r="AI904">
        <v>5</v>
      </c>
      <c r="AJ904">
        <v>0</v>
      </c>
      <c r="AK904">
        <v>2</v>
      </c>
      <c r="AL904" t="s">
        <v>4638</v>
      </c>
      <c r="AM904" t="s">
        <v>1744</v>
      </c>
      <c r="AN904" t="s">
        <v>4639</v>
      </c>
      <c r="AO904" t="s">
        <v>17367</v>
      </c>
      <c r="AP904" t="s">
        <v>17368</v>
      </c>
      <c r="AQ904" t="s">
        <v>74</v>
      </c>
      <c r="AR904" t="s">
        <v>17369</v>
      </c>
      <c r="AS904" t="s">
        <v>17370</v>
      </c>
      <c r="AT904" t="s">
        <v>5993</v>
      </c>
      <c r="AU904">
        <v>2020</v>
      </c>
      <c r="AV904">
        <v>61</v>
      </c>
      <c r="AW904">
        <v>81</v>
      </c>
      <c r="AX904" t="s">
        <v>74</v>
      </c>
      <c r="AY904" t="s">
        <v>74</v>
      </c>
      <c r="AZ904" t="s">
        <v>74</v>
      </c>
      <c r="BA904" t="s">
        <v>74</v>
      </c>
      <c r="BB904">
        <v>242</v>
      </c>
      <c r="BC904">
        <v>248</v>
      </c>
      <c r="BD904" t="s">
        <v>17575</v>
      </c>
      <c r="BE904" t="s">
        <v>17576</v>
      </c>
      <c r="BF904" t="str">
        <f>HYPERLINK("http://dx.doi.org/10.1017/aog.2020.27","http://dx.doi.org/10.1017/aog.2020.27")</f>
        <v>http://dx.doi.org/10.1017/aog.2020.27</v>
      </c>
      <c r="BG904" t="s">
        <v>74</v>
      </c>
      <c r="BH904" t="s">
        <v>74</v>
      </c>
      <c r="BI904">
        <v>7</v>
      </c>
      <c r="BJ904" t="s">
        <v>694</v>
      </c>
      <c r="BK904" t="s">
        <v>102</v>
      </c>
      <c r="BL904" t="s">
        <v>695</v>
      </c>
      <c r="BM904" t="s">
        <v>17373</v>
      </c>
      <c r="BN904" t="s">
        <v>74</v>
      </c>
      <c r="BO904" t="s">
        <v>161</v>
      </c>
      <c r="BP904" t="s">
        <v>74</v>
      </c>
      <c r="BQ904" t="s">
        <v>74</v>
      </c>
      <c r="BR904" t="s">
        <v>106</v>
      </c>
      <c r="BS904" t="s">
        <v>17577</v>
      </c>
      <c r="BT904" t="str">
        <f>HYPERLINK("https%3A%2F%2Fwww.webofscience.com%2Fwos%2Fwoscc%2Ffull-record%2FWOS:000565350800026","View Full Record in Web of Science")</f>
        <v>View Full Record in Web of Science</v>
      </c>
    </row>
    <row r="905" spans="1:72" x14ac:dyDescent="0.15">
      <c r="A905" t="s">
        <v>72</v>
      </c>
      <c r="B905" t="s">
        <v>17578</v>
      </c>
      <c r="C905" t="s">
        <v>74</v>
      </c>
      <c r="D905" t="s">
        <v>74</v>
      </c>
      <c r="E905" t="s">
        <v>74</v>
      </c>
      <c r="F905" t="s">
        <v>17579</v>
      </c>
      <c r="G905" t="s">
        <v>74</v>
      </c>
      <c r="H905" t="s">
        <v>74</v>
      </c>
      <c r="I905" t="s">
        <v>17580</v>
      </c>
      <c r="J905" t="s">
        <v>1357</v>
      </c>
      <c r="K905" t="s">
        <v>74</v>
      </c>
      <c r="L905" t="s">
        <v>74</v>
      </c>
      <c r="M905" t="s">
        <v>78</v>
      </c>
      <c r="N905" t="s">
        <v>79</v>
      </c>
      <c r="O905" t="s">
        <v>74</v>
      </c>
      <c r="P905" t="s">
        <v>74</v>
      </c>
      <c r="Q905" t="s">
        <v>74</v>
      </c>
      <c r="R905" t="s">
        <v>74</v>
      </c>
      <c r="S905" t="s">
        <v>74</v>
      </c>
      <c r="T905" t="s">
        <v>17581</v>
      </c>
      <c r="U905" t="s">
        <v>17582</v>
      </c>
      <c r="V905" t="s">
        <v>17583</v>
      </c>
      <c r="W905" t="s">
        <v>17584</v>
      </c>
      <c r="X905" t="s">
        <v>17585</v>
      </c>
      <c r="Y905" t="s">
        <v>17586</v>
      </c>
      <c r="Z905" t="s">
        <v>17587</v>
      </c>
      <c r="AA905" t="s">
        <v>74</v>
      </c>
      <c r="AB905" t="s">
        <v>17588</v>
      </c>
      <c r="AC905" t="s">
        <v>17589</v>
      </c>
      <c r="AD905" t="s">
        <v>1860</v>
      </c>
      <c r="AE905" t="s">
        <v>74</v>
      </c>
      <c r="AF905" t="s">
        <v>74</v>
      </c>
      <c r="AG905">
        <v>45</v>
      </c>
      <c r="AH905">
        <v>14</v>
      </c>
      <c r="AI905">
        <v>15</v>
      </c>
      <c r="AJ905">
        <v>9</v>
      </c>
      <c r="AK905">
        <v>38</v>
      </c>
      <c r="AL905" t="s">
        <v>994</v>
      </c>
      <c r="AM905" t="s">
        <v>995</v>
      </c>
      <c r="AN905" t="s">
        <v>996</v>
      </c>
      <c r="AO905" t="s">
        <v>1370</v>
      </c>
      <c r="AP905" t="s">
        <v>1371</v>
      </c>
      <c r="AQ905" t="s">
        <v>74</v>
      </c>
      <c r="AR905" t="s">
        <v>1372</v>
      </c>
      <c r="AS905" t="s">
        <v>1373</v>
      </c>
      <c r="AT905" t="s">
        <v>5993</v>
      </c>
      <c r="AU905">
        <v>2020</v>
      </c>
      <c r="AV905">
        <v>26</v>
      </c>
      <c r="AW905">
        <v>4</v>
      </c>
      <c r="AX905" t="s">
        <v>74</v>
      </c>
      <c r="AY905" t="s">
        <v>74</v>
      </c>
      <c r="AZ905" t="s">
        <v>74</v>
      </c>
      <c r="BA905" t="s">
        <v>74</v>
      </c>
      <c r="BB905">
        <v>2280</v>
      </c>
      <c r="BC905">
        <v>2291</v>
      </c>
      <c r="BD905" t="s">
        <v>74</v>
      </c>
      <c r="BE905" t="s">
        <v>17590</v>
      </c>
      <c r="BF905" t="str">
        <f>HYPERLINK("http://dx.doi.org/10.1111/gcb.15020","http://dx.doi.org/10.1111/gcb.15020")</f>
        <v>http://dx.doi.org/10.1111/gcb.15020</v>
      </c>
      <c r="BG905" t="s">
        <v>74</v>
      </c>
      <c r="BH905" t="s">
        <v>74</v>
      </c>
      <c r="BI905">
        <v>12</v>
      </c>
      <c r="BJ905" t="s">
        <v>1375</v>
      </c>
      <c r="BK905" t="s">
        <v>102</v>
      </c>
      <c r="BL905" t="s">
        <v>1005</v>
      </c>
      <c r="BM905" t="s">
        <v>17591</v>
      </c>
      <c r="BN905">
        <v>31997534</v>
      </c>
      <c r="BO905" t="s">
        <v>74</v>
      </c>
      <c r="BP905" t="s">
        <v>74</v>
      </c>
      <c r="BQ905" t="s">
        <v>74</v>
      </c>
      <c r="BR905" t="s">
        <v>106</v>
      </c>
      <c r="BS905" t="s">
        <v>17592</v>
      </c>
      <c r="BT905" t="str">
        <f>HYPERLINK("https%3A%2F%2Fwww.webofscience.com%2Fwos%2Fwoscc%2Ffull-record%2FWOS:000564253200027","View Full Record in Web of Science")</f>
        <v>View Full Record in Web of Science</v>
      </c>
    </row>
    <row r="906" spans="1:72" x14ac:dyDescent="0.15">
      <c r="A906" t="s">
        <v>72</v>
      </c>
      <c r="B906" t="s">
        <v>17593</v>
      </c>
      <c r="C906" t="s">
        <v>74</v>
      </c>
      <c r="D906" t="s">
        <v>74</v>
      </c>
      <c r="E906" t="s">
        <v>74</v>
      </c>
      <c r="F906" t="s">
        <v>17594</v>
      </c>
      <c r="G906" t="s">
        <v>74</v>
      </c>
      <c r="H906" t="s">
        <v>74</v>
      </c>
      <c r="I906" t="s">
        <v>17595</v>
      </c>
      <c r="J906" t="s">
        <v>17596</v>
      </c>
      <c r="K906" t="s">
        <v>74</v>
      </c>
      <c r="L906" t="s">
        <v>74</v>
      </c>
      <c r="M906" t="s">
        <v>78</v>
      </c>
      <c r="N906" t="s">
        <v>79</v>
      </c>
      <c r="O906" t="s">
        <v>74</v>
      </c>
      <c r="P906" t="s">
        <v>74</v>
      </c>
      <c r="Q906" t="s">
        <v>74</v>
      </c>
      <c r="R906" t="s">
        <v>74</v>
      </c>
      <c r="S906" t="s">
        <v>74</v>
      </c>
      <c r="T906" t="s">
        <v>17597</v>
      </c>
      <c r="U906" t="s">
        <v>17598</v>
      </c>
      <c r="V906" t="s">
        <v>17599</v>
      </c>
      <c r="W906" t="s">
        <v>17600</v>
      </c>
      <c r="X906" t="s">
        <v>17601</v>
      </c>
      <c r="Y906" t="s">
        <v>17602</v>
      </c>
      <c r="Z906" t="s">
        <v>17603</v>
      </c>
      <c r="AA906" t="s">
        <v>16908</v>
      </c>
      <c r="AB906" t="s">
        <v>17604</v>
      </c>
      <c r="AC906" t="s">
        <v>74</v>
      </c>
      <c r="AD906" t="s">
        <v>74</v>
      </c>
      <c r="AE906" t="s">
        <v>74</v>
      </c>
      <c r="AF906" t="s">
        <v>74</v>
      </c>
      <c r="AG906">
        <v>29</v>
      </c>
      <c r="AH906">
        <v>2</v>
      </c>
      <c r="AI906">
        <v>2</v>
      </c>
      <c r="AJ906">
        <v>0</v>
      </c>
      <c r="AK906">
        <v>0</v>
      </c>
      <c r="AL906" t="s">
        <v>17605</v>
      </c>
      <c r="AM906" t="s">
        <v>17606</v>
      </c>
      <c r="AN906" t="s">
        <v>17607</v>
      </c>
      <c r="AO906" t="s">
        <v>17608</v>
      </c>
      <c r="AP906" t="s">
        <v>17609</v>
      </c>
      <c r="AQ906" t="s">
        <v>74</v>
      </c>
      <c r="AR906" t="s">
        <v>17610</v>
      </c>
      <c r="AS906" t="s">
        <v>17611</v>
      </c>
      <c r="AT906" t="s">
        <v>17612</v>
      </c>
      <c r="AU906">
        <v>2020</v>
      </c>
      <c r="AV906">
        <v>34</v>
      </c>
      <c r="AW906">
        <v>2</v>
      </c>
      <c r="AX906" t="s">
        <v>74</v>
      </c>
      <c r="AY906" t="s">
        <v>74</v>
      </c>
      <c r="AZ906" t="s">
        <v>74</v>
      </c>
      <c r="BA906" t="s">
        <v>74</v>
      </c>
      <c r="BB906">
        <v>430</v>
      </c>
      <c r="BC906">
        <v>436</v>
      </c>
      <c r="BD906" t="s">
        <v>74</v>
      </c>
      <c r="BE906" t="s">
        <v>17613</v>
      </c>
      <c r="BF906" t="str">
        <f>HYPERLINK("http://dx.doi.org/10.1590/0102-33062020abb0172","http://dx.doi.org/10.1590/0102-33062020abb0172")</f>
        <v>http://dx.doi.org/10.1590/0102-33062020abb0172</v>
      </c>
      <c r="BG906" t="s">
        <v>74</v>
      </c>
      <c r="BH906" t="s">
        <v>74</v>
      </c>
      <c r="BI906">
        <v>7</v>
      </c>
      <c r="BJ906" t="s">
        <v>1635</v>
      </c>
      <c r="BK906" t="s">
        <v>102</v>
      </c>
      <c r="BL906" t="s">
        <v>1635</v>
      </c>
      <c r="BM906" t="s">
        <v>17614</v>
      </c>
      <c r="BN906" t="s">
        <v>74</v>
      </c>
      <c r="BO906" t="s">
        <v>1778</v>
      </c>
      <c r="BP906" t="s">
        <v>74</v>
      </c>
      <c r="BQ906" t="s">
        <v>74</v>
      </c>
      <c r="BR906" t="s">
        <v>106</v>
      </c>
      <c r="BS906" t="s">
        <v>17615</v>
      </c>
      <c r="BT906" t="str">
        <f>HYPERLINK("https%3A%2F%2Fwww.webofscience.com%2Fwos%2Fwoscc%2Ffull-record%2FWOS:000557428500018","View Full Record in Web of Science")</f>
        <v>View Full Record in Web of Science</v>
      </c>
    </row>
    <row r="907" spans="1:72" x14ac:dyDescent="0.15">
      <c r="A907" t="s">
        <v>72</v>
      </c>
      <c r="B907" t="s">
        <v>17616</v>
      </c>
      <c r="C907" t="s">
        <v>74</v>
      </c>
      <c r="D907" t="s">
        <v>74</v>
      </c>
      <c r="E907" t="s">
        <v>74</v>
      </c>
      <c r="F907" t="s">
        <v>17617</v>
      </c>
      <c r="G907" t="s">
        <v>74</v>
      </c>
      <c r="H907" t="s">
        <v>74</v>
      </c>
      <c r="I907" t="s">
        <v>17618</v>
      </c>
      <c r="J907" t="s">
        <v>4343</v>
      </c>
      <c r="K907" t="s">
        <v>74</v>
      </c>
      <c r="L907" t="s">
        <v>74</v>
      </c>
      <c r="M907" t="s">
        <v>78</v>
      </c>
      <c r="N907" t="s">
        <v>79</v>
      </c>
      <c r="O907" t="s">
        <v>74</v>
      </c>
      <c r="P907" t="s">
        <v>74</v>
      </c>
      <c r="Q907" t="s">
        <v>74</v>
      </c>
      <c r="R907" t="s">
        <v>74</v>
      </c>
      <c r="S907" t="s">
        <v>74</v>
      </c>
      <c r="T907" t="s">
        <v>17619</v>
      </c>
      <c r="U907" t="s">
        <v>17620</v>
      </c>
      <c r="V907" t="s">
        <v>17621</v>
      </c>
      <c r="W907" t="s">
        <v>17622</v>
      </c>
      <c r="X907" t="s">
        <v>17623</v>
      </c>
      <c r="Y907" t="s">
        <v>17624</v>
      </c>
      <c r="Z907" t="s">
        <v>17625</v>
      </c>
      <c r="AA907" t="s">
        <v>17626</v>
      </c>
      <c r="AB907" t="s">
        <v>17627</v>
      </c>
      <c r="AC907" t="s">
        <v>17628</v>
      </c>
      <c r="AD907" t="s">
        <v>17629</v>
      </c>
      <c r="AE907" t="s">
        <v>17630</v>
      </c>
      <c r="AF907" t="s">
        <v>74</v>
      </c>
      <c r="AG907">
        <v>54</v>
      </c>
      <c r="AH907">
        <v>6</v>
      </c>
      <c r="AI907">
        <v>7</v>
      </c>
      <c r="AJ907">
        <v>1</v>
      </c>
      <c r="AK907">
        <v>16</v>
      </c>
      <c r="AL907" t="s">
        <v>4283</v>
      </c>
      <c r="AM907" t="s">
        <v>4284</v>
      </c>
      <c r="AN907" t="s">
        <v>4285</v>
      </c>
      <c r="AO907" t="s">
        <v>74</v>
      </c>
      <c r="AP907" t="s">
        <v>4356</v>
      </c>
      <c r="AQ907" t="s">
        <v>74</v>
      </c>
      <c r="AR907" t="s">
        <v>4357</v>
      </c>
      <c r="AS907" t="s">
        <v>4358</v>
      </c>
      <c r="AT907" t="s">
        <v>5993</v>
      </c>
      <c r="AU907">
        <v>2020</v>
      </c>
      <c r="AV907">
        <v>12</v>
      </c>
      <c r="AW907">
        <v>7</v>
      </c>
      <c r="AX907" t="s">
        <v>74</v>
      </c>
      <c r="AY907" t="s">
        <v>74</v>
      </c>
      <c r="AZ907" t="s">
        <v>74</v>
      </c>
      <c r="BA907" t="s">
        <v>74</v>
      </c>
      <c r="BB907" t="s">
        <v>74</v>
      </c>
      <c r="BC907" t="s">
        <v>74</v>
      </c>
      <c r="BD907">
        <v>1079</v>
      </c>
      <c r="BE907" t="s">
        <v>17631</v>
      </c>
      <c r="BF907" t="str">
        <f>HYPERLINK("http://dx.doi.org/10.3390/rs12071079","http://dx.doi.org/10.3390/rs12071079")</f>
        <v>http://dx.doi.org/10.3390/rs12071079</v>
      </c>
      <c r="BG907" t="s">
        <v>74</v>
      </c>
      <c r="BH907" t="s">
        <v>74</v>
      </c>
      <c r="BI907">
        <v>18</v>
      </c>
      <c r="BJ907" t="s">
        <v>4360</v>
      </c>
      <c r="BK907" t="s">
        <v>102</v>
      </c>
      <c r="BL907" t="s">
        <v>4361</v>
      </c>
      <c r="BM907" t="s">
        <v>17632</v>
      </c>
      <c r="BN907" t="s">
        <v>74</v>
      </c>
      <c r="BO907" t="s">
        <v>105</v>
      </c>
      <c r="BP907" t="s">
        <v>74</v>
      </c>
      <c r="BQ907" t="s">
        <v>74</v>
      </c>
      <c r="BR907" t="s">
        <v>106</v>
      </c>
      <c r="BS907" t="s">
        <v>17633</v>
      </c>
      <c r="BT907" t="str">
        <f>HYPERLINK("https%3A%2F%2Fwww.webofscience.com%2Fwos%2Fwoscc%2Ffull-record%2FWOS:000537709600029","View Full Record in Web of Science")</f>
        <v>View Full Record in Web of Science</v>
      </c>
    </row>
    <row r="908" spans="1:72" x14ac:dyDescent="0.15">
      <c r="A908" t="s">
        <v>72</v>
      </c>
      <c r="B908" t="s">
        <v>17634</v>
      </c>
      <c r="C908" t="s">
        <v>74</v>
      </c>
      <c r="D908" t="s">
        <v>74</v>
      </c>
      <c r="E908" t="s">
        <v>74</v>
      </c>
      <c r="F908" t="s">
        <v>17635</v>
      </c>
      <c r="G908" t="s">
        <v>74</v>
      </c>
      <c r="H908" t="s">
        <v>74</v>
      </c>
      <c r="I908" t="s">
        <v>17636</v>
      </c>
      <c r="J908" t="s">
        <v>4343</v>
      </c>
      <c r="K908" t="s">
        <v>74</v>
      </c>
      <c r="L908" t="s">
        <v>74</v>
      </c>
      <c r="M908" t="s">
        <v>78</v>
      </c>
      <c r="N908" t="s">
        <v>79</v>
      </c>
      <c r="O908" t="s">
        <v>74</v>
      </c>
      <c r="P908" t="s">
        <v>74</v>
      </c>
      <c r="Q908" t="s">
        <v>74</v>
      </c>
      <c r="R908" t="s">
        <v>74</v>
      </c>
      <c r="S908" t="s">
        <v>74</v>
      </c>
      <c r="T908" t="s">
        <v>17637</v>
      </c>
      <c r="U908" t="s">
        <v>17638</v>
      </c>
      <c r="V908" t="s">
        <v>17639</v>
      </c>
      <c r="W908" t="s">
        <v>17640</v>
      </c>
      <c r="X908" t="s">
        <v>17641</v>
      </c>
      <c r="Y908" t="s">
        <v>17642</v>
      </c>
      <c r="Z908" t="s">
        <v>17643</v>
      </c>
      <c r="AA908" t="s">
        <v>74</v>
      </c>
      <c r="AB908" t="s">
        <v>17644</v>
      </c>
      <c r="AC908" t="s">
        <v>17645</v>
      </c>
      <c r="AD908" t="s">
        <v>17646</v>
      </c>
      <c r="AE908" t="s">
        <v>17647</v>
      </c>
      <c r="AF908" t="s">
        <v>74</v>
      </c>
      <c r="AG908">
        <v>43</v>
      </c>
      <c r="AH908">
        <v>1</v>
      </c>
      <c r="AI908">
        <v>1</v>
      </c>
      <c r="AJ908">
        <v>0</v>
      </c>
      <c r="AK908">
        <v>0</v>
      </c>
      <c r="AL908" t="s">
        <v>4283</v>
      </c>
      <c r="AM908" t="s">
        <v>4284</v>
      </c>
      <c r="AN908" t="s">
        <v>4285</v>
      </c>
      <c r="AO908" t="s">
        <v>74</v>
      </c>
      <c r="AP908" t="s">
        <v>4356</v>
      </c>
      <c r="AQ908" t="s">
        <v>74</v>
      </c>
      <c r="AR908" t="s">
        <v>4357</v>
      </c>
      <c r="AS908" t="s">
        <v>4358</v>
      </c>
      <c r="AT908" t="s">
        <v>5993</v>
      </c>
      <c r="AU908">
        <v>2020</v>
      </c>
      <c r="AV908">
        <v>12</v>
      </c>
      <c r="AW908">
        <v>7</v>
      </c>
      <c r="AX908" t="s">
        <v>74</v>
      </c>
      <c r="AY908" t="s">
        <v>74</v>
      </c>
      <c r="AZ908" t="s">
        <v>74</v>
      </c>
      <c r="BA908" t="s">
        <v>74</v>
      </c>
      <c r="BB908" t="s">
        <v>74</v>
      </c>
      <c r="BC908" t="s">
        <v>74</v>
      </c>
      <c r="BD908">
        <v>1175</v>
      </c>
      <c r="BE908" t="s">
        <v>17648</v>
      </c>
      <c r="BF908" t="str">
        <f>HYPERLINK("http://dx.doi.org/10.3390/rs12071175","http://dx.doi.org/10.3390/rs12071175")</f>
        <v>http://dx.doi.org/10.3390/rs12071175</v>
      </c>
      <c r="BG908" t="s">
        <v>74</v>
      </c>
      <c r="BH908" t="s">
        <v>74</v>
      </c>
      <c r="BI908">
        <v>19</v>
      </c>
      <c r="BJ908" t="s">
        <v>4360</v>
      </c>
      <c r="BK908" t="s">
        <v>102</v>
      </c>
      <c r="BL908" t="s">
        <v>4361</v>
      </c>
      <c r="BM908" t="s">
        <v>17632</v>
      </c>
      <c r="BN908" t="s">
        <v>74</v>
      </c>
      <c r="BO908" t="s">
        <v>105</v>
      </c>
      <c r="BP908" t="s">
        <v>74</v>
      </c>
      <c r="BQ908" t="s">
        <v>74</v>
      </c>
      <c r="BR908" t="s">
        <v>106</v>
      </c>
      <c r="BS908" t="s">
        <v>17649</v>
      </c>
      <c r="BT908" t="str">
        <f>HYPERLINK("https%3A%2F%2Fwww.webofscience.com%2Fwos%2Fwoscc%2Ffull-record%2FWOS:000537709600125","View Full Record in Web of Science")</f>
        <v>View Full Record in Web of Science</v>
      </c>
    </row>
    <row r="909" spans="1:72" x14ac:dyDescent="0.15">
      <c r="A909" t="s">
        <v>72</v>
      </c>
      <c r="B909" t="s">
        <v>17650</v>
      </c>
      <c r="C909" t="s">
        <v>74</v>
      </c>
      <c r="D909" t="s">
        <v>74</v>
      </c>
      <c r="E909" t="s">
        <v>74</v>
      </c>
      <c r="F909" t="s">
        <v>17651</v>
      </c>
      <c r="G909" t="s">
        <v>74</v>
      </c>
      <c r="H909" t="s">
        <v>74</v>
      </c>
      <c r="I909" t="s">
        <v>17652</v>
      </c>
      <c r="J909" t="s">
        <v>17653</v>
      </c>
      <c r="K909" t="s">
        <v>74</v>
      </c>
      <c r="L909" t="s">
        <v>74</v>
      </c>
      <c r="M909" t="s">
        <v>78</v>
      </c>
      <c r="N909" t="s">
        <v>79</v>
      </c>
      <c r="O909" t="s">
        <v>74</v>
      </c>
      <c r="P909" t="s">
        <v>74</v>
      </c>
      <c r="Q909" t="s">
        <v>74</v>
      </c>
      <c r="R909" t="s">
        <v>74</v>
      </c>
      <c r="S909" t="s">
        <v>74</v>
      </c>
      <c r="T909" t="s">
        <v>17654</v>
      </c>
      <c r="U909" t="s">
        <v>74</v>
      </c>
      <c r="V909" t="s">
        <v>17655</v>
      </c>
      <c r="W909" t="s">
        <v>17656</v>
      </c>
      <c r="X909" t="s">
        <v>17657</v>
      </c>
      <c r="Y909" t="s">
        <v>17658</v>
      </c>
      <c r="Z909" t="s">
        <v>17659</v>
      </c>
      <c r="AA909" t="s">
        <v>74</v>
      </c>
      <c r="AB909" t="s">
        <v>17660</v>
      </c>
      <c r="AC909" t="s">
        <v>17661</v>
      </c>
      <c r="AD909" t="s">
        <v>17662</v>
      </c>
      <c r="AE909" t="s">
        <v>17663</v>
      </c>
      <c r="AF909" t="s">
        <v>74</v>
      </c>
      <c r="AG909">
        <v>66</v>
      </c>
      <c r="AH909">
        <v>6</v>
      </c>
      <c r="AI909">
        <v>8</v>
      </c>
      <c r="AJ909">
        <v>0</v>
      </c>
      <c r="AK909">
        <v>10</v>
      </c>
      <c r="AL909" t="s">
        <v>944</v>
      </c>
      <c r="AM909" t="s">
        <v>945</v>
      </c>
      <c r="AN909" t="s">
        <v>946</v>
      </c>
      <c r="AO909" t="s">
        <v>17664</v>
      </c>
      <c r="AP909" t="s">
        <v>74</v>
      </c>
      <c r="AQ909" t="s">
        <v>74</v>
      </c>
      <c r="AR909" t="s">
        <v>17665</v>
      </c>
      <c r="AS909" t="s">
        <v>17666</v>
      </c>
      <c r="AT909" t="s">
        <v>5993</v>
      </c>
      <c r="AU909">
        <v>2020</v>
      </c>
      <c r="AV909">
        <v>68</v>
      </c>
      <c r="AW909" t="s">
        <v>74</v>
      </c>
      <c r="AX909" t="s">
        <v>74</v>
      </c>
      <c r="AY909" t="s">
        <v>74</v>
      </c>
      <c r="AZ909" t="s">
        <v>74</v>
      </c>
      <c r="BA909" t="s">
        <v>74</v>
      </c>
      <c r="BB909">
        <v>55</v>
      </c>
      <c r="BC909">
        <v>64</v>
      </c>
      <c r="BD909" t="s">
        <v>74</v>
      </c>
      <c r="BE909" t="s">
        <v>17667</v>
      </c>
      <c r="BF909" t="str">
        <f>HYPERLINK("http://dx.doi.org/10.1016/j.jhg.2020.03.004","http://dx.doi.org/10.1016/j.jhg.2020.03.004")</f>
        <v>http://dx.doi.org/10.1016/j.jhg.2020.03.004</v>
      </c>
      <c r="BG909" t="s">
        <v>74</v>
      </c>
      <c r="BH909" t="s">
        <v>74</v>
      </c>
      <c r="BI909">
        <v>10</v>
      </c>
      <c r="BJ909" t="s">
        <v>17668</v>
      </c>
      <c r="BK909" t="s">
        <v>607</v>
      </c>
      <c r="BL909" t="s">
        <v>17669</v>
      </c>
      <c r="BM909" t="s">
        <v>17670</v>
      </c>
      <c r="BN909" t="s">
        <v>74</v>
      </c>
      <c r="BO909" t="s">
        <v>74</v>
      </c>
      <c r="BP909" t="s">
        <v>74</v>
      </c>
      <c r="BQ909" t="s">
        <v>74</v>
      </c>
      <c r="BR909" t="s">
        <v>106</v>
      </c>
      <c r="BS909" t="s">
        <v>17671</v>
      </c>
      <c r="BT909" t="str">
        <f>HYPERLINK("https%3A%2F%2Fwww.webofscience.com%2Fwos%2Fwoscc%2Ffull-record%2FWOS:000546112800007","View Full Record in Web of Science")</f>
        <v>View Full Record in Web of Science</v>
      </c>
    </row>
    <row r="910" spans="1:72" x14ac:dyDescent="0.15">
      <c r="A910" t="s">
        <v>72</v>
      </c>
      <c r="B910" t="s">
        <v>17672</v>
      </c>
      <c r="C910" t="s">
        <v>74</v>
      </c>
      <c r="D910" t="s">
        <v>74</v>
      </c>
      <c r="E910" t="s">
        <v>74</v>
      </c>
      <c r="F910" t="s">
        <v>17673</v>
      </c>
      <c r="G910" t="s">
        <v>74</v>
      </c>
      <c r="H910" t="s">
        <v>74</v>
      </c>
      <c r="I910" t="s">
        <v>17674</v>
      </c>
      <c r="J910" t="s">
        <v>8451</v>
      </c>
      <c r="K910" t="s">
        <v>74</v>
      </c>
      <c r="L910" t="s">
        <v>74</v>
      </c>
      <c r="M910" t="s">
        <v>78</v>
      </c>
      <c r="N910" t="s">
        <v>79</v>
      </c>
      <c r="O910" t="s">
        <v>74</v>
      </c>
      <c r="P910" t="s">
        <v>74</v>
      </c>
      <c r="Q910" t="s">
        <v>74</v>
      </c>
      <c r="R910" t="s">
        <v>74</v>
      </c>
      <c r="S910" t="s">
        <v>74</v>
      </c>
      <c r="T910" t="s">
        <v>17675</v>
      </c>
      <c r="U910" t="s">
        <v>17676</v>
      </c>
      <c r="V910" t="s">
        <v>17677</v>
      </c>
      <c r="W910" t="s">
        <v>17678</v>
      </c>
      <c r="X910" t="s">
        <v>9764</v>
      </c>
      <c r="Y910" t="s">
        <v>17679</v>
      </c>
      <c r="Z910" t="s">
        <v>17680</v>
      </c>
      <c r="AA910" t="s">
        <v>17681</v>
      </c>
      <c r="AB910" t="s">
        <v>17682</v>
      </c>
      <c r="AC910" t="s">
        <v>17683</v>
      </c>
      <c r="AD910" t="s">
        <v>17684</v>
      </c>
      <c r="AE910" t="s">
        <v>17685</v>
      </c>
      <c r="AF910" t="s">
        <v>74</v>
      </c>
      <c r="AG910">
        <v>34</v>
      </c>
      <c r="AH910">
        <v>0</v>
      </c>
      <c r="AI910">
        <v>0</v>
      </c>
      <c r="AJ910">
        <v>0</v>
      </c>
      <c r="AK910">
        <v>1</v>
      </c>
      <c r="AL910" t="s">
        <v>4124</v>
      </c>
      <c r="AM910" t="s">
        <v>8458</v>
      </c>
      <c r="AN910" t="s">
        <v>8459</v>
      </c>
      <c r="AO910" t="s">
        <v>8460</v>
      </c>
      <c r="AP910" t="s">
        <v>8461</v>
      </c>
      <c r="AQ910" t="s">
        <v>74</v>
      </c>
      <c r="AR910" t="s">
        <v>8462</v>
      </c>
      <c r="AS910" t="s">
        <v>8463</v>
      </c>
      <c r="AT910" t="s">
        <v>5993</v>
      </c>
      <c r="AU910">
        <v>2020</v>
      </c>
      <c r="AV910">
        <v>45</v>
      </c>
      <c r="AW910">
        <v>4</v>
      </c>
      <c r="AX910" t="s">
        <v>74</v>
      </c>
      <c r="AY910" t="s">
        <v>74</v>
      </c>
      <c r="AZ910" t="s">
        <v>74</v>
      </c>
      <c r="BA910" t="s">
        <v>74</v>
      </c>
      <c r="BB910">
        <v>260</v>
      </c>
      <c r="BC910">
        <v>268</v>
      </c>
      <c r="BD910" t="s">
        <v>74</v>
      </c>
      <c r="BE910" t="s">
        <v>17686</v>
      </c>
      <c r="BF910" t="str">
        <f>HYPERLINK("http://dx.doi.org/10.3103/S1068373920040068","http://dx.doi.org/10.3103/S1068373920040068")</f>
        <v>http://dx.doi.org/10.3103/S1068373920040068</v>
      </c>
      <c r="BG910" t="s">
        <v>74</v>
      </c>
      <c r="BH910" t="s">
        <v>74</v>
      </c>
      <c r="BI910">
        <v>9</v>
      </c>
      <c r="BJ910" t="s">
        <v>159</v>
      </c>
      <c r="BK910" t="s">
        <v>102</v>
      </c>
      <c r="BL910" t="s">
        <v>159</v>
      </c>
      <c r="BM910" t="s">
        <v>17687</v>
      </c>
      <c r="BN910" t="s">
        <v>74</v>
      </c>
      <c r="BO910" t="s">
        <v>74</v>
      </c>
      <c r="BP910" t="s">
        <v>74</v>
      </c>
      <c r="BQ910" t="s">
        <v>74</v>
      </c>
      <c r="BR910" t="s">
        <v>106</v>
      </c>
      <c r="BS910" t="s">
        <v>17688</v>
      </c>
      <c r="BT910" t="str">
        <f>HYPERLINK("https%3A%2F%2Fwww.webofscience.com%2Fwos%2Fwoscc%2Ffull-record%2FWOS:000546312500006","View Full Record in Web of Science")</f>
        <v>View Full Record in Web of Science</v>
      </c>
    </row>
    <row r="911" spans="1:72" x14ac:dyDescent="0.15">
      <c r="A911" t="s">
        <v>72</v>
      </c>
      <c r="B911" t="s">
        <v>17689</v>
      </c>
      <c r="C911" t="s">
        <v>74</v>
      </c>
      <c r="D911" t="s">
        <v>74</v>
      </c>
      <c r="E911" t="s">
        <v>74</v>
      </c>
      <c r="F911" t="s">
        <v>17690</v>
      </c>
      <c r="G911" t="s">
        <v>74</v>
      </c>
      <c r="H911" t="s">
        <v>74</v>
      </c>
      <c r="I911" t="s">
        <v>17691</v>
      </c>
      <c r="J911" t="s">
        <v>17692</v>
      </c>
      <c r="K911" t="s">
        <v>74</v>
      </c>
      <c r="L911" t="s">
        <v>74</v>
      </c>
      <c r="M911" t="s">
        <v>78</v>
      </c>
      <c r="N911" t="s">
        <v>79</v>
      </c>
      <c r="O911" t="s">
        <v>74</v>
      </c>
      <c r="P911" t="s">
        <v>74</v>
      </c>
      <c r="Q911" t="s">
        <v>74</v>
      </c>
      <c r="R911" t="s">
        <v>74</v>
      </c>
      <c r="S911" t="s">
        <v>74</v>
      </c>
      <c r="T911" t="s">
        <v>17693</v>
      </c>
      <c r="U911" t="s">
        <v>17694</v>
      </c>
      <c r="V911" t="s">
        <v>17695</v>
      </c>
      <c r="W911" t="s">
        <v>17696</v>
      </c>
      <c r="X911" t="s">
        <v>17697</v>
      </c>
      <c r="Y911" t="s">
        <v>17698</v>
      </c>
      <c r="Z911" t="s">
        <v>17699</v>
      </c>
      <c r="AA911" t="s">
        <v>17700</v>
      </c>
      <c r="AB911" t="s">
        <v>17701</v>
      </c>
      <c r="AC911" t="s">
        <v>17702</v>
      </c>
      <c r="AD911" t="s">
        <v>17703</v>
      </c>
      <c r="AE911" t="s">
        <v>17704</v>
      </c>
      <c r="AF911" t="s">
        <v>74</v>
      </c>
      <c r="AG911">
        <v>36</v>
      </c>
      <c r="AH911">
        <v>3</v>
      </c>
      <c r="AI911">
        <v>3</v>
      </c>
      <c r="AJ911">
        <v>1</v>
      </c>
      <c r="AK911">
        <v>3</v>
      </c>
      <c r="AL911" t="s">
        <v>284</v>
      </c>
      <c r="AM911" t="s">
        <v>285</v>
      </c>
      <c r="AN911" t="s">
        <v>286</v>
      </c>
      <c r="AO911" t="s">
        <v>17705</v>
      </c>
      <c r="AP911" t="s">
        <v>17706</v>
      </c>
      <c r="AQ911" t="s">
        <v>74</v>
      </c>
      <c r="AR911" t="s">
        <v>17707</v>
      </c>
      <c r="AS911" t="s">
        <v>17708</v>
      </c>
      <c r="AT911" t="s">
        <v>17612</v>
      </c>
      <c r="AU911">
        <v>2020</v>
      </c>
      <c r="AV911">
        <v>11</v>
      </c>
      <c r="AW911">
        <v>2</v>
      </c>
      <c r="AX911" t="s">
        <v>74</v>
      </c>
      <c r="AY911" t="s">
        <v>74</v>
      </c>
      <c r="AZ911" t="s">
        <v>74</v>
      </c>
      <c r="BA911" t="s">
        <v>74</v>
      </c>
      <c r="BB911">
        <v>97</v>
      </c>
      <c r="BC911">
        <v>100</v>
      </c>
      <c r="BD911" t="s">
        <v>74</v>
      </c>
      <c r="BE911" t="s">
        <v>17709</v>
      </c>
      <c r="BF911" t="str">
        <f>HYPERLINK("http://dx.doi.org/10.1016/j.jaim.2017.11.005","http://dx.doi.org/10.1016/j.jaim.2017.11.005")</f>
        <v>http://dx.doi.org/10.1016/j.jaim.2017.11.005</v>
      </c>
      <c r="BG911" t="s">
        <v>74</v>
      </c>
      <c r="BH911" t="s">
        <v>74</v>
      </c>
      <c r="BI911">
        <v>4</v>
      </c>
      <c r="BJ911" t="s">
        <v>17710</v>
      </c>
      <c r="BK911" t="s">
        <v>3838</v>
      </c>
      <c r="BL911" t="s">
        <v>17710</v>
      </c>
      <c r="BM911" t="s">
        <v>17711</v>
      </c>
      <c r="BN911">
        <v>30704833</v>
      </c>
      <c r="BO911" t="s">
        <v>1778</v>
      </c>
      <c r="BP911" t="s">
        <v>74</v>
      </c>
      <c r="BQ911" t="s">
        <v>74</v>
      </c>
      <c r="BR911" t="s">
        <v>106</v>
      </c>
      <c r="BS911" t="s">
        <v>17712</v>
      </c>
      <c r="BT911" t="str">
        <f>HYPERLINK("https%3A%2F%2Fwww.webofscience.com%2Fwos%2Fwoscc%2Ffull-record%2FWOS:000546905300002","View Full Record in Web of Science")</f>
        <v>View Full Record in Web of Science</v>
      </c>
    </row>
    <row r="912" spans="1:72" x14ac:dyDescent="0.15">
      <c r="A912" t="s">
        <v>72</v>
      </c>
      <c r="B912" t="s">
        <v>17713</v>
      </c>
      <c r="C912" t="s">
        <v>74</v>
      </c>
      <c r="D912" t="s">
        <v>74</v>
      </c>
      <c r="E912" t="s">
        <v>74</v>
      </c>
      <c r="F912" t="s">
        <v>17714</v>
      </c>
      <c r="G912" t="s">
        <v>74</v>
      </c>
      <c r="H912" t="s">
        <v>74</v>
      </c>
      <c r="I912" t="s">
        <v>17715</v>
      </c>
      <c r="J912" t="s">
        <v>8589</v>
      </c>
      <c r="K912" t="s">
        <v>74</v>
      </c>
      <c r="L912" t="s">
        <v>74</v>
      </c>
      <c r="M912" t="s">
        <v>78</v>
      </c>
      <c r="N912" t="s">
        <v>79</v>
      </c>
      <c r="O912" t="s">
        <v>74</v>
      </c>
      <c r="P912" t="s">
        <v>74</v>
      </c>
      <c r="Q912" t="s">
        <v>74</v>
      </c>
      <c r="R912" t="s">
        <v>74</v>
      </c>
      <c r="S912" t="s">
        <v>74</v>
      </c>
      <c r="T912" t="s">
        <v>17716</v>
      </c>
      <c r="U912" t="s">
        <v>17717</v>
      </c>
      <c r="V912" t="s">
        <v>17718</v>
      </c>
      <c r="W912" t="s">
        <v>17719</v>
      </c>
      <c r="X912" t="s">
        <v>17720</v>
      </c>
      <c r="Y912" t="s">
        <v>17721</v>
      </c>
      <c r="Z912" t="s">
        <v>17722</v>
      </c>
      <c r="AA912" t="s">
        <v>17723</v>
      </c>
      <c r="AB912" t="s">
        <v>17724</v>
      </c>
      <c r="AC912" t="s">
        <v>17725</v>
      </c>
      <c r="AD912" t="s">
        <v>17726</v>
      </c>
      <c r="AE912" t="s">
        <v>17727</v>
      </c>
      <c r="AF912" t="s">
        <v>74</v>
      </c>
      <c r="AG912">
        <v>35</v>
      </c>
      <c r="AH912">
        <v>0</v>
      </c>
      <c r="AI912">
        <v>1</v>
      </c>
      <c r="AJ912">
        <v>0</v>
      </c>
      <c r="AK912">
        <v>4</v>
      </c>
      <c r="AL912" t="s">
        <v>4283</v>
      </c>
      <c r="AM912" t="s">
        <v>4284</v>
      </c>
      <c r="AN912" t="s">
        <v>4285</v>
      </c>
      <c r="AO912" t="s">
        <v>74</v>
      </c>
      <c r="AP912" t="s">
        <v>8602</v>
      </c>
      <c r="AQ912" t="s">
        <v>74</v>
      </c>
      <c r="AR912" t="s">
        <v>8603</v>
      </c>
      <c r="AS912" t="s">
        <v>8604</v>
      </c>
      <c r="AT912" t="s">
        <v>5993</v>
      </c>
      <c r="AU912">
        <v>2020</v>
      </c>
      <c r="AV912">
        <v>11</v>
      </c>
      <c r="AW912">
        <v>4</v>
      </c>
      <c r="AX912" t="s">
        <v>74</v>
      </c>
      <c r="AY912" t="s">
        <v>74</v>
      </c>
      <c r="AZ912" t="s">
        <v>74</v>
      </c>
      <c r="BA912" t="s">
        <v>74</v>
      </c>
      <c r="BB912" t="s">
        <v>74</v>
      </c>
      <c r="BC912" t="s">
        <v>74</v>
      </c>
      <c r="BD912">
        <v>399</v>
      </c>
      <c r="BE912" t="s">
        <v>17728</v>
      </c>
      <c r="BF912" t="str">
        <f>HYPERLINK("http://dx.doi.org/10.3390/atmos11040399","http://dx.doi.org/10.3390/atmos11040399")</f>
        <v>http://dx.doi.org/10.3390/atmos11040399</v>
      </c>
      <c r="BG912" t="s">
        <v>74</v>
      </c>
      <c r="BH912" t="s">
        <v>74</v>
      </c>
      <c r="BI912">
        <v>20</v>
      </c>
      <c r="BJ912" t="s">
        <v>2068</v>
      </c>
      <c r="BK912" t="s">
        <v>102</v>
      </c>
      <c r="BL912" t="s">
        <v>2069</v>
      </c>
      <c r="BM912" t="s">
        <v>17729</v>
      </c>
      <c r="BN912" t="s">
        <v>74</v>
      </c>
      <c r="BO912" t="s">
        <v>1352</v>
      </c>
      <c r="BP912" t="s">
        <v>74</v>
      </c>
      <c r="BQ912" t="s">
        <v>74</v>
      </c>
      <c r="BR912" t="s">
        <v>106</v>
      </c>
      <c r="BS912" t="s">
        <v>17730</v>
      </c>
      <c r="BT912" t="str">
        <f>HYPERLINK("https%3A%2F%2Fwww.webofscience.com%2Fwos%2Fwoscc%2Ffull-record%2FWOS:000539492200086","View Full Record in Web of Science")</f>
        <v>View Full Record in Web of Science</v>
      </c>
    </row>
    <row r="913" spans="1:72" x14ac:dyDescent="0.15">
      <c r="A913" t="s">
        <v>72</v>
      </c>
      <c r="B913" t="s">
        <v>17731</v>
      </c>
      <c r="C913" t="s">
        <v>74</v>
      </c>
      <c r="D913" t="s">
        <v>74</v>
      </c>
      <c r="E913" t="s">
        <v>74</v>
      </c>
      <c r="F913" t="s">
        <v>17732</v>
      </c>
      <c r="G913" t="s">
        <v>74</v>
      </c>
      <c r="H913" t="s">
        <v>74</v>
      </c>
      <c r="I913" t="s">
        <v>17733</v>
      </c>
      <c r="J913" t="s">
        <v>8589</v>
      </c>
      <c r="K913" t="s">
        <v>74</v>
      </c>
      <c r="L913" t="s">
        <v>74</v>
      </c>
      <c r="M913" t="s">
        <v>78</v>
      </c>
      <c r="N913" t="s">
        <v>79</v>
      </c>
      <c r="O913" t="s">
        <v>74</v>
      </c>
      <c r="P913" t="s">
        <v>74</v>
      </c>
      <c r="Q913" t="s">
        <v>74</v>
      </c>
      <c r="R913" t="s">
        <v>74</v>
      </c>
      <c r="S913" t="s">
        <v>74</v>
      </c>
      <c r="T913" t="s">
        <v>17734</v>
      </c>
      <c r="U913" t="s">
        <v>17735</v>
      </c>
      <c r="V913" t="s">
        <v>17736</v>
      </c>
      <c r="W913" t="s">
        <v>17737</v>
      </c>
      <c r="X913" t="s">
        <v>17738</v>
      </c>
      <c r="Y913" t="s">
        <v>17739</v>
      </c>
      <c r="Z913" t="s">
        <v>17740</v>
      </c>
      <c r="AA913" t="s">
        <v>17741</v>
      </c>
      <c r="AB913" t="s">
        <v>17742</v>
      </c>
      <c r="AC913" t="s">
        <v>17743</v>
      </c>
      <c r="AD913" t="s">
        <v>17744</v>
      </c>
      <c r="AE913" t="s">
        <v>17745</v>
      </c>
      <c r="AF913" t="s">
        <v>74</v>
      </c>
      <c r="AG913">
        <v>58</v>
      </c>
      <c r="AH913">
        <v>25</v>
      </c>
      <c r="AI913">
        <v>25</v>
      </c>
      <c r="AJ913">
        <v>1</v>
      </c>
      <c r="AK913">
        <v>9</v>
      </c>
      <c r="AL913" t="s">
        <v>4283</v>
      </c>
      <c r="AM913" t="s">
        <v>4284</v>
      </c>
      <c r="AN913" t="s">
        <v>4285</v>
      </c>
      <c r="AO913" t="s">
        <v>74</v>
      </c>
      <c r="AP913" t="s">
        <v>8602</v>
      </c>
      <c r="AQ913" t="s">
        <v>74</v>
      </c>
      <c r="AR913" t="s">
        <v>8603</v>
      </c>
      <c r="AS913" t="s">
        <v>8604</v>
      </c>
      <c r="AT913" t="s">
        <v>5993</v>
      </c>
      <c r="AU913">
        <v>2020</v>
      </c>
      <c r="AV913">
        <v>11</v>
      </c>
      <c r="AW913">
        <v>4</v>
      </c>
      <c r="AX913" t="s">
        <v>74</v>
      </c>
      <c r="AY913" t="s">
        <v>74</v>
      </c>
      <c r="AZ913" t="s">
        <v>74</v>
      </c>
      <c r="BA913" t="s">
        <v>74</v>
      </c>
      <c r="BB913" t="s">
        <v>74</v>
      </c>
      <c r="BC913" t="s">
        <v>74</v>
      </c>
      <c r="BD913">
        <v>416</v>
      </c>
      <c r="BE913" t="s">
        <v>17746</v>
      </c>
      <c r="BF913" t="str">
        <f>HYPERLINK("http://dx.doi.org/10.3390/atmos11040416","http://dx.doi.org/10.3390/atmos11040416")</f>
        <v>http://dx.doi.org/10.3390/atmos11040416</v>
      </c>
      <c r="BG913" t="s">
        <v>74</v>
      </c>
      <c r="BH913" t="s">
        <v>74</v>
      </c>
      <c r="BI913">
        <v>25</v>
      </c>
      <c r="BJ913" t="s">
        <v>2068</v>
      </c>
      <c r="BK913" t="s">
        <v>102</v>
      </c>
      <c r="BL913" t="s">
        <v>2069</v>
      </c>
      <c r="BM913" t="s">
        <v>17729</v>
      </c>
      <c r="BN913" t="s">
        <v>74</v>
      </c>
      <c r="BO913" t="s">
        <v>1778</v>
      </c>
      <c r="BP913" t="s">
        <v>74</v>
      </c>
      <c r="BQ913" t="s">
        <v>74</v>
      </c>
      <c r="BR913" t="s">
        <v>106</v>
      </c>
      <c r="BS913" t="s">
        <v>17747</v>
      </c>
      <c r="BT913" t="str">
        <f>HYPERLINK("https%3A%2F%2Fwww.webofscience.com%2Fwos%2Fwoscc%2Ffull-record%2FWOS:000539492200103","View Full Record in Web of Science")</f>
        <v>View Full Record in Web of Science</v>
      </c>
    </row>
    <row r="914" spans="1:72" x14ac:dyDescent="0.15">
      <c r="A914" t="s">
        <v>72</v>
      </c>
      <c r="B914" t="s">
        <v>17748</v>
      </c>
      <c r="C914" t="s">
        <v>74</v>
      </c>
      <c r="D914" t="s">
        <v>74</v>
      </c>
      <c r="E914" t="s">
        <v>74</v>
      </c>
      <c r="F914" t="s">
        <v>17749</v>
      </c>
      <c r="G914" t="s">
        <v>74</v>
      </c>
      <c r="H914" t="s">
        <v>74</v>
      </c>
      <c r="I914" t="s">
        <v>17750</v>
      </c>
      <c r="J914" t="s">
        <v>8589</v>
      </c>
      <c r="K914" t="s">
        <v>74</v>
      </c>
      <c r="L914" t="s">
        <v>74</v>
      </c>
      <c r="M914" t="s">
        <v>78</v>
      </c>
      <c r="N914" t="s">
        <v>79</v>
      </c>
      <c r="O914" t="s">
        <v>74</v>
      </c>
      <c r="P914" t="s">
        <v>74</v>
      </c>
      <c r="Q914" t="s">
        <v>74</v>
      </c>
      <c r="R914" t="s">
        <v>74</v>
      </c>
      <c r="S914" t="s">
        <v>74</v>
      </c>
      <c r="T914" t="s">
        <v>17751</v>
      </c>
      <c r="U914" t="s">
        <v>17752</v>
      </c>
      <c r="V914" t="s">
        <v>17753</v>
      </c>
      <c r="W914" t="s">
        <v>17754</v>
      </c>
      <c r="X914" t="s">
        <v>17755</v>
      </c>
      <c r="Y914" t="s">
        <v>7176</v>
      </c>
      <c r="Z914" t="s">
        <v>17756</v>
      </c>
      <c r="AA914" t="s">
        <v>17757</v>
      </c>
      <c r="AB914" t="s">
        <v>17758</v>
      </c>
      <c r="AC914" t="s">
        <v>17759</v>
      </c>
      <c r="AD914" t="s">
        <v>17760</v>
      </c>
      <c r="AE914" t="s">
        <v>17761</v>
      </c>
      <c r="AF914" t="s">
        <v>74</v>
      </c>
      <c r="AG914">
        <v>33</v>
      </c>
      <c r="AH914">
        <v>4</v>
      </c>
      <c r="AI914">
        <v>4</v>
      </c>
      <c r="AJ914">
        <v>3</v>
      </c>
      <c r="AK914">
        <v>6</v>
      </c>
      <c r="AL914" t="s">
        <v>4283</v>
      </c>
      <c r="AM914" t="s">
        <v>4284</v>
      </c>
      <c r="AN914" t="s">
        <v>4285</v>
      </c>
      <c r="AO914" t="s">
        <v>74</v>
      </c>
      <c r="AP914" t="s">
        <v>8602</v>
      </c>
      <c r="AQ914" t="s">
        <v>74</v>
      </c>
      <c r="AR914" t="s">
        <v>8603</v>
      </c>
      <c r="AS914" t="s">
        <v>8604</v>
      </c>
      <c r="AT914" t="s">
        <v>5993</v>
      </c>
      <c r="AU914">
        <v>2020</v>
      </c>
      <c r="AV914">
        <v>11</v>
      </c>
      <c r="AW914">
        <v>4</v>
      </c>
      <c r="AX914" t="s">
        <v>74</v>
      </c>
      <c r="AY914" t="s">
        <v>74</v>
      </c>
      <c r="AZ914" t="s">
        <v>74</v>
      </c>
      <c r="BA914" t="s">
        <v>74</v>
      </c>
      <c r="BB914" t="s">
        <v>74</v>
      </c>
      <c r="BC914" t="s">
        <v>74</v>
      </c>
      <c r="BD914">
        <v>373</v>
      </c>
      <c r="BE914" t="s">
        <v>17762</v>
      </c>
      <c r="BF914" t="str">
        <f>HYPERLINK("http://dx.doi.org/10.3390/atmos11040373","http://dx.doi.org/10.3390/atmos11040373")</f>
        <v>http://dx.doi.org/10.3390/atmos11040373</v>
      </c>
      <c r="BG914" t="s">
        <v>74</v>
      </c>
      <c r="BH914" t="s">
        <v>74</v>
      </c>
      <c r="BI914">
        <v>11</v>
      </c>
      <c r="BJ914" t="s">
        <v>2068</v>
      </c>
      <c r="BK914" t="s">
        <v>102</v>
      </c>
      <c r="BL914" t="s">
        <v>2069</v>
      </c>
      <c r="BM914" t="s">
        <v>17729</v>
      </c>
      <c r="BN914" t="s">
        <v>74</v>
      </c>
      <c r="BO914" t="s">
        <v>1128</v>
      </c>
      <c r="BP914" t="s">
        <v>74</v>
      </c>
      <c r="BQ914" t="s">
        <v>74</v>
      </c>
      <c r="BR914" t="s">
        <v>106</v>
      </c>
      <c r="BS914" t="s">
        <v>17763</v>
      </c>
      <c r="BT914" t="str">
        <f>HYPERLINK("https%3A%2F%2Fwww.webofscience.com%2Fwos%2Fwoscc%2Ffull-record%2FWOS:000539492200060","View Full Record in Web of Science")</f>
        <v>View Full Record in Web of Science</v>
      </c>
    </row>
    <row r="915" spans="1:72" x14ac:dyDescent="0.15">
      <c r="A915" t="s">
        <v>72</v>
      </c>
      <c r="B915" t="s">
        <v>17764</v>
      </c>
      <c r="C915" t="s">
        <v>74</v>
      </c>
      <c r="D915" t="s">
        <v>74</v>
      </c>
      <c r="E915" t="s">
        <v>74</v>
      </c>
      <c r="F915" t="s">
        <v>17765</v>
      </c>
      <c r="G915" t="s">
        <v>74</v>
      </c>
      <c r="H915" t="s">
        <v>74</v>
      </c>
      <c r="I915" t="s">
        <v>17766</v>
      </c>
      <c r="J915" t="s">
        <v>8589</v>
      </c>
      <c r="K915" t="s">
        <v>74</v>
      </c>
      <c r="L915" t="s">
        <v>74</v>
      </c>
      <c r="M915" t="s">
        <v>78</v>
      </c>
      <c r="N915" t="s">
        <v>79</v>
      </c>
      <c r="O915" t="s">
        <v>74</v>
      </c>
      <c r="P915" t="s">
        <v>74</v>
      </c>
      <c r="Q915" t="s">
        <v>74</v>
      </c>
      <c r="R915" t="s">
        <v>74</v>
      </c>
      <c r="S915" t="s">
        <v>74</v>
      </c>
      <c r="T915" t="s">
        <v>17767</v>
      </c>
      <c r="U915" t="s">
        <v>17768</v>
      </c>
      <c r="V915" t="s">
        <v>17769</v>
      </c>
      <c r="W915" t="s">
        <v>17770</v>
      </c>
      <c r="X915" t="s">
        <v>17771</v>
      </c>
      <c r="Y915" t="s">
        <v>17772</v>
      </c>
      <c r="Z915" t="s">
        <v>17773</v>
      </c>
      <c r="AA915" t="s">
        <v>17774</v>
      </c>
      <c r="AB915" t="s">
        <v>17775</v>
      </c>
      <c r="AC915" t="s">
        <v>17776</v>
      </c>
      <c r="AD915" t="s">
        <v>17777</v>
      </c>
      <c r="AE915" t="s">
        <v>17778</v>
      </c>
      <c r="AF915" t="s">
        <v>74</v>
      </c>
      <c r="AG915">
        <v>103</v>
      </c>
      <c r="AH915">
        <v>11</v>
      </c>
      <c r="AI915">
        <v>11</v>
      </c>
      <c r="AJ915">
        <v>1</v>
      </c>
      <c r="AK915">
        <v>22</v>
      </c>
      <c r="AL915" t="s">
        <v>4283</v>
      </c>
      <c r="AM915" t="s">
        <v>4284</v>
      </c>
      <c r="AN915" t="s">
        <v>4285</v>
      </c>
      <c r="AO915" t="s">
        <v>74</v>
      </c>
      <c r="AP915" t="s">
        <v>8602</v>
      </c>
      <c r="AQ915" t="s">
        <v>74</v>
      </c>
      <c r="AR915" t="s">
        <v>8603</v>
      </c>
      <c r="AS915" t="s">
        <v>8604</v>
      </c>
      <c r="AT915" t="s">
        <v>5993</v>
      </c>
      <c r="AU915">
        <v>2020</v>
      </c>
      <c r="AV915">
        <v>11</v>
      </c>
      <c r="AW915">
        <v>4</v>
      </c>
      <c r="AX915" t="s">
        <v>74</v>
      </c>
      <c r="AY915" t="s">
        <v>74</v>
      </c>
      <c r="AZ915" t="s">
        <v>74</v>
      </c>
      <c r="BA915" t="s">
        <v>74</v>
      </c>
      <c r="BB915" t="s">
        <v>74</v>
      </c>
      <c r="BC915" t="s">
        <v>74</v>
      </c>
      <c r="BD915">
        <v>390</v>
      </c>
      <c r="BE915" t="s">
        <v>17779</v>
      </c>
      <c r="BF915" t="str">
        <f>HYPERLINK("http://dx.doi.org/10.3390/atmos11040390","http://dx.doi.org/10.3390/atmos11040390")</f>
        <v>http://dx.doi.org/10.3390/atmos11040390</v>
      </c>
      <c r="BG915" t="s">
        <v>74</v>
      </c>
      <c r="BH915" t="s">
        <v>74</v>
      </c>
      <c r="BI915">
        <v>24</v>
      </c>
      <c r="BJ915" t="s">
        <v>2068</v>
      </c>
      <c r="BK915" t="s">
        <v>102</v>
      </c>
      <c r="BL915" t="s">
        <v>2069</v>
      </c>
      <c r="BM915" t="s">
        <v>17729</v>
      </c>
      <c r="BN915" t="s">
        <v>74</v>
      </c>
      <c r="BO915" t="s">
        <v>161</v>
      </c>
      <c r="BP915" t="s">
        <v>74</v>
      </c>
      <c r="BQ915" t="s">
        <v>74</v>
      </c>
      <c r="BR915" t="s">
        <v>106</v>
      </c>
      <c r="BS915" t="s">
        <v>17780</v>
      </c>
      <c r="BT915" t="str">
        <f>HYPERLINK("https%3A%2F%2Fwww.webofscience.com%2Fwos%2Fwoscc%2Ffull-record%2FWOS:000539492200077","View Full Record in Web of Science")</f>
        <v>View Full Record in Web of Science</v>
      </c>
    </row>
    <row r="916" spans="1:72" x14ac:dyDescent="0.15">
      <c r="A916" t="s">
        <v>72</v>
      </c>
      <c r="B916" t="s">
        <v>17781</v>
      </c>
      <c r="C916" t="s">
        <v>74</v>
      </c>
      <c r="D916" t="s">
        <v>74</v>
      </c>
      <c r="E916" t="s">
        <v>74</v>
      </c>
      <c r="F916" t="s">
        <v>17782</v>
      </c>
      <c r="G916" t="s">
        <v>74</v>
      </c>
      <c r="H916" t="s">
        <v>74</v>
      </c>
      <c r="I916" t="s">
        <v>17783</v>
      </c>
      <c r="J916" t="s">
        <v>17784</v>
      </c>
      <c r="K916" t="s">
        <v>74</v>
      </c>
      <c r="L916" t="s">
        <v>74</v>
      </c>
      <c r="M916" t="s">
        <v>78</v>
      </c>
      <c r="N916" t="s">
        <v>79</v>
      </c>
      <c r="O916" t="s">
        <v>74</v>
      </c>
      <c r="P916" t="s">
        <v>74</v>
      </c>
      <c r="Q916" t="s">
        <v>74</v>
      </c>
      <c r="R916" t="s">
        <v>74</v>
      </c>
      <c r="S916" t="s">
        <v>74</v>
      </c>
      <c r="T916" t="s">
        <v>17785</v>
      </c>
      <c r="U916" t="s">
        <v>17786</v>
      </c>
      <c r="V916" t="s">
        <v>17787</v>
      </c>
      <c r="W916" t="s">
        <v>17788</v>
      </c>
      <c r="X916" t="s">
        <v>17789</v>
      </c>
      <c r="Y916" t="s">
        <v>17790</v>
      </c>
      <c r="Z916" t="s">
        <v>17791</v>
      </c>
      <c r="AA916" t="s">
        <v>17792</v>
      </c>
      <c r="AB916" t="s">
        <v>17793</v>
      </c>
      <c r="AC916" t="s">
        <v>17794</v>
      </c>
      <c r="AD916" t="s">
        <v>17794</v>
      </c>
      <c r="AE916" t="s">
        <v>17795</v>
      </c>
      <c r="AF916" t="s">
        <v>74</v>
      </c>
      <c r="AG916">
        <v>37</v>
      </c>
      <c r="AH916">
        <v>2</v>
      </c>
      <c r="AI916">
        <v>2</v>
      </c>
      <c r="AJ916">
        <v>0</v>
      </c>
      <c r="AK916">
        <v>4</v>
      </c>
      <c r="AL916" t="s">
        <v>4283</v>
      </c>
      <c r="AM916" t="s">
        <v>4284</v>
      </c>
      <c r="AN916" t="s">
        <v>4285</v>
      </c>
      <c r="AO916" t="s">
        <v>74</v>
      </c>
      <c r="AP916" t="s">
        <v>17796</v>
      </c>
      <c r="AQ916" t="s">
        <v>74</v>
      </c>
      <c r="AR916" t="s">
        <v>17797</v>
      </c>
      <c r="AS916" t="s">
        <v>17798</v>
      </c>
      <c r="AT916" t="s">
        <v>5993</v>
      </c>
      <c r="AU916">
        <v>2020</v>
      </c>
      <c r="AV916">
        <v>10</v>
      </c>
      <c r="AW916">
        <v>7</v>
      </c>
      <c r="AX916" t="s">
        <v>74</v>
      </c>
      <c r="AY916" t="s">
        <v>74</v>
      </c>
      <c r="AZ916" t="s">
        <v>74</v>
      </c>
      <c r="BA916" t="s">
        <v>74</v>
      </c>
      <c r="BB916" t="s">
        <v>74</v>
      </c>
      <c r="BC916" t="s">
        <v>74</v>
      </c>
      <c r="BD916">
        <v>2537</v>
      </c>
      <c r="BE916" t="s">
        <v>17799</v>
      </c>
      <c r="BF916" t="str">
        <f>HYPERLINK("http://dx.doi.org/10.3390/app10072537","http://dx.doi.org/10.3390/app10072537")</f>
        <v>http://dx.doi.org/10.3390/app10072537</v>
      </c>
      <c r="BG916" t="s">
        <v>74</v>
      </c>
      <c r="BH916" t="s">
        <v>74</v>
      </c>
      <c r="BI916">
        <v>9</v>
      </c>
      <c r="BJ916" t="s">
        <v>17800</v>
      </c>
      <c r="BK916" t="s">
        <v>102</v>
      </c>
      <c r="BL916" t="s">
        <v>17801</v>
      </c>
      <c r="BM916" t="s">
        <v>17802</v>
      </c>
      <c r="BN916" t="s">
        <v>74</v>
      </c>
      <c r="BO916" t="s">
        <v>4945</v>
      </c>
      <c r="BP916" t="s">
        <v>74</v>
      </c>
      <c r="BQ916" t="s">
        <v>74</v>
      </c>
      <c r="BR916" t="s">
        <v>106</v>
      </c>
      <c r="BS916" t="s">
        <v>17803</v>
      </c>
      <c r="BT916" t="str">
        <f>HYPERLINK("https%3A%2F%2Fwww.webofscience.com%2Fwos%2Fwoscc%2Ffull-record%2FWOS:000533356200336","View Full Record in Web of Science")</f>
        <v>View Full Record in Web of Science</v>
      </c>
    </row>
    <row r="917" spans="1:72" x14ac:dyDescent="0.15">
      <c r="A917" t="s">
        <v>72</v>
      </c>
      <c r="B917" t="s">
        <v>17804</v>
      </c>
      <c r="C917" t="s">
        <v>74</v>
      </c>
      <c r="D917" t="s">
        <v>74</v>
      </c>
      <c r="E917" t="s">
        <v>74</v>
      </c>
      <c r="F917" t="s">
        <v>17805</v>
      </c>
      <c r="G917" t="s">
        <v>74</v>
      </c>
      <c r="H917" t="s">
        <v>74</v>
      </c>
      <c r="I917" t="s">
        <v>17806</v>
      </c>
      <c r="J917" t="s">
        <v>13102</v>
      </c>
      <c r="K917" t="s">
        <v>74</v>
      </c>
      <c r="L917" t="s">
        <v>74</v>
      </c>
      <c r="M917" t="s">
        <v>78</v>
      </c>
      <c r="N917" t="s">
        <v>79</v>
      </c>
      <c r="O917" t="s">
        <v>74</v>
      </c>
      <c r="P917" t="s">
        <v>74</v>
      </c>
      <c r="Q917" t="s">
        <v>74</v>
      </c>
      <c r="R917" t="s">
        <v>74</v>
      </c>
      <c r="S917" t="s">
        <v>74</v>
      </c>
      <c r="T917" t="s">
        <v>17807</v>
      </c>
      <c r="U917" t="s">
        <v>17808</v>
      </c>
      <c r="V917" t="s">
        <v>17809</v>
      </c>
      <c r="W917" t="s">
        <v>17810</v>
      </c>
      <c r="X917" t="s">
        <v>17811</v>
      </c>
      <c r="Y917" t="s">
        <v>17812</v>
      </c>
      <c r="Z917" t="s">
        <v>17813</v>
      </c>
      <c r="AA917" t="s">
        <v>17814</v>
      </c>
      <c r="AB917" t="s">
        <v>17815</v>
      </c>
      <c r="AC917" t="s">
        <v>17816</v>
      </c>
      <c r="AD917" t="s">
        <v>17817</v>
      </c>
      <c r="AE917" t="s">
        <v>17818</v>
      </c>
      <c r="AF917" t="s">
        <v>74</v>
      </c>
      <c r="AG917">
        <v>79</v>
      </c>
      <c r="AH917">
        <v>14</v>
      </c>
      <c r="AI917">
        <v>14</v>
      </c>
      <c r="AJ917">
        <v>4</v>
      </c>
      <c r="AK917">
        <v>31</v>
      </c>
      <c r="AL917" t="s">
        <v>92</v>
      </c>
      <c r="AM917" t="s">
        <v>93</v>
      </c>
      <c r="AN917" t="s">
        <v>94</v>
      </c>
      <c r="AO917" t="s">
        <v>13115</v>
      </c>
      <c r="AP917" t="s">
        <v>13116</v>
      </c>
      <c r="AQ917" t="s">
        <v>74</v>
      </c>
      <c r="AR917" t="s">
        <v>13117</v>
      </c>
      <c r="AS917" t="s">
        <v>13118</v>
      </c>
      <c r="AT917" t="s">
        <v>5993</v>
      </c>
      <c r="AU917">
        <v>2020</v>
      </c>
      <c r="AV917">
        <v>174</v>
      </c>
      <c r="AW917" t="s">
        <v>74</v>
      </c>
      <c r="AX917" t="s">
        <v>74</v>
      </c>
      <c r="AY917" t="s">
        <v>74</v>
      </c>
      <c r="AZ917" t="s">
        <v>2622</v>
      </c>
      <c r="BA917" t="s">
        <v>74</v>
      </c>
      <c r="BB917" t="s">
        <v>74</v>
      </c>
      <c r="BC917" t="s">
        <v>74</v>
      </c>
      <c r="BD917">
        <v>104479</v>
      </c>
      <c r="BE917" t="s">
        <v>17819</v>
      </c>
      <c r="BF917" t="str">
        <f>HYPERLINK("http://dx.doi.org/10.1016/j.dsr2.2018.07.013","http://dx.doi.org/10.1016/j.dsr2.2018.07.013")</f>
        <v>http://dx.doi.org/10.1016/j.dsr2.2018.07.013</v>
      </c>
      <c r="BG917" t="s">
        <v>74</v>
      </c>
      <c r="BH917" t="s">
        <v>74</v>
      </c>
      <c r="BI917">
        <v>16</v>
      </c>
      <c r="BJ917" t="s">
        <v>213</v>
      </c>
      <c r="BK917" t="s">
        <v>102</v>
      </c>
      <c r="BL917" t="s">
        <v>213</v>
      </c>
      <c r="BM917" t="s">
        <v>17269</v>
      </c>
      <c r="BN917" t="s">
        <v>74</v>
      </c>
      <c r="BO917" t="s">
        <v>189</v>
      </c>
      <c r="BP917" t="s">
        <v>74</v>
      </c>
      <c r="BQ917" t="s">
        <v>74</v>
      </c>
      <c r="BR917" t="s">
        <v>106</v>
      </c>
      <c r="BS917" t="s">
        <v>17820</v>
      </c>
      <c r="BT917" t="str">
        <f>HYPERLINK("https%3A%2F%2Fwww.webofscience.com%2Fwos%2Fwoscc%2Ffull-record%2FWOS:000539111000002","View Full Record in Web of Science")</f>
        <v>View Full Record in Web of Science</v>
      </c>
    </row>
    <row r="918" spans="1:72" x14ac:dyDescent="0.15">
      <c r="A918" t="s">
        <v>72</v>
      </c>
      <c r="B918" t="s">
        <v>17821</v>
      </c>
      <c r="C918" t="s">
        <v>74</v>
      </c>
      <c r="D918" t="s">
        <v>74</v>
      </c>
      <c r="E918" t="s">
        <v>74</v>
      </c>
      <c r="F918" t="s">
        <v>17822</v>
      </c>
      <c r="G918" t="s">
        <v>74</v>
      </c>
      <c r="H918" t="s">
        <v>74</v>
      </c>
      <c r="I918" t="s">
        <v>17823</v>
      </c>
      <c r="J918" t="s">
        <v>13102</v>
      </c>
      <c r="K918" t="s">
        <v>74</v>
      </c>
      <c r="L918" t="s">
        <v>74</v>
      </c>
      <c r="M918" t="s">
        <v>78</v>
      </c>
      <c r="N918" t="s">
        <v>79</v>
      </c>
      <c r="O918" t="s">
        <v>74</v>
      </c>
      <c r="P918" t="s">
        <v>74</v>
      </c>
      <c r="Q918" t="s">
        <v>74</v>
      </c>
      <c r="R918" t="s">
        <v>74</v>
      </c>
      <c r="S918" t="s">
        <v>74</v>
      </c>
      <c r="T918" t="s">
        <v>17824</v>
      </c>
      <c r="U918" t="s">
        <v>17825</v>
      </c>
      <c r="V918" t="s">
        <v>17826</v>
      </c>
      <c r="W918" t="s">
        <v>17827</v>
      </c>
      <c r="X918" t="s">
        <v>13072</v>
      </c>
      <c r="Y918" t="s">
        <v>17828</v>
      </c>
      <c r="Z918" t="s">
        <v>4002</v>
      </c>
      <c r="AA918" t="s">
        <v>17829</v>
      </c>
      <c r="AB918" t="s">
        <v>17830</v>
      </c>
      <c r="AC918" t="s">
        <v>17831</v>
      </c>
      <c r="AD918" t="s">
        <v>17832</v>
      </c>
      <c r="AE918" t="s">
        <v>17833</v>
      </c>
      <c r="AF918" t="s">
        <v>74</v>
      </c>
      <c r="AG918">
        <v>38</v>
      </c>
      <c r="AH918">
        <v>6</v>
      </c>
      <c r="AI918">
        <v>8</v>
      </c>
      <c r="AJ918">
        <v>2</v>
      </c>
      <c r="AK918">
        <v>18</v>
      </c>
      <c r="AL918" t="s">
        <v>92</v>
      </c>
      <c r="AM918" t="s">
        <v>93</v>
      </c>
      <c r="AN918" t="s">
        <v>94</v>
      </c>
      <c r="AO918" t="s">
        <v>13115</v>
      </c>
      <c r="AP918" t="s">
        <v>13116</v>
      </c>
      <c r="AQ918" t="s">
        <v>74</v>
      </c>
      <c r="AR918" t="s">
        <v>13117</v>
      </c>
      <c r="AS918" t="s">
        <v>13118</v>
      </c>
      <c r="AT918" t="s">
        <v>5993</v>
      </c>
      <c r="AU918">
        <v>2020</v>
      </c>
      <c r="AV918">
        <v>174</v>
      </c>
      <c r="AW918" t="s">
        <v>74</v>
      </c>
      <c r="AX918" t="s">
        <v>74</v>
      </c>
      <c r="AY918" t="s">
        <v>74</v>
      </c>
      <c r="AZ918" t="s">
        <v>2622</v>
      </c>
      <c r="BA918" t="s">
        <v>74</v>
      </c>
      <c r="BB918" t="s">
        <v>74</v>
      </c>
      <c r="BC918" t="s">
        <v>74</v>
      </c>
      <c r="BD918">
        <v>104538</v>
      </c>
      <c r="BE918" t="s">
        <v>17834</v>
      </c>
      <c r="BF918" t="str">
        <f>HYPERLINK("http://dx.doi.org/10.1016/j.dsr2.2018.12.003","http://dx.doi.org/10.1016/j.dsr2.2018.12.003")</f>
        <v>http://dx.doi.org/10.1016/j.dsr2.2018.12.003</v>
      </c>
      <c r="BG918" t="s">
        <v>74</v>
      </c>
      <c r="BH918" t="s">
        <v>74</v>
      </c>
      <c r="BI918">
        <v>12</v>
      </c>
      <c r="BJ918" t="s">
        <v>213</v>
      </c>
      <c r="BK918" t="s">
        <v>102</v>
      </c>
      <c r="BL918" t="s">
        <v>213</v>
      </c>
      <c r="BM918" t="s">
        <v>17269</v>
      </c>
      <c r="BN918" t="s">
        <v>74</v>
      </c>
      <c r="BO918" t="s">
        <v>74</v>
      </c>
      <c r="BP918" t="s">
        <v>74</v>
      </c>
      <c r="BQ918" t="s">
        <v>74</v>
      </c>
      <c r="BR918" t="s">
        <v>106</v>
      </c>
      <c r="BS918" t="s">
        <v>17835</v>
      </c>
      <c r="BT918" t="str">
        <f>HYPERLINK("https%3A%2F%2Fwww.webofscience.com%2Fwos%2Fwoscc%2Ffull-record%2FWOS:000539111000004","View Full Record in Web of Science")</f>
        <v>View Full Record in Web of Science</v>
      </c>
    </row>
    <row r="919" spans="1:72" x14ac:dyDescent="0.15">
      <c r="A919" t="s">
        <v>72</v>
      </c>
      <c r="B919" t="s">
        <v>17836</v>
      </c>
      <c r="C919" t="s">
        <v>74</v>
      </c>
      <c r="D919" t="s">
        <v>74</v>
      </c>
      <c r="E919" t="s">
        <v>74</v>
      </c>
      <c r="F919" t="s">
        <v>17837</v>
      </c>
      <c r="G919" t="s">
        <v>74</v>
      </c>
      <c r="H919" t="s">
        <v>74</v>
      </c>
      <c r="I919" t="s">
        <v>17838</v>
      </c>
      <c r="J919" t="s">
        <v>13102</v>
      </c>
      <c r="K919" t="s">
        <v>74</v>
      </c>
      <c r="L919" t="s">
        <v>74</v>
      </c>
      <c r="M919" t="s">
        <v>78</v>
      </c>
      <c r="N919" t="s">
        <v>79</v>
      </c>
      <c r="O919" t="s">
        <v>74</v>
      </c>
      <c r="P919" t="s">
        <v>74</v>
      </c>
      <c r="Q919" t="s">
        <v>74</v>
      </c>
      <c r="R919" t="s">
        <v>74</v>
      </c>
      <c r="S919" t="s">
        <v>74</v>
      </c>
      <c r="T919" t="s">
        <v>17839</v>
      </c>
      <c r="U919" t="s">
        <v>17840</v>
      </c>
      <c r="V919" t="s">
        <v>17841</v>
      </c>
      <c r="W919" t="s">
        <v>17842</v>
      </c>
      <c r="X919" t="s">
        <v>17843</v>
      </c>
      <c r="Y919" t="s">
        <v>17844</v>
      </c>
      <c r="Z919" t="s">
        <v>4002</v>
      </c>
      <c r="AA919" t="s">
        <v>17845</v>
      </c>
      <c r="AB919" t="s">
        <v>17846</v>
      </c>
      <c r="AC919" t="s">
        <v>17847</v>
      </c>
      <c r="AD919" t="s">
        <v>17848</v>
      </c>
      <c r="AE919" t="s">
        <v>17849</v>
      </c>
      <c r="AF919" t="s">
        <v>74</v>
      </c>
      <c r="AG919">
        <v>55</v>
      </c>
      <c r="AH919">
        <v>23</v>
      </c>
      <c r="AI919">
        <v>26</v>
      </c>
      <c r="AJ919">
        <v>10</v>
      </c>
      <c r="AK919">
        <v>70</v>
      </c>
      <c r="AL919" t="s">
        <v>92</v>
      </c>
      <c r="AM919" t="s">
        <v>93</v>
      </c>
      <c r="AN919" t="s">
        <v>94</v>
      </c>
      <c r="AO919" t="s">
        <v>13115</v>
      </c>
      <c r="AP919" t="s">
        <v>13116</v>
      </c>
      <c r="AQ919" t="s">
        <v>74</v>
      </c>
      <c r="AR919" t="s">
        <v>13117</v>
      </c>
      <c r="AS919" t="s">
        <v>13118</v>
      </c>
      <c r="AT919" t="s">
        <v>5993</v>
      </c>
      <c r="AU919">
        <v>2020</v>
      </c>
      <c r="AV919">
        <v>174</v>
      </c>
      <c r="AW919" t="s">
        <v>74</v>
      </c>
      <c r="AX919" t="s">
        <v>74</v>
      </c>
      <c r="AY919" t="s">
        <v>74</v>
      </c>
      <c r="AZ919" t="s">
        <v>2622</v>
      </c>
      <c r="BA919" t="s">
        <v>74</v>
      </c>
      <c r="BB919" t="s">
        <v>74</v>
      </c>
      <c r="BC919" t="s">
        <v>74</v>
      </c>
      <c r="BD919">
        <v>104494</v>
      </c>
      <c r="BE919" t="s">
        <v>17850</v>
      </c>
      <c r="BF919" t="str">
        <f>HYPERLINK("http://dx.doi.org/10.1016/j.dsr2.2018.09.001","http://dx.doi.org/10.1016/j.dsr2.2018.09.001")</f>
        <v>http://dx.doi.org/10.1016/j.dsr2.2018.09.001</v>
      </c>
      <c r="BG919" t="s">
        <v>74</v>
      </c>
      <c r="BH919" t="s">
        <v>74</v>
      </c>
      <c r="BI919">
        <v>9</v>
      </c>
      <c r="BJ919" t="s">
        <v>213</v>
      </c>
      <c r="BK919" t="s">
        <v>102</v>
      </c>
      <c r="BL919" t="s">
        <v>213</v>
      </c>
      <c r="BM919" t="s">
        <v>17269</v>
      </c>
      <c r="BN919" t="s">
        <v>74</v>
      </c>
      <c r="BO919" t="s">
        <v>74</v>
      </c>
      <c r="BP919" t="s">
        <v>74</v>
      </c>
      <c r="BQ919" t="s">
        <v>74</v>
      </c>
      <c r="BR919" t="s">
        <v>106</v>
      </c>
      <c r="BS919" t="s">
        <v>17851</v>
      </c>
      <c r="BT919" t="str">
        <f>HYPERLINK("https%3A%2F%2Fwww.webofscience.com%2Fwos%2Fwoscc%2Ffull-record%2FWOS:000539111000001","View Full Record in Web of Science")</f>
        <v>View Full Record in Web of Science</v>
      </c>
    </row>
    <row r="920" spans="1:72" x14ac:dyDescent="0.15">
      <c r="A920" t="s">
        <v>72</v>
      </c>
      <c r="B920" t="s">
        <v>17852</v>
      </c>
      <c r="C920" t="s">
        <v>74</v>
      </c>
      <c r="D920" t="s">
        <v>74</v>
      </c>
      <c r="E920" t="s">
        <v>74</v>
      </c>
      <c r="F920" t="s">
        <v>17853</v>
      </c>
      <c r="G920" t="s">
        <v>74</v>
      </c>
      <c r="H920" t="s">
        <v>74</v>
      </c>
      <c r="I920" t="s">
        <v>17854</v>
      </c>
      <c r="J920" t="s">
        <v>13102</v>
      </c>
      <c r="K920" t="s">
        <v>74</v>
      </c>
      <c r="L920" t="s">
        <v>74</v>
      </c>
      <c r="M920" t="s">
        <v>78</v>
      </c>
      <c r="N920" t="s">
        <v>79</v>
      </c>
      <c r="O920" t="s">
        <v>74</v>
      </c>
      <c r="P920" t="s">
        <v>74</v>
      </c>
      <c r="Q920" t="s">
        <v>74</v>
      </c>
      <c r="R920" t="s">
        <v>74</v>
      </c>
      <c r="S920" t="s">
        <v>74</v>
      </c>
      <c r="T920" t="s">
        <v>17855</v>
      </c>
      <c r="U920" t="s">
        <v>17856</v>
      </c>
      <c r="V920" t="s">
        <v>17857</v>
      </c>
      <c r="W920" t="s">
        <v>17858</v>
      </c>
      <c r="X920" t="s">
        <v>17859</v>
      </c>
      <c r="Y920" t="s">
        <v>17860</v>
      </c>
      <c r="Z920" t="s">
        <v>17861</v>
      </c>
      <c r="AA920" t="s">
        <v>17862</v>
      </c>
      <c r="AB920" t="s">
        <v>17863</v>
      </c>
      <c r="AC920" t="s">
        <v>17864</v>
      </c>
      <c r="AD920" t="s">
        <v>17865</v>
      </c>
      <c r="AE920" t="s">
        <v>17866</v>
      </c>
      <c r="AF920" t="s">
        <v>74</v>
      </c>
      <c r="AG920">
        <v>84</v>
      </c>
      <c r="AH920">
        <v>6</v>
      </c>
      <c r="AI920">
        <v>6</v>
      </c>
      <c r="AJ920">
        <v>1</v>
      </c>
      <c r="AK920">
        <v>16</v>
      </c>
      <c r="AL920" t="s">
        <v>92</v>
      </c>
      <c r="AM920" t="s">
        <v>93</v>
      </c>
      <c r="AN920" t="s">
        <v>94</v>
      </c>
      <c r="AO920" t="s">
        <v>13115</v>
      </c>
      <c r="AP920" t="s">
        <v>13116</v>
      </c>
      <c r="AQ920" t="s">
        <v>74</v>
      </c>
      <c r="AR920" t="s">
        <v>13117</v>
      </c>
      <c r="AS920" t="s">
        <v>13118</v>
      </c>
      <c r="AT920" t="s">
        <v>5993</v>
      </c>
      <c r="AU920">
        <v>2020</v>
      </c>
      <c r="AV920">
        <v>174</v>
      </c>
      <c r="AW920" t="s">
        <v>74</v>
      </c>
      <c r="AX920" t="s">
        <v>74</v>
      </c>
      <c r="AY920" t="s">
        <v>74</v>
      </c>
      <c r="AZ920" t="s">
        <v>2622</v>
      </c>
      <c r="BA920" t="s">
        <v>74</v>
      </c>
      <c r="BB920" t="s">
        <v>74</v>
      </c>
      <c r="BC920" t="s">
        <v>74</v>
      </c>
      <c r="BD920">
        <v>104789</v>
      </c>
      <c r="BE920" t="s">
        <v>17867</v>
      </c>
      <c r="BF920" t="str">
        <f>HYPERLINK("http://dx.doi.org/10.1016/j.dsr2.2020.104789","http://dx.doi.org/10.1016/j.dsr2.2020.104789")</f>
        <v>http://dx.doi.org/10.1016/j.dsr2.2020.104789</v>
      </c>
      <c r="BG920" t="s">
        <v>74</v>
      </c>
      <c r="BH920" t="s">
        <v>74</v>
      </c>
      <c r="BI920">
        <v>11</v>
      </c>
      <c r="BJ920" t="s">
        <v>213</v>
      </c>
      <c r="BK920" t="s">
        <v>102</v>
      </c>
      <c r="BL920" t="s">
        <v>213</v>
      </c>
      <c r="BM920" t="s">
        <v>17269</v>
      </c>
      <c r="BN920" t="s">
        <v>74</v>
      </c>
      <c r="BO920" t="s">
        <v>74</v>
      </c>
      <c r="BP920" t="s">
        <v>74</v>
      </c>
      <c r="BQ920" t="s">
        <v>74</v>
      </c>
      <c r="BR920" t="s">
        <v>106</v>
      </c>
      <c r="BS920" t="s">
        <v>17868</v>
      </c>
      <c r="BT920" t="str">
        <f>HYPERLINK("https%3A%2F%2Fwww.webofscience.com%2Fwos%2Fwoscc%2Ffull-record%2FWOS:000539111000009","View Full Record in Web of Science")</f>
        <v>View Full Record in Web of Science</v>
      </c>
    </row>
    <row r="921" spans="1:72" x14ac:dyDescent="0.15">
      <c r="A921" t="s">
        <v>72</v>
      </c>
      <c r="B921" t="s">
        <v>17869</v>
      </c>
      <c r="C921" t="s">
        <v>74</v>
      </c>
      <c r="D921" t="s">
        <v>74</v>
      </c>
      <c r="E921" t="s">
        <v>74</v>
      </c>
      <c r="F921" t="s">
        <v>17870</v>
      </c>
      <c r="G921" t="s">
        <v>74</v>
      </c>
      <c r="H921" t="s">
        <v>74</v>
      </c>
      <c r="I921" t="s">
        <v>17871</v>
      </c>
      <c r="J921" t="s">
        <v>13102</v>
      </c>
      <c r="K921" t="s">
        <v>74</v>
      </c>
      <c r="L921" t="s">
        <v>74</v>
      </c>
      <c r="M921" t="s">
        <v>78</v>
      </c>
      <c r="N921" t="s">
        <v>79</v>
      </c>
      <c r="O921" t="s">
        <v>74</v>
      </c>
      <c r="P921" t="s">
        <v>74</v>
      </c>
      <c r="Q921" t="s">
        <v>74</v>
      </c>
      <c r="R921" t="s">
        <v>74</v>
      </c>
      <c r="S921" t="s">
        <v>74</v>
      </c>
      <c r="T921" t="s">
        <v>17872</v>
      </c>
      <c r="U921" t="s">
        <v>17873</v>
      </c>
      <c r="V921" t="s">
        <v>17874</v>
      </c>
      <c r="W921" t="s">
        <v>17875</v>
      </c>
      <c r="X921" t="s">
        <v>17876</v>
      </c>
      <c r="Y921" t="s">
        <v>17877</v>
      </c>
      <c r="Z921" t="s">
        <v>17878</v>
      </c>
      <c r="AA921" t="s">
        <v>17879</v>
      </c>
      <c r="AB921" t="s">
        <v>17880</v>
      </c>
      <c r="AC921" t="s">
        <v>17881</v>
      </c>
      <c r="AD921" t="s">
        <v>17882</v>
      </c>
      <c r="AE921" t="s">
        <v>17883</v>
      </c>
      <c r="AF921" t="s">
        <v>74</v>
      </c>
      <c r="AG921">
        <v>96</v>
      </c>
      <c r="AH921">
        <v>9</v>
      </c>
      <c r="AI921">
        <v>9</v>
      </c>
      <c r="AJ921">
        <v>0</v>
      </c>
      <c r="AK921">
        <v>5</v>
      </c>
      <c r="AL921" t="s">
        <v>92</v>
      </c>
      <c r="AM921" t="s">
        <v>93</v>
      </c>
      <c r="AN921" t="s">
        <v>94</v>
      </c>
      <c r="AO921" t="s">
        <v>13115</v>
      </c>
      <c r="AP921" t="s">
        <v>13116</v>
      </c>
      <c r="AQ921" t="s">
        <v>74</v>
      </c>
      <c r="AR921" t="s">
        <v>13117</v>
      </c>
      <c r="AS921" t="s">
        <v>13118</v>
      </c>
      <c r="AT921" t="s">
        <v>5993</v>
      </c>
      <c r="AU921">
        <v>2020</v>
      </c>
      <c r="AV921">
        <v>174</v>
      </c>
      <c r="AW921" t="s">
        <v>74</v>
      </c>
      <c r="AX921" t="s">
        <v>74</v>
      </c>
      <c r="AY921" t="s">
        <v>74</v>
      </c>
      <c r="AZ921" t="s">
        <v>2622</v>
      </c>
      <c r="BA921" t="s">
        <v>74</v>
      </c>
      <c r="BB921" t="s">
        <v>74</v>
      </c>
      <c r="BC921" t="s">
        <v>74</v>
      </c>
      <c r="BD921">
        <v>104550</v>
      </c>
      <c r="BE921" t="s">
        <v>17884</v>
      </c>
      <c r="BF921" t="str">
        <f>HYPERLINK("http://dx.doi.org/10.1016/j.dsr2.2019.02.001","http://dx.doi.org/10.1016/j.dsr2.2019.02.001")</f>
        <v>http://dx.doi.org/10.1016/j.dsr2.2019.02.001</v>
      </c>
      <c r="BG921" t="s">
        <v>74</v>
      </c>
      <c r="BH921" t="s">
        <v>74</v>
      </c>
      <c r="BI921">
        <v>23</v>
      </c>
      <c r="BJ921" t="s">
        <v>213</v>
      </c>
      <c r="BK921" t="s">
        <v>102</v>
      </c>
      <c r="BL921" t="s">
        <v>213</v>
      </c>
      <c r="BM921" t="s">
        <v>17269</v>
      </c>
      <c r="BN921" t="s">
        <v>74</v>
      </c>
      <c r="BO921" t="s">
        <v>74</v>
      </c>
      <c r="BP921" t="s">
        <v>74</v>
      </c>
      <c r="BQ921" t="s">
        <v>74</v>
      </c>
      <c r="BR921" t="s">
        <v>106</v>
      </c>
      <c r="BS921" t="s">
        <v>17885</v>
      </c>
      <c r="BT921" t="str">
        <f>HYPERLINK("https%3A%2F%2Fwww.webofscience.com%2Fwos%2Fwoscc%2Ffull-record%2FWOS:000539111000005","View Full Record in Web of Science")</f>
        <v>View Full Record in Web of Science</v>
      </c>
    </row>
    <row r="922" spans="1:72" x14ac:dyDescent="0.15">
      <c r="A922" t="s">
        <v>72</v>
      </c>
      <c r="B922" t="s">
        <v>17886</v>
      </c>
      <c r="C922" t="s">
        <v>74</v>
      </c>
      <c r="D922" t="s">
        <v>74</v>
      </c>
      <c r="E922" t="s">
        <v>74</v>
      </c>
      <c r="F922" t="s">
        <v>17887</v>
      </c>
      <c r="G922" t="s">
        <v>74</v>
      </c>
      <c r="H922" t="s">
        <v>74</v>
      </c>
      <c r="I922" t="s">
        <v>17888</v>
      </c>
      <c r="J922" t="s">
        <v>13102</v>
      </c>
      <c r="K922" t="s">
        <v>74</v>
      </c>
      <c r="L922" t="s">
        <v>74</v>
      </c>
      <c r="M922" t="s">
        <v>78</v>
      </c>
      <c r="N922" t="s">
        <v>79</v>
      </c>
      <c r="O922" t="s">
        <v>74</v>
      </c>
      <c r="P922" t="s">
        <v>74</v>
      </c>
      <c r="Q922" t="s">
        <v>74</v>
      </c>
      <c r="R922" t="s">
        <v>74</v>
      </c>
      <c r="S922" t="s">
        <v>74</v>
      </c>
      <c r="T922" t="s">
        <v>17889</v>
      </c>
      <c r="U922" t="s">
        <v>17890</v>
      </c>
      <c r="V922" t="s">
        <v>17891</v>
      </c>
      <c r="W922" t="s">
        <v>17892</v>
      </c>
      <c r="X922" t="s">
        <v>17893</v>
      </c>
      <c r="Y922" t="s">
        <v>17894</v>
      </c>
      <c r="Z922" t="s">
        <v>17895</v>
      </c>
      <c r="AA922" t="s">
        <v>17896</v>
      </c>
      <c r="AB922" t="s">
        <v>17897</v>
      </c>
      <c r="AC922" t="s">
        <v>17898</v>
      </c>
      <c r="AD922" t="s">
        <v>17899</v>
      </c>
      <c r="AE922" t="s">
        <v>17900</v>
      </c>
      <c r="AF922" t="s">
        <v>74</v>
      </c>
      <c r="AG922">
        <v>59</v>
      </c>
      <c r="AH922">
        <v>7</v>
      </c>
      <c r="AI922">
        <v>7</v>
      </c>
      <c r="AJ922">
        <v>0</v>
      </c>
      <c r="AK922">
        <v>16</v>
      </c>
      <c r="AL922" t="s">
        <v>92</v>
      </c>
      <c r="AM922" t="s">
        <v>93</v>
      </c>
      <c r="AN922" t="s">
        <v>94</v>
      </c>
      <c r="AO922" t="s">
        <v>13115</v>
      </c>
      <c r="AP922" t="s">
        <v>13116</v>
      </c>
      <c r="AQ922" t="s">
        <v>74</v>
      </c>
      <c r="AR922" t="s">
        <v>13117</v>
      </c>
      <c r="AS922" t="s">
        <v>13118</v>
      </c>
      <c r="AT922" t="s">
        <v>5993</v>
      </c>
      <c r="AU922">
        <v>2020</v>
      </c>
      <c r="AV922">
        <v>174</v>
      </c>
      <c r="AW922" t="s">
        <v>74</v>
      </c>
      <c r="AX922" t="s">
        <v>74</v>
      </c>
      <c r="AY922" t="s">
        <v>74</v>
      </c>
      <c r="AZ922" t="s">
        <v>2622</v>
      </c>
      <c r="BA922" t="s">
        <v>74</v>
      </c>
      <c r="BB922" t="s">
        <v>74</v>
      </c>
      <c r="BC922" t="s">
        <v>74</v>
      </c>
      <c r="BD922">
        <v>104615</v>
      </c>
      <c r="BE922" t="s">
        <v>17901</v>
      </c>
      <c r="BF922" t="str">
        <f>HYPERLINK("http://dx.doi.org/10.1016/j.dsr2.2019.07.003","http://dx.doi.org/10.1016/j.dsr2.2019.07.003")</f>
        <v>http://dx.doi.org/10.1016/j.dsr2.2019.07.003</v>
      </c>
      <c r="BG922" t="s">
        <v>74</v>
      </c>
      <c r="BH922" t="s">
        <v>74</v>
      </c>
      <c r="BI922">
        <v>12</v>
      </c>
      <c r="BJ922" t="s">
        <v>213</v>
      </c>
      <c r="BK922" t="s">
        <v>102</v>
      </c>
      <c r="BL922" t="s">
        <v>213</v>
      </c>
      <c r="BM922" t="s">
        <v>17269</v>
      </c>
      <c r="BN922" t="s">
        <v>74</v>
      </c>
      <c r="BO922" t="s">
        <v>74</v>
      </c>
      <c r="BP922" t="s">
        <v>74</v>
      </c>
      <c r="BQ922" t="s">
        <v>74</v>
      </c>
      <c r="BR922" t="s">
        <v>106</v>
      </c>
      <c r="BS922" t="s">
        <v>17902</v>
      </c>
      <c r="BT922" t="str">
        <f>HYPERLINK("https%3A%2F%2Fwww.webofscience.com%2Fwos%2Fwoscc%2Ffull-record%2FWOS:000539111000008","View Full Record in Web of Science")</f>
        <v>View Full Record in Web of Science</v>
      </c>
    </row>
    <row r="923" spans="1:72" x14ac:dyDescent="0.15">
      <c r="A923" t="s">
        <v>72</v>
      </c>
      <c r="B923" t="s">
        <v>17903</v>
      </c>
      <c r="C923" t="s">
        <v>74</v>
      </c>
      <c r="D923" t="s">
        <v>74</v>
      </c>
      <c r="E923" t="s">
        <v>74</v>
      </c>
      <c r="F923" t="s">
        <v>17904</v>
      </c>
      <c r="G923" t="s">
        <v>74</v>
      </c>
      <c r="H923" t="s">
        <v>74</v>
      </c>
      <c r="I923" t="s">
        <v>17905</v>
      </c>
      <c r="J923" t="s">
        <v>13102</v>
      </c>
      <c r="K923" t="s">
        <v>74</v>
      </c>
      <c r="L923" t="s">
        <v>74</v>
      </c>
      <c r="M923" t="s">
        <v>78</v>
      </c>
      <c r="N923" t="s">
        <v>79</v>
      </c>
      <c r="O923" t="s">
        <v>74</v>
      </c>
      <c r="P923" t="s">
        <v>74</v>
      </c>
      <c r="Q923" t="s">
        <v>74</v>
      </c>
      <c r="R923" t="s">
        <v>74</v>
      </c>
      <c r="S923" t="s">
        <v>74</v>
      </c>
      <c r="T923" t="s">
        <v>17906</v>
      </c>
      <c r="U923" t="s">
        <v>17907</v>
      </c>
      <c r="V923" t="s">
        <v>17908</v>
      </c>
      <c r="W923" t="s">
        <v>17909</v>
      </c>
      <c r="X923" t="s">
        <v>17910</v>
      </c>
      <c r="Y923" t="s">
        <v>17911</v>
      </c>
      <c r="Z923" t="s">
        <v>17912</v>
      </c>
      <c r="AA923" t="s">
        <v>17913</v>
      </c>
      <c r="AB923" t="s">
        <v>17914</v>
      </c>
      <c r="AC923" t="s">
        <v>17915</v>
      </c>
      <c r="AD923" t="s">
        <v>17916</v>
      </c>
      <c r="AE923" t="s">
        <v>17917</v>
      </c>
      <c r="AF923" t="s">
        <v>74</v>
      </c>
      <c r="AG923">
        <v>61</v>
      </c>
      <c r="AH923">
        <v>4</v>
      </c>
      <c r="AI923">
        <v>5</v>
      </c>
      <c r="AJ923">
        <v>2</v>
      </c>
      <c r="AK923">
        <v>17</v>
      </c>
      <c r="AL923" t="s">
        <v>92</v>
      </c>
      <c r="AM923" t="s">
        <v>93</v>
      </c>
      <c r="AN923" t="s">
        <v>94</v>
      </c>
      <c r="AO923" t="s">
        <v>13115</v>
      </c>
      <c r="AP923" t="s">
        <v>13116</v>
      </c>
      <c r="AQ923" t="s">
        <v>74</v>
      </c>
      <c r="AR923" t="s">
        <v>13117</v>
      </c>
      <c r="AS923" t="s">
        <v>13118</v>
      </c>
      <c r="AT923" t="s">
        <v>5993</v>
      </c>
      <c r="AU923">
        <v>2020</v>
      </c>
      <c r="AV923">
        <v>174</v>
      </c>
      <c r="AW923" t="s">
        <v>74</v>
      </c>
      <c r="AX923" t="s">
        <v>74</v>
      </c>
      <c r="AY923" t="s">
        <v>74</v>
      </c>
      <c r="AZ923" t="s">
        <v>2622</v>
      </c>
      <c r="BA923" t="s">
        <v>74</v>
      </c>
      <c r="BB923" t="s">
        <v>74</v>
      </c>
      <c r="BC923" t="s">
        <v>74</v>
      </c>
      <c r="BD923">
        <v>104788</v>
      </c>
      <c r="BE923" t="s">
        <v>17918</v>
      </c>
      <c r="BF923" t="str">
        <f>HYPERLINK("http://dx.doi.org/10.1016/j.dsr2.2020.104788","http://dx.doi.org/10.1016/j.dsr2.2020.104788")</f>
        <v>http://dx.doi.org/10.1016/j.dsr2.2020.104788</v>
      </c>
      <c r="BG923" t="s">
        <v>74</v>
      </c>
      <c r="BH923" t="s">
        <v>74</v>
      </c>
      <c r="BI923">
        <v>10</v>
      </c>
      <c r="BJ923" t="s">
        <v>213</v>
      </c>
      <c r="BK923" t="s">
        <v>102</v>
      </c>
      <c r="BL923" t="s">
        <v>213</v>
      </c>
      <c r="BM923" t="s">
        <v>17269</v>
      </c>
      <c r="BN923" t="s">
        <v>74</v>
      </c>
      <c r="BO923" t="s">
        <v>133</v>
      </c>
      <c r="BP923" t="s">
        <v>74</v>
      </c>
      <c r="BQ923" t="s">
        <v>74</v>
      </c>
      <c r="BR923" t="s">
        <v>106</v>
      </c>
      <c r="BS923" t="s">
        <v>17919</v>
      </c>
      <c r="BT923" t="str">
        <f>HYPERLINK("https%3A%2F%2Fwww.webofscience.com%2Fwos%2Fwoscc%2Ffull-record%2FWOS:000539111000013","View Full Record in Web of Science")</f>
        <v>View Full Record in Web of Science</v>
      </c>
    </row>
    <row r="924" spans="1:72" x14ac:dyDescent="0.15">
      <c r="A924" t="s">
        <v>72</v>
      </c>
      <c r="B924" t="s">
        <v>17920</v>
      </c>
      <c r="C924" t="s">
        <v>74</v>
      </c>
      <c r="D924" t="s">
        <v>74</v>
      </c>
      <c r="E924" t="s">
        <v>74</v>
      </c>
      <c r="F924" t="s">
        <v>17921</v>
      </c>
      <c r="G924" t="s">
        <v>74</v>
      </c>
      <c r="H924" t="s">
        <v>74</v>
      </c>
      <c r="I924" t="s">
        <v>17922</v>
      </c>
      <c r="J924" t="s">
        <v>13102</v>
      </c>
      <c r="K924" t="s">
        <v>74</v>
      </c>
      <c r="L924" t="s">
        <v>74</v>
      </c>
      <c r="M924" t="s">
        <v>78</v>
      </c>
      <c r="N924" t="s">
        <v>79</v>
      </c>
      <c r="O924" t="s">
        <v>74</v>
      </c>
      <c r="P924" t="s">
        <v>74</v>
      </c>
      <c r="Q924" t="s">
        <v>74</v>
      </c>
      <c r="R924" t="s">
        <v>74</v>
      </c>
      <c r="S924" t="s">
        <v>74</v>
      </c>
      <c r="T924" t="s">
        <v>17923</v>
      </c>
      <c r="U924" t="s">
        <v>17924</v>
      </c>
      <c r="V924" t="s">
        <v>17925</v>
      </c>
      <c r="W924" t="s">
        <v>17926</v>
      </c>
      <c r="X924" t="s">
        <v>17927</v>
      </c>
      <c r="Y924" t="s">
        <v>17928</v>
      </c>
      <c r="Z924" t="s">
        <v>17929</v>
      </c>
      <c r="AA924" t="s">
        <v>17930</v>
      </c>
      <c r="AB924" t="s">
        <v>17931</v>
      </c>
      <c r="AC924" t="s">
        <v>17932</v>
      </c>
      <c r="AD924" t="s">
        <v>17933</v>
      </c>
      <c r="AE924" t="s">
        <v>17934</v>
      </c>
      <c r="AF924" t="s">
        <v>74</v>
      </c>
      <c r="AG924">
        <v>66</v>
      </c>
      <c r="AH924">
        <v>24</v>
      </c>
      <c r="AI924">
        <v>24</v>
      </c>
      <c r="AJ924">
        <v>3</v>
      </c>
      <c r="AK924">
        <v>28</v>
      </c>
      <c r="AL924" t="s">
        <v>92</v>
      </c>
      <c r="AM924" t="s">
        <v>93</v>
      </c>
      <c r="AN924" t="s">
        <v>94</v>
      </c>
      <c r="AO924" t="s">
        <v>13115</v>
      </c>
      <c r="AP924" t="s">
        <v>13116</v>
      </c>
      <c r="AQ924" t="s">
        <v>74</v>
      </c>
      <c r="AR924" t="s">
        <v>13117</v>
      </c>
      <c r="AS924" t="s">
        <v>13118</v>
      </c>
      <c r="AT924" t="s">
        <v>5993</v>
      </c>
      <c r="AU924">
        <v>2020</v>
      </c>
      <c r="AV924">
        <v>174</v>
      </c>
      <c r="AW924" t="s">
        <v>74</v>
      </c>
      <c r="AX924" t="s">
        <v>74</v>
      </c>
      <c r="AY924" t="s">
        <v>74</v>
      </c>
      <c r="AZ924" t="s">
        <v>2622</v>
      </c>
      <c r="BA924" t="s">
        <v>74</v>
      </c>
      <c r="BB924" t="s">
        <v>74</v>
      </c>
      <c r="BC924" t="s">
        <v>74</v>
      </c>
      <c r="BD924">
        <v>104613</v>
      </c>
      <c r="BE924" t="s">
        <v>17935</v>
      </c>
      <c r="BF924" t="str">
        <f>HYPERLINK("http://dx.doi.org/10.1016/j.dsr2.2019.07.001","http://dx.doi.org/10.1016/j.dsr2.2019.07.001")</f>
        <v>http://dx.doi.org/10.1016/j.dsr2.2019.07.001</v>
      </c>
      <c r="BG924" t="s">
        <v>74</v>
      </c>
      <c r="BH924" t="s">
        <v>74</v>
      </c>
      <c r="BI924">
        <v>13</v>
      </c>
      <c r="BJ924" t="s">
        <v>213</v>
      </c>
      <c r="BK924" t="s">
        <v>102</v>
      </c>
      <c r="BL924" t="s">
        <v>213</v>
      </c>
      <c r="BM924" t="s">
        <v>17269</v>
      </c>
      <c r="BN924" t="s">
        <v>74</v>
      </c>
      <c r="BO924" t="s">
        <v>74</v>
      </c>
      <c r="BP924" t="s">
        <v>74</v>
      </c>
      <c r="BQ924" t="s">
        <v>74</v>
      </c>
      <c r="BR924" t="s">
        <v>106</v>
      </c>
      <c r="BS924" t="s">
        <v>17936</v>
      </c>
      <c r="BT924" t="str">
        <f>HYPERLINK("https%3A%2F%2Fwww.webofscience.com%2Fwos%2Fwoscc%2Ffull-record%2FWOS:000539111000010","View Full Record in Web of Science")</f>
        <v>View Full Record in Web of Science</v>
      </c>
    </row>
    <row r="925" spans="1:72" x14ac:dyDescent="0.15">
      <c r="A925" t="s">
        <v>72</v>
      </c>
      <c r="B925" t="s">
        <v>17937</v>
      </c>
      <c r="C925" t="s">
        <v>74</v>
      </c>
      <c r="D925" t="s">
        <v>74</v>
      </c>
      <c r="E925" t="s">
        <v>74</v>
      </c>
      <c r="F925" t="s">
        <v>17938</v>
      </c>
      <c r="G925" t="s">
        <v>74</v>
      </c>
      <c r="H925" t="s">
        <v>74</v>
      </c>
      <c r="I925" t="s">
        <v>17939</v>
      </c>
      <c r="J925" t="s">
        <v>13102</v>
      </c>
      <c r="K925" t="s">
        <v>74</v>
      </c>
      <c r="L925" t="s">
        <v>74</v>
      </c>
      <c r="M925" t="s">
        <v>78</v>
      </c>
      <c r="N925" t="s">
        <v>79</v>
      </c>
      <c r="O925" t="s">
        <v>74</v>
      </c>
      <c r="P925" t="s">
        <v>74</v>
      </c>
      <c r="Q925" t="s">
        <v>74</v>
      </c>
      <c r="R925" t="s">
        <v>74</v>
      </c>
      <c r="S925" t="s">
        <v>74</v>
      </c>
      <c r="T925" t="s">
        <v>17940</v>
      </c>
      <c r="U925" t="s">
        <v>17941</v>
      </c>
      <c r="V925" t="s">
        <v>17942</v>
      </c>
      <c r="W925" t="s">
        <v>17943</v>
      </c>
      <c r="X925" t="s">
        <v>17944</v>
      </c>
      <c r="Y925" t="s">
        <v>17945</v>
      </c>
      <c r="Z925" t="s">
        <v>17946</v>
      </c>
      <c r="AA925" t="s">
        <v>17947</v>
      </c>
      <c r="AB925" t="s">
        <v>17948</v>
      </c>
      <c r="AC925" t="s">
        <v>17949</v>
      </c>
      <c r="AD925" t="s">
        <v>17950</v>
      </c>
      <c r="AE925" t="s">
        <v>17951</v>
      </c>
      <c r="AF925" t="s">
        <v>74</v>
      </c>
      <c r="AG925">
        <v>72</v>
      </c>
      <c r="AH925">
        <v>13</v>
      </c>
      <c r="AI925">
        <v>14</v>
      </c>
      <c r="AJ925">
        <v>4</v>
      </c>
      <c r="AK925">
        <v>25</v>
      </c>
      <c r="AL925" t="s">
        <v>92</v>
      </c>
      <c r="AM925" t="s">
        <v>93</v>
      </c>
      <c r="AN925" t="s">
        <v>94</v>
      </c>
      <c r="AO925" t="s">
        <v>13115</v>
      </c>
      <c r="AP925" t="s">
        <v>13116</v>
      </c>
      <c r="AQ925" t="s">
        <v>74</v>
      </c>
      <c r="AR925" t="s">
        <v>13117</v>
      </c>
      <c r="AS925" t="s">
        <v>13118</v>
      </c>
      <c r="AT925" t="s">
        <v>5993</v>
      </c>
      <c r="AU925">
        <v>2020</v>
      </c>
      <c r="AV925">
        <v>174</v>
      </c>
      <c r="AW925" t="s">
        <v>74</v>
      </c>
      <c r="AX925" t="s">
        <v>74</v>
      </c>
      <c r="AY925" t="s">
        <v>74</v>
      </c>
      <c r="AZ925" t="s">
        <v>2622</v>
      </c>
      <c r="BA925" t="s">
        <v>74</v>
      </c>
      <c r="BB925" t="s">
        <v>74</v>
      </c>
      <c r="BC925" t="s">
        <v>74</v>
      </c>
      <c r="BD925">
        <v>104659</v>
      </c>
      <c r="BE925" t="s">
        <v>17952</v>
      </c>
      <c r="BF925" t="str">
        <f>HYPERLINK("http://dx.doi.org/10.1016/j.dsr2.2019.104659","http://dx.doi.org/10.1016/j.dsr2.2019.104659")</f>
        <v>http://dx.doi.org/10.1016/j.dsr2.2019.104659</v>
      </c>
      <c r="BG925" t="s">
        <v>74</v>
      </c>
      <c r="BH925" t="s">
        <v>74</v>
      </c>
      <c r="BI925">
        <v>14</v>
      </c>
      <c r="BJ925" t="s">
        <v>213</v>
      </c>
      <c r="BK925" t="s">
        <v>102</v>
      </c>
      <c r="BL925" t="s">
        <v>213</v>
      </c>
      <c r="BM925" t="s">
        <v>17269</v>
      </c>
      <c r="BN925" t="s">
        <v>74</v>
      </c>
      <c r="BO925" t="s">
        <v>74</v>
      </c>
      <c r="BP925" t="s">
        <v>74</v>
      </c>
      <c r="BQ925" t="s">
        <v>74</v>
      </c>
      <c r="BR925" t="s">
        <v>106</v>
      </c>
      <c r="BS925" t="s">
        <v>17953</v>
      </c>
      <c r="BT925" t="str">
        <f>HYPERLINK("https%3A%2F%2Fwww.webofscience.com%2Fwos%2Fwoscc%2Ffull-record%2FWOS:000539111000006","View Full Record in Web of Science")</f>
        <v>View Full Record in Web of Science</v>
      </c>
    </row>
    <row r="926" spans="1:72" x14ac:dyDescent="0.15">
      <c r="A926" t="s">
        <v>72</v>
      </c>
      <c r="B926" t="s">
        <v>17954</v>
      </c>
      <c r="C926" t="s">
        <v>74</v>
      </c>
      <c r="D926" t="s">
        <v>74</v>
      </c>
      <c r="E926" t="s">
        <v>74</v>
      </c>
      <c r="F926" t="s">
        <v>17955</v>
      </c>
      <c r="G926" t="s">
        <v>74</v>
      </c>
      <c r="H926" t="s">
        <v>74</v>
      </c>
      <c r="I926" t="s">
        <v>17956</v>
      </c>
      <c r="J926" t="s">
        <v>13102</v>
      </c>
      <c r="K926" t="s">
        <v>74</v>
      </c>
      <c r="L926" t="s">
        <v>74</v>
      </c>
      <c r="M926" t="s">
        <v>78</v>
      </c>
      <c r="N926" t="s">
        <v>79</v>
      </c>
      <c r="O926" t="s">
        <v>74</v>
      </c>
      <c r="P926" t="s">
        <v>74</v>
      </c>
      <c r="Q926" t="s">
        <v>74</v>
      </c>
      <c r="R926" t="s">
        <v>74</v>
      </c>
      <c r="S926" t="s">
        <v>74</v>
      </c>
      <c r="T926" t="s">
        <v>17957</v>
      </c>
      <c r="U926" t="s">
        <v>17958</v>
      </c>
      <c r="V926" t="s">
        <v>17959</v>
      </c>
      <c r="W926" t="s">
        <v>17960</v>
      </c>
      <c r="X926" t="s">
        <v>17961</v>
      </c>
      <c r="Y926" t="s">
        <v>17962</v>
      </c>
      <c r="Z926" t="s">
        <v>17963</v>
      </c>
      <c r="AA926" t="s">
        <v>17964</v>
      </c>
      <c r="AB926" t="s">
        <v>17965</v>
      </c>
      <c r="AC926" t="s">
        <v>17966</v>
      </c>
      <c r="AD926" t="s">
        <v>17967</v>
      </c>
      <c r="AE926" t="s">
        <v>17968</v>
      </c>
      <c r="AF926" t="s">
        <v>74</v>
      </c>
      <c r="AG926">
        <v>79</v>
      </c>
      <c r="AH926">
        <v>9</v>
      </c>
      <c r="AI926">
        <v>9</v>
      </c>
      <c r="AJ926">
        <v>5</v>
      </c>
      <c r="AK926">
        <v>24</v>
      </c>
      <c r="AL926" t="s">
        <v>92</v>
      </c>
      <c r="AM926" t="s">
        <v>93</v>
      </c>
      <c r="AN926" t="s">
        <v>94</v>
      </c>
      <c r="AO926" t="s">
        <v>13115</v>
      </c>
      <c r="AP926" t="s">
        <v>13116</v>
      </c>
      <c r="AQ926" t="s">
        <v>74</v>
      </c>
      <c r="AR926" t="s">
        <v>13117</v>
      </c>
      <c r="AS926" t="s">
        <v>13118</v>
      </c>
      <c r="AT926" t="s">
        <v>5993</v>
      </c>
      <c r="AU926">
        <v>2020</v>
      </c>
      <c r="AV926">
        <v>174</v>
      </c>
      <c r="AW926" t="s">
        <v>74</v>
      </c>
      <c r="AX926" t="s">
        <v>74</v>
      </c>
      <c r="AY926" t="s">
        <v>74</v>
      </c>
      <c r="AZ926" t="s">
        <v>2622</v>
      </c>
      <c r="BA926" t="s">
        <v>74</v>
      </c>
      <c r="BB926" t="s">
        <v>74</v>
      </c>
      <c r="BC926" t="s">
        <v>74</v>
      </c>
      <c r="BD926">
        <v>104787</v>
      </c>
      <c r="BE926" t="s">
        <v>17969</v>
      </c>
      <c r="BF926" t="str">
        <f>HYPERLINK("http://dx.doi.org/10.1016/j.dsr2.2020.104787","http://dx.doi.org/10.1016/j.dsr2.2020.104787")</f>
        <v>http://dx.doi.org/10.1016/j.dsr2.2020.104787</v>
      </c>
      <c r="BG926" t="s">
        <v>74</v>
      </c>
      <c r="BH926" t="s">
        <v>74</v>
      </c>
      <c r="BI926">
        <v>18</v>
      </c>
      <c r="BJ926" t="s">
        <v>213</v>
      </c>
      <c r="BK926" t="s">
        <v>102</v>
      </c>
      <c r="BL926" t="s">
        <v>213</v>
      </c>
      <c r="BM926" t="s">
        <v>17269</v>
      </c>
      <c r="BN926" t="s">
        <v>74</v>
      </c>
      <c r="BO926" t="s">
        <v>74</v>
      </c>
      <c r="BP926" t="s">
        <v>74</v>
      </c>
      <c r="BQ926" t="s">
        <v>74</v>
      </c>
      <c r="BR926" t="s">
        <v>106</v>
      </c>
      <c r="BS926" t="s">
        <v>17970</v>
      </c>
      <c r="BT926" t="str">
        <f>HYPERLINK("https%3A%2F%2Fwww.webofscience.com%2Fwos%2Fwoscc%2Ffull-record%2FWOS:000539111000012","View Full Record in Web of Science")</f>
        <v>View Full Record in Web of Science</v>
      </c>
    </row>
    <row r="927" spans="1:72" x14ac:dyDescent="0.15">
      <c r="A927" t="s">
        <v>72</v>
      </c>
      <c r="B927" t="s">
        <v>17971</v>
      </c>
      <c r="C927" t="s">
        <v>74</v>
      </c>
      <c r="D927" t="s">
        <v>74</v>
      </c>
      <c r="E927" t="s">
        <v>74</v>
      </c>
      <c r="F927" t="s">
        <v>17972</v>
      </c>
      <c r="G927" t="s">
        <v>74</v>
      </c>
      <c r="H927" t="s">
        <v>74</v>
      </c>
      <c r="I927" t="s">
        <v>17973</v>
      </c>
      <c r="J927" t="s">
        <v>13102</v>
      </c>
      <c r="K927" t="s">
        <v>74</v>
      </c>
      <c r="L927" t="s">
        <v>74</v>
      </c>
      <c r="M927" t="s">
        <v>78</v>
      </c>
      <c r="N927" t="s">
        <v>79</v>
      </c>
      <c r="O927" t="s">
        <v>74</v>
      </c>
      <c r="P927" t="s">
        <v>74</v>
      </c>
      <c r="Q927" t="s">
        <v>74</v>
      </c>
      <c r="R927" t="s">
        <v>74</v>
      </c>
      <c r="S927" t="s">
        <v>74</v>
      </c>
      <c r="T927" t="s">
        <v>17974</v>
      </c>
      <c r="U927" t="s">
        <v>17975</v>
      </c>
      <c r="V927" t="s">
        <v>17976</v>
      </c>
      <c r="W927" t="s">
        <v>17977</v>
      </c>
      <c r="X927" t="s">
        <v>17978</v>
      </c>
      <c r="Y927" t="s">
        <v>17979</v>
      </c>
      <c r="Z927" t="s">
        <v>17980</v>
      </c>
      <c r="AA927" t="s">
        <v>17981</v>
      </c>
      <c r="AB927" t="s">
        <v>17982</v>
      </c>
      <c r="AC927" t="s">
        <v>17983</v>
      </c>
      <c r="AD927" t="s">
        <v>17984</v>
      </c>
      <c r="AE927" t="s">
        <v>17985</v>
      </c>
      <c r="AF927" t="s">
        <v>74</v>
      </c>
      <c r="AG927">
        <v>42</v>
      </c>
      <c r="AH927">
        <v>4</v>
      </c>
      <c r="AI927">
        <v>5</v>
      </c>
      <c r="AJ927">
        <v>0</v>
      </c>
      <c r="AK927">
        <v>8</v>
      </c>
      <c r="AL927" t="s">
        <v>92</v>
      </c>
      <c r="AM927" t="s">
        <v>93</v>
      </c>
      <c r="AN927" t="s">
        <v>94</v>
      </c>
      <c r="AO927" t="s">
        <v>13115</v>
      </c>
      <c r="AP927" t="s">
        <v>13116</v>
      </c>
      <c r="AQ927" t="s">
        <v>74</v>
      </c>
      <c r="AR927" t="s">
        <v>13117</v>
      </c>
      <c r="AS927" t="s">
        <v>13118</v>
      </c>
      <c r="AT927" t="s">
        <v>5993</v>
      </c>
      <c r="AU927">
        <v>2020</v>
      </c>
      <c r="AV927">
        <v>174</v>
      </c>
      <c r="AW927" t="s">
        <v>74</v>
      </c>
      <c r="AX927" t="s">
        <v>74</v>
      </c>
      <c r="AY927" t="s">
        <v>74</v>
      </c>
      <c r="AZ927" t="s">
        <v>2622</v>
      </c>
      <c r="BA927" t="s">
        <v>74</v>
      </c>
      <c r="BB927" t="s">
        <v>74</v>
      </c>
      <c r="BC927" t="s">
        <v>74</v>
      </c>
      <c r="BD927">
        <v>104719</v>
      </c>
      <c r="BE927" t="s">
        <v>17986</v>
      </c>
      <c r="BF927" t="str">
        <f>HYPERLINK("http://dx.doi.org/10.1016/j.dsr2.2019.104719","http://dx.doi.org/10.1016/j.dsr2.2019.104719")</f>
        <v>http://dx.doi.org/10.1016/j.dsr2.2019.104719</v>
      </c>
      <c r="BG927" t="s">
        <v>74</v>
      </c>
      <c r="BH927" t="s">
        <v>74</v>
      </c>
      <c r="BI927">
        <v>9</v>
      </c>
      <c r="BJ927" t="s">
        <v>213</v>
      </c>
      <c r="BK927" t="s">
        <v>102</v>
      </c>
      <c r="BL927" t="s">
        <v>213</v>
      </c>
      <c r="BM927" t="s">
        <v>17269</v>
      </c>
      <c r="BN927" t="s">
        <v>74</v>
      </c>
      <c r="BO927" t="s">
        <v>74</v>
      </c>
      <c r="BP927" t="s">
        <v>74</v>
      </c>
      <c r="BQ927" t="s">
        <v>74</v>
      </c>
      <c r="BR927" t="s">
        <v>106</v>
      </c>
      <c r="BS927" t="s">
        <v>17987</v>
      </c>
      <c r="BT927" t="str">
        <f>HYPERLINK("https%3A%2F%2Fwww.webofscience.com%2Fwos%2Fwoscc%2Ffull-record%2FWOS:000539111000011","View Full Record in Web of Science")</f>
        <v>View Full Record in Web of Science</v>
      </c>
    </row>
    <row r="928" spans="1:72" x14ac:dyDescent="0.15">
      <c r="A928" t="s">
        <v>72</v>
      </c>
      <c r="B928" t="s">
        <v>17988</v>
      </c>
      <c r="C928" t="s">
        <v>74</v>
      </c>
      <c r="D928" t="s">
        <v>74</v>
      </c>
      <c r="E928" t="s">
        <v>74</v>
      </c>
      <c r="F928" t="s">
        <v>17989</v>
      </c>
      <c r="G928" t="s">
        <v>74</v>
      </c>
      <c r="H928" t="s">
        <v>74</v>
      </c>
      <c r="I928" t="s">
        <v>17990</v>
      </c>
      <c r="J928" t="s">
        <v>13102</v>
      </c>
      <c r="K928" t="s">
        <v>74</v>
      </c>
      <c r="L928" t="s">
        <v>74</v>
      </c>
      <c r="M928" t="s">
        <v>78</v>
      </c>
      <c r="N928" t="s">
        <v>79</v>
      </c>
      <c r="O928" t="s">
        <v>74</v>
      </c>
      <c r="P928" t="s">
        <v>74</v>
      </c>
      <c r="Q928" t="s">
        <v>74</v>
      </c>
      <c r="R928" t="s">
        <v>74</v>
      </c>
      <c r="S928" t="s">
        <v>74</v>
      </c>
      <c r="T928" t="s">
        <v>17991</v>
      </c>
      <c r="U928" t="s">
        <v>17992</v>
      </c>
      <c r="V928" t="s">
        <v>17993</v>
      </c>
      <c r="W928" t="s">
        <v>17994</v>
      </c>
      <c r="X928" t="s">
        <v>17995</v>
      </c>
      <c r="Y928" t="s">
        <v>17996</v>
      </c>
      <c r="Z928" t="s">
        <v>17997</v>
      </c>
      <c r="AA928" t="s">
        <v>17998</v>
      </c>
      <c r="AB928" t="s">
        <v>17999</v>
      </c>
      <c r="AC928" t="s">
        <v>18000</v>
      </c>
      <c r="AD928" t="s">
        <v>18001</v>
      </c>
      <c r="AE928" t="s">
        <v>18002</v>
      </c>
      <c r="AF928" t="s">
        <v>74</v>
      </c>
      <c r="AG928">
        <v>68</v>
      </c>
      <c r="AH928">
        <v>5</v>
      </c>
      <c r="AI928">
        <v>5</v>
      </c>
      <c r="AJ928">
        <v>3</v>
      </c>
      <c r="AK928">
        <v>20</v>
      </c>
      <c r="AL928" t="s">
        <v>92</v>
      </c>
      <c r="AM928" t="s">
        <v>93</v>
      </c>
      <c r="AN928" t="s">
        <v>94</v>
      </c>
      <c r="AO928" t="s">
        <v>13115</v>
      </c>
      <c r="AP928" t="s">
        <v>13116</v>
      </c>
      <c r="AQ928" t="s">
        <v>74</v>
      </c>
      <c r="AR928" t="s">
        <v>13117</v>
      </c>
      <c r="AS928" t="s">
        <v>13118</v>
      </c>
      <c r="AT928" t="s">
        <v>5993</v>
      </c>
      <c r="AU928">
        <v>2020</v>
      </c>
      <c r="AV928">
        <v>174</v>
      </c>
      <c r="AW928" t="s">
        <v>74</v>
      </c>
      <c r="AX928" t="s">
        <v>74</v>
      </c>
      <c r="AY928" t="s">
        <v>74</v>
      </c>
      <c r="AZ928" t="s">
        <v>2622</v>
      </c>
      <c r="BA928" t="s">
        <v>74</v>
      </c>
      <c r="BB928" t="s">
        <v>74</v>
      </c>
      <c r="BC928" t="s">
        <v>74</v>
      </c>
      <c r="BD928">
        <v>104657</v>
      </c>
      <c r="BE928" t="s">
        <v>18003</v>
      </c>
      <c r="BF928" t="str">
        <f>HYPERLINK("http://dx.doi.org/10.1016/j.dsr2.2019.104657","http://dx.doi.org/10.1016/j.dsr2.2019.104657")</f>
        <v>http://dx.doi.org/10.1016/j.dsr2.2019.104657</v>
      </c>
      <c r="BG928" t="s">
        <v>74</v>
      </c>
      <c r="BH928" t="s">
        <v>74</v>
      </c>
      <c r="BI928">
        <v>10</v>
      </c>
      <c r="BJ928" t="s">
        <v>213</v>
      </c>
      <c r="BK928" t="s">
        <v>102</v>
      </c>
      <c r="BL928" t="s">
        <v>213</v>
      </c>
      <c r="BM928" t="s">
        <v>17269</v>
      </c>
      <c r="BN928" t="s">
        <v>74</v>
      </c>
      <c r="BO928" t="s">
        <v>74</v>
      </c>
      <c r="BP928" t="s">
        <v>74</v>
      </c>
      <c r="BQ928" t="s">
        <v>74</v>
      </c>
      <c r="BR928" t="s">
        <v>106</v>
      </c>
      <c r="BS928" t="s">
        <v>18004</v>
      </c>
      <c r="BT928" t="str">
        <f>HYPERLINK("https%3A%2F%2Fwww.webofscience.com%2Fwos%2Fwoscc%2Ffull-record%2FWOS:000539111000007","View Full Record in Web of Science")</f>
        <v>View Full Record in Web of Science</v>
      </c>
    </row>
    <row r="929" spans="1:72" x14ac:dyDescent="0.15">
      <c r="A929" t="s">
        <v>72</v>
      </c>
      <c r="B929" t="s">
        <v>18005</v>
      </c>
      <c r="C929" t="s">
        <v>74</v>
      </c>
      <c r="D929" t="s">
        <v>74</v>
      </c>
      <c r="E929" t="s">
        <v>74</v>
      </c>
      <c r="F929" t="s">
        <v>18006</v>
      </c>
      <c r="G929" t="s">
        <v>74</v>
      </c>
      <c r="H929" t="s">
        <v>74</v>
      </c>
      <c r="I929" t="s">
        <v>18007</v>
      </c>
      <c r="J929" t="s">
        <v>13102</v>
      </c>
      <c r="K929" t="s">
        <v>74</v>
      </c>
      <c r="L929" t="s">
        <v>74</v>
      </c>
      <c r="M929" t="s">
        <v>78</v>
      </c>
      <c r="N929" t="s">
        <v>79</v>
      </c>
      <c r="O929" t="s">
        <v>74</v>
      </c>
      <c r="P929" t="s">
        <v>74</v>
      </c>
      <c r="Q929" t="s">
        <v>74</v>
      </c>
      <c r="R929" t="s">
        <v>74</v>
      </c>
      <c r="S929" t="s">
        <v>74</v>
      </c>
      <c r="T929" t="s">
        <v>74</v>
      </c>
      <c r="U929" t="s">
        <v>18008</v>
      </c>
      <c r="V929" t="s">
        <v>18009</v>
      </c>
      <c r="W929" t="s">
        <v>18010</v>
      </c>
      <c r="X929" t="s">
        <v>18011</v>
      </c>
      <c r="Y929" t="s">
        <v>18012</v>
      </c>
      <c r="Z929" t="s">
        <v>18013</v>
      </c>
      <c r="AA929" t="s">
        <v>18014</v>
      </c>
      <c r="AB929" t="s">
        <v>18015</v>
      </c>
      <c r="AC929" t="s">
        <v>18016</v>
      </c>
      <c r="AD929" t="s">
        <v>18017</v>
      </c>
      <c r="AE929" t="s">
        <v>18018</v>
      </c>
      <c r="AF929" t="s">
        <v>74</v>
      </c>
      <c r="AG929">
        <v>51</v>
      </c>
      <c r="AH929">
        <v>6</v>
      </c>
      <c r="AI929">
        <v>7</v>
      </c>
      <c r="AJ929">
        <v>2</v>
      </c>
      <c r="AK929">
        <v>20</v>
      </c>
      <c r="AL929" t="s">
        <v>92</v>
      </c>
      <c r="AM929" t="s">
        <v>93</v>
      </c>
      <c r="AN929" t="s">
        <v>94</v>
      </c>
      <c r="AO929" t="s">
        <v>13115</v>
      </c>
      <c r="AP929" t="s">
        <v>13116</v>
      </c>
      <c r="AQ929" t="s">
        <v>74</v>
      </c>
      <c r="AR929" t="s">
        <v>13117</v>
      </c>
      <c r="AS929" t="s">
        <v>13118</v>
      </c>
      <c r="AT929" t="s">
        <v>5993</v>
      </c>
      <c r="AU929">
        <v>2020</v>
      </c>
      <c r="AV929">
        <v>174</v>
      </c>
      <c r="AW929" t="s">
        <v>74</v>
      </c>
      <c r="AX929" t="s">
        <v>74</v>
      </c>
      <c r="AY929" t="s">
        <v>74</v>
      </c>
      <c r="AZ929" t="s">
        <v>2622</v>
      </c>
      <c r="BA929" t="s">
        <v>74</v>
      </c>
      <c r="BB929" t="s">
        <v>74</v>
      </c>
      <c r="BC929" t="s">
        <v>74</v>
      </c>
      <c r="BD929">
        <v>104778</v>
      </c>
      <c r="BE929" t="s">
        <v>18019</v>
      </c>
      <c r="BF929" t="str">
        <f>HYPERLINK("http://dx.doi.org/10.1016/j.dsr2.2020.104778","http://dx.doi.org/10.1016/j.dsr2.2020.104778")</f>
        <v>http://dx.doi.org/10.1016/j.dsr2.2020.104778</v>
      </c>
      <c r="BG929" t="s">
        <v>74</v>
      </c>
      <c r="BH929" t="s">
        <v>74</v>
      </c>
      <c r="BI929">
        <v>7</v>
      </c>
      <c r="BJ929" t="s">
        <v>213</v>
      </c>
      <c r="BK929" t="s">
        <v>102</v>
      </c>
      <c r="BL929" t="s">
        <v>213</v>
      </c>
      <c r="BM929" t="s">
        <v>17269</v>
      </c>
      <c r="BN929" t="s">
        <v>74</v>
      </c>
      <c r="BO929" t="s">
        <v>74</v>
      </c>
      <c r="BP929" t="s">
        <v>74</v>
      </c>
      <c r="BQ929" t="s">
        <v>74</v>
      </c>
      <c r="BR929" t="s">
        <v>106</v>
      </c>
      <c r="BS929" t="s">
        <v>18020</v>
      </c>
      <c r="BT929" t="str">
        <f>HYPERLINK("https%3A%2F%2Fwww.webofscience.com%2Fwos%2Fwoscc%2Ffull-record%2FWOS:000539111000003","View Full Record in Web of Science")</f>
        <v>View Full Record in Web of Science</v>
      </c>
    </row>
    <row r="930" spans="1:72" x14ac:dyDescent="0.15">
      <c r="A930" t="s">
        <v>72</v>
      </c>
      <c r="B930" t="s">
        <v>18021</v>
      </c>
      <c r="C930" t="s">
        <v>74</v>
      </c>
      <c r="D930" t="s">
        <v>74</v>
      </c>
      <c r="E930" t="s">
        <v>74</v>
      </c>
      <c r="F930" t="s">
        <v>18022</v>
      </c>
      <c r="G930" t="s">
        <v>74</v>
      </c>
      <c r="H930" t="s">
        <v>74</v>
      </c>
      <c r="I930" t="s">
        <v>18023</v>
      </c>
      <c r="J930" t="s">
        <v>5238</v>
      </c>
      <c r="K930" t="s">
        <v>74</v>
      </c>
      <c r="L930" t="s">
        <v>74</v>
      </c>
      <c r="M930" t="s">
        <v>78</v>
      </c>
      <c r="N930" t="s">
        <v>79</v>
      </c>
      <c r="O930" t="s">
        <v>74</v>
      </c>
      <c r="P930" t="s">
        <v>74</v>
      </c>
      <c r="Q930" t="s">
        <v>74</v>
      </c>
      <c r="R930" t="s">
        <v>74</v>
      </c>
      <c r="S930" t="s">
        <v>74</v>
      </c>
      <c r="T930" t="s">
        <v>18024</v>
      </c>
      <c r="U930" t="s">
        <v>18025</v>
      </c>
      <c r="V930" t="s">
        <v>18026</v>
      </c>
      <c r="W930" t="s">
        <v>18027</v>
      </c>
      <c r="X930" t="s">
        <v>18028</v>
      </c>
      <c r="Y930" t="s">
        <v>18029</v>
      </c>
      <c r="Z930" t="s">
        <v>18030</v>
      </c>
      <c r="AA930" t="s">
        <v>18031</v>
      </c>
      <c r="AB930" t="s">
        <v>18032</v>
      </c>
      <c r="AC930" t="s">
        <v>18033</v>
      </c>
      <c r="AD930" t="s">
        <v>18034</v>
      </c>
      <c r="AE930" t="s">
        <v>18035</v>
      </c>
      <c r="AF930" t="s">
        <v>74</v>
      </c>
      <c r="AG930">
        <v>32</v>
      </c>
      <c r="AH930">
        <v>9</v>
      </c>
      <c r="AI930">
        <v>10</v>
      </c>
      <c r="AJ930">
        <v>1</v>
      </c>
      <c r="AK930">
        <v>7</v>
      </c>
      <c r="AL930" t="s">
        <v>124</v>
      </c>
      <c r="AM930" t="s">
        <v>93</v>
      </c>
      <c r="AN930" t="s">
        <v>125</v>
      </c>
      <c r="AO930" t="s">
        <v>5249</v>
      </c>
      <c r="AP930" t="s">
        <v>5250</v>
      </c>
      <c r="AQ930" t="s">
        <v>74</v>
      </c>
      <c r="AR930" t="s">
        <v>5251</v>
      </c>
      <c r="AS930" t="s">
        <v>5252</v>
      </c>
      <c r="AT930" t="s">
        <v>5993</v>
      </c>
      <c r="AU930">
        <v>2020</v>
      </c>
      <c r="AV930">
        <v>493</v>
      </c>
      <c r="AW930">
        <v>4</v>
      </c>
      <c r="AX930" t="s">
        <v>74</v>
      </c>
      <c r="AY930" t="s">
        <v>74</v>
      </c>
      <c r="AZ930" t="s">
        <v>74</v>
      </c>
      <c r="BA930" t="s">
        <v>74</v>
      </c>
      <c r="BB930">
        <v>5648</v>
      </c>
      <c r="BC930">
        <v>5652</v>
      </c>
      <c r="BD930" t="s">
        <v>74</v>
      </c>
      <c r="BE930" t="s">
        <v>18036</v>
      </c>
      <c r="BF930" t="str">
        <f>HYPERLINK("http://dx.doi.org/10.1093/mnras/staa488","http://dx.doi.org/10.1093/mnras/staa488")</f>
        <v>http://dx.doi.org/10.1093/mnras/staa488</v>
      </c>
      <c r="BG930" t="s">
        <v>74</v>
      </c>
      <c r="BH930" t="s">
        <v>74</v>
      </c>
      <c r="BI930">
        <v>5</v>
      </c>
      <c r="BJ930" t="s">
        <v>774</v>
      </c>
      <c r="BK930" t="s">
        <v>102</v>
      </c>
      <c r="BL930" t="s">
        <v>774</v>
      </c>
      <c r="BM930" t="s">
        <v>18037</v>
      </c>
      <c r="BN930" t="s">
        <v>74</v>
      </c>
      <c r="BO930" t="s">
        <v>1657</v>
      </c>
      <c r="BP930" t="s">
        <v>74</v>
      </c>
      <c r="BQ930" t="s">
        <v>74</v>
      </c>
      <c r="BR930" t="s">
        <v>106</v>
      </c>
      <c r="BS930" t="s">
        <v>18038</v>
      </c>
      <c r="BT930" t="str">
        <f>HYPERLINK("https%3A%2F%2Fwww.webofscience.com%2Fwos%2Fwoscc%2Ffull-record%2FWOS:000539094400079","View Full Record in Web of Science")</f>
        <v>View Full Record in Web of Science</v>
      </c>
    </row>
    <row r="931" spans="1:72" x14ac:dyDescent="0.15">
      <c r="A931" t="s">
        <v>72</v>
      </c>
      <c r="B931" t="s">
        <v>18039</v>
      </c>
      <c r="C931" t="s">
        <v>74</v>
      </c>
      <c r="D931" t="s">
        <v>74</v>
      </c>
      <c r="E931" t="s">
        <v>74</v>
      </c>
      <c r="F931" t="s">
        <v>18040</v>
      </c>
      <c r="G931" t="s">
        <v>74</v>
      </c>
      <c r="H931" t="s">
        <v>74</v>
      </c>
      <c r="I931" t="s">
        <v>18041</v>
      </c>
      <c r="J931" t="s">
        <v>18042</v>
      </c>
      <c r="K931" t="s">
        <v>74</v>
      </c>
      <c r="L931" t="s">
        <v>74</v>
      </c>
      <c r="M931" t="s">
        <v>78</v>
      </c>
      <c r="N931" t="s">
        <v>79</v>
      </c>
      <c r="O931" t="s">
        <v>74</v>
      </c>
      <c r="P931" t="s">
        <v>74</v>
      </c>
      <c r="Q931" t="s">
        <v>74</v>
      </c>
      <c r="R931" t="s">
        <v>74</v>
      </c>
      <c r="S931" t="s">
        <v>74</v>
      </c>
      <c r="T931" t="s">
        <v>18043</v>
      </c>
      <c r="U931" t="s">
        <v>18044</v>
      </c>
      <c r="V931" t="s">
        <v>18045</v>
      </c>
      <c r="W931" t="s">
        <v>18046</v>
      </c>
      <c r="X931" t="s">
        <v>18047</v>
      </c>
      <c r="Y931" t="s">
        <v>18048</v>
      </c>
      <c r="Z931" t="s">
        <v>18049</v>
      </c>
      <c r="AA931" t="s">
        <v>18050</v>
      </c>
      <c r="AB931" t="s">
        <v>18051</v>
      </c>
      <c r="AC931" t="s">
        <v>18052</v>
      </c>
      <c r="AD931" t="s">
        <v>688</v>
      </c>
      <c r="AE931" t="s">
        <v>74</v>
      </c>
      <c r="AF931" t="s">
        <v>74</v>
      </c>
      <c r="AG931">
        <v>78</v>
      </c>
      <c r="AH931">
        <v>27</v>
      </c>
      <c r="AI931">
        <v>29</v>
      </c>
      <c r="AJ931">
        <v>1</v>
      </c>
      <c r="AK931">
        <v>24</v>
      </c>
      <c r="AL931" t="s">
        <v>994</v>
      </c>
      <c r="AM931" t="s">
        <v>995</v>
      </c>
      <c r="AN931" t="s">
        <v>996</v>
      </c>
      <c r="AO931" t="s">
        <v>18053</v>
      </c>
      <c r="AP931" t="s">
        <v>18054</v>
      </c>
      <c r="AQ931" t="s">
        <v>74</v>
      </c>
      <c r="AR931" t="s">
        <v>18055</v>
      </c>
      <c r="AS931" t="s">
        <v>18056</v>
      </c>
      <c r="AT931" t="s">
        <v>5993</v>
      </c>
      <c r="AU931">
        <v>2020</v>
      </c>
      <c r="AV931">
        <v>146</v>
      </c>
      <c r="AW931">
        <v>729</v>
      </c>
      <c r="AX931" t="s">
        <v>74</v>
      </c>
      <c r="AY931" t="s">
        <v>74</v>
      </c>
      <c r="AZ931" t="s">
        <v>74</v>
      </c>
      <c r="BA931" t="s">
        <v>74</v>
      </c>
      <c r="BB931">
        <v>1939</v>
      </c>
      <c r="BC931">
        <v>1959</v>
      </c>
      <c r="BD931" t="s">
        <v>74</v>
      </c>
      <c r="BE931" t="s">
        <v>18057</v>
      </c>
      <c r="BF931" t="str">
        <f>HYPERLINK("http://dx.doi.org/10.1002/qj.3775","http://dx.doi.org/10.1002/qj.3775")</f>
        <v>http://dx.doi.org/10.1002/qj.3775</v>
      </c>
      <c r="BG931" t="s">
        <v>74</v>
      </c>
      <c r="BH931" t="s">
        <v>74</v>
      </c>
      <c r="BI931">
        <v>21</v>
      </c>
      <c r="BJ931" t="s">
        <v>159</v>
      </c>
      <c r="BK931" t="s">
        <v>102</v>
      </c>
      <c r="BL931" t="s">
        <v>159</v>
      </c>
      <c r="BM931" t="s">
        <v>18058</v>
      </c>
      <c r="BN931" t="s">
        <v>74</v>
      </c>
      <c r="BO931" t="s">
        <v>7830</v>
      </c>
      <c r="BP931" t="s">
        <v>74</v>
      </c>
      <c r="BQ931" t="s">
        <v>74</v>
      </c>
      <c r="BR931" t="s">
        <v>106</v>
      </c>
      <c r="BS931" t="s">
        <v>18059</v>
      </c>
      <c r="BT931" t="str">
        <f>HYPERLINK("https%3A%2F%2Fwww.webofscience.com%2Fwos%2Fwoscc%2Ffull-record%2FWOS:000537915400022","View Full Record in Web of Science")</f>
        <v>View Full Record in Web of Science</v>
      </c>
    </row>
    <row r="932" spans="1:72" x14ac:dyDescent="0.15">
      <c r="A932" t="s">
        <v>72</v>
      </c>
      <c r="B932" t="s">
        <v>18060</v>
      </c>
      <c r="C932" t="s">
        <v>74</v>
      </c>
      <c r="D932" t="s">
        <v>74</v>
      </c>
      <c r="E932" t="s">
        <v>74</v>
      </c>
      <c r="F932" t="s">
        <v>18061</v>
      </c>
      <c r="G932" t="s">
        <v>74</v>
      </c>
      <c r="H932" t="s">
        <v>74</v>
      </c>
      <c r="I932" t="s">
        <v>18062</v>
      </c>
      <c r="J932" t="s">
        <v>4343</v>
      </c>
      <c r="K932" t="s">
        <v>74</v>
      </c>
      <c r="L932" t="s">
        <v>74</v>
      </c>
      <c r="M932" t="s">
        <v>78</v>
      </c>
      <c r="N932" t="s">
        <v>79</v>
      </c>
      <c r="O932" t="s">
        <v>74</v>
      </c>
      <c r="P932" t="s">
        <v>74</v>
      </c>
      <c r="Q932" t="s">
        <v>74</v>
      </c>
      <c r="R932" t="s">
        <v>74</v>
      </c>
      <c r="S932" t="s">
        <v>74</v>
      </c>
      <c r="T932" t="s">
        <v>18063</v>
      </c>
      <c r="U932" t="s">
        <v>18064</v>
      </c>
      <c r="V932" t="s">
        <v>18065</v>
      </c>
      <c r="W932" t="s">
        <v>18066</v>
      </c>
      <c r="X932" t="s">
        <v>18067</v>
      </c>
      <c r="Y932" t="s">
        <v>18068</v>
      </c>
      <c r="Z932" t="s">
        <v>18069</v>
      </c>
      <c r="AA932" t="s">
        <v>74</v>
      </c>
      <c r="AB932" t="s">
        <v>18070</v>
      </c>
      <c r="AC932" t="s">
        <v>74</v>
      </c>
      <c r="AD932" t="s">
        <v>74</v>
      </c>
      <c r="AE932" t="s">
        <v>74</v>
      </c>
      <c r="AF932" t="s">
        <v>74</v>
      </c>
      <c r="AG932">
        <v>80</v>
      </c>
      <c r="AH932">
        <v>37</v>
      </c>
      <c r="AI932">
        <v>41</v>
      </c>
      <c r="AJ932">
        <v>9</v>
      </c>
      <c r="AK932">
        <v>33</v>
      </c>
      <c r="AL932" t="s">
        <v>4283</v>
      </c>
      <c r="AM932" t="s">
        <v>4284</v>
      </c>
      <c r="AN932" t="s">
        <v>4285</v>
      </c>
      <c r="AO932" t="s">
        <v>74</v>
      </c>
      <c r="AP932" t="s">
        <v>4356</v>
      </c>
      <c r="AQ932" t="s">
        <v>74</v>
      </c>
      <c r="AR932" t="s">
        <v>4357</v>
      </c>
      <c r="AS932" t="s">
        <v>4358</v>
      </c>
      <c r="AT932" t="s">
        <v>5993</v>
      </c>
      <c r="AU932">
        <v>2020</v>
      </c>
      <c r="AV932">
        <v>12</v>
      </c>
      <c r="AW932">
        <v>7</v>
      </c>
      <c r="AX932" t="s">
        <v>74</v>
      </c>
      <c r="AY932" t="s">
        <v>74</v>
      </c>
      <c r="AZ932" t="s">
        <v>74</v>
      </c>
      <c r="BA932" t="s">
        <v>74</v>
      </c>
      <c r="BB932" t="s">
        <v>74</v>
      </c>
      <c r="BC932" t="s">
        <v>74</v>
      </c>
      <c r="BD932">
        <v>1203</v>
      </c>
      <c r="BE932" t="s">
        <v>18071</v>
      </c>
      <c r="BF932" t="str">
        <f>HYPERLINK("http://dx.doi.org/10.3390/rs12071203","http://dx.doi.org/10.3390/rs12071203")</f>
        <v>http://dx.doi.org/10.3390/rs12071203</v>
      </c>
      <c r="BG932" t="s">
        <v>74</v>
      </c>
      <c r="BH932" t="s">
        <v>74</v>
      </c>
      <c r="BI932">
        <v>27</v>
      </c>
      <c r="BJ932" t="s">
        <v>4360</v>
      </c>
      <c r="BK932" t="s">
        <v>102</v>
      </c>
      <c r="BL932" t="s">
        <v>4361</v>
      </c>
      <c r="BM932" t="s">
        <v>17632</v>
      </c>
      <c r="BN932" t="s">
        <v>74</v>
      </c>
      <c r="BO932" t="s">
        <v>1778</v>
      </c>
      <c r="BP932" t="s">
        <v>74</v>
      </c>
      <c r="BQ932" t="s">
        <v>74</v>
      </c>
      <c r="BR932" t="s">
        <v>106</v>
      </c>
      <c r="BS932" t="s">
        <v>18072</v>
      </c>
      <c r="BT932" t="str">
        <f>HYPERLINK("https%3A%2F%2Fwww.webofscience.com%2Fwos%2Fwoscc%2Ffull-record%2FWOS:000537709600153","View Full Record in Web of Science")</f>
        <v>View Full Record in Web of Science</v>
      </c>
    </row>
    <row r="933" spans="1:72" x14ac:dyDescent="0.15">
      <c r="A933" t="s">
        <v>72</v>
      </c>
      <c r="B933" t="s">
        <v>18073</v>
      </c>
      <c r="C933" t="s">
        <v>74</v>
      </c>
      <c r="D933" t="s">
        <v>74</v>
      </c>
      <c r="E933" t="s">
        <v>74</v>
      </c>
      <c r="F933" t="s">
        <v>18074</v>
      </c>
      <c r="G933" t="s">
        <v>74</v>
      </c>
      <c r="H933" t="s">
        <v>74</v>
      </c>
      <c r="I933" t="s">
        <v>18075</v>
      </c>
      <c r="J933" t="s">
        <v>4343</v>
      </c>
      <c r="K933" t="s">
        <v>74</v>
      </c>
      <c r="L933" t="s">
        <v>74</v>
      </c>
      <c r="M933" t="s">
        <v>78</v>
      </c>
      <c r="N933" t="s">
        <v>79</v>
      </c>
      <c r="O933" t="s">
        <v>74</v>
      </c>
      <c r="P933" t="s">
        <v>74</v>
      </c>
      <c r="Q933" t="s">
        <v>74</v>
      </c>
      <c r="R933" t="s">
        <v>74</v>
      </c>
      <c r="S933" t="s">
        <v>74</v>
      </c>
      <c r="T933" t="s">
        <v>18076</v>
      </c>
      <c r="U933" t="s">
        <v>74</v>
      </c>
      <c r="V933" t="s">
        <v>18077</v>
      </c>
      <c r="W933" t="s">
        <v>18078</v>
      </c>
      <c r="X933" t="s">
        <v>18079</v>
      </c>
      <c r="Y933" t="s">
        <v>18080</v>
      </c>
      <c r="Z933" t="s">
        <v>18081</v>
      </c>
      <c r="AA933" t="s">
        <v>18082</v>
      </c>
      <c r="AB933" t="s">
        <v>18083</v>
      </c>
      <c r="AC933" t="s">
        <v>18084</v>
      </c>
      <c r="AD933" t="s">
        <v>18085</v>
      </c>
      <c r="AE933" t="s">
        <v>18086</v>
      </c>
      <c r="AF933" t="s">
        <v>74</v>
      </c>
      <c r="AG933">
        <v>33</v>
      </c>
      <c r="AH933">
        <v>4</v>
      </c>
      <c r="AI933">
        <v>4</v>
      </c>
      <c r="AJ933">
        <v>5</v>
      </c>
      <c r="AK933">
        <v>37</v>
      </c>
      <c r="AL933" t="s">
        <v>4283</v>
      </c>
      <c r="AM933" t="s">
        <v>4284</v>
      </c>
      <c r="AN933" t="s">
        <v>4285</v>
      </c>
      <c r="AO933" t="s">
        <v>74</v>
      </c>
      <c r="AP933" t="s">
        <v>4356</v>
      </c>
      <c r="AQ933" t="s">
        <v>74</v>
      </c>
      <c r="AR933" t="s">
        <v>4357</v>
      </c>
      <c r="AS933" t="s">
        <v>4358</v>
      </c>
      <c r="AT933" t="s">
        <v>5993</v>
      </c>
      <c r="AU933">
        <v>2020</v>
      </c>
      <c r="AV933">
        <v>12</v>
      </c>
      <c r="AW933">
        <v>7</v>
      </c>
      <c r="AX933" t="s">
        <v>74</v>
      </c>
      <c r="AY933" t="s">
        <v>74</v>
      </c>
      <c r="AZ933" t="s">
        <v>74</v>
      </c>
      <c r="BA933" t="s">
        <v>74</v>
      </c>
      <c r="BB933" t="s">
        <v>74</v>
      </c>
      <c r="BC933" t="s">
        <v>74</v>
      </c>
      <c r="BD933">
        <v>1143</v>
      </c>
      <c r="BE933" t="s">
        <v>18087</v>
      </c>
      <c r="BF933" t="str">
        <f>HYPERLINK("http://dx.doi.org/10.3390/rs12071143","http://dx.doi.org/10.3390/rs12071143")</f>
        <v>http://dx.doi.org/10.3390/rs12071143</v>
      </c>
      <c r="BG933" t="s">
        <v>74</v>
      </c>
      <c r="BH933" t="s">
        <v>74</v>
      </c>
      <c r="BI933">
        <v>21</v>
      </c>
      <c r="BJ933" t="s">
        <v>4360</v>
      </c>
      <c r="BK933" t="s">
        <v>102</v>
      </c>
      <c r="BL933" t="s">
        <v>4361</v>
      </c>
      <c r="BM933" t="s">
        <v>17632</v>
      </c>
      <c r="BN933" t="s">
        <v>74</v>
      </c>
      <c r="BO933" t="s">
        <v>105</v>
      </c>
      <c r="BP933" t="s">
        <v>74</v>
      </c>
      <c r="BQ933" t="s">
        <v>74</v>
      </c>
      <c r="BR933" t="s">
        <v>106</v>
      </c>
      <c r="BS933" t="s">
        <v>18088</v>
      </c>
      <c r="BT933" t="str">
        <f>HYPERLINK("https%3A%2F%2Fwww.webofscience.com%2Fwos%2Fwoscc%2Ffull-record%2FWOS:000537709600093","View Full Record in Web of Science")</f>
        <v>View Full Record in Web of Science</v>
      </c>
    </row>
    <row r="934" spans="1:72" x14ac:dyDescent="0.15">
      <c r="A934" t="s">
        <v>72</v>
      </c>
      <c r="B934" t="s">
        <v>18089</v>
      </c>
      <c r="C934" t="s">
        <v>74</v>
      </c>
      <c r="D934" t="s">
        <v>74</v>
      </c>
      <c r="E934" t="s">
        <v>74</v>
      </c>
      <c r="F934" t="s">
        <v>18090</v>
      </c>
      <c r="G934" t="s">
        <v>74</v>
      </c>
      <c r="H934" t="s">
        <v>74</v>
      </c>
      <c r="I934" t="s">
        <v>18091</v>
      </c>
      <c r="J934" t="s">
        <v>194</v>
      </c>
      <c r="K934" t="s">
        <v>74</v>
      </c>
      <c r="L934" t="s">
        <v>74</v>
      </c>
      <c r="M934" t="s">
        <v>78</v>
      </c>
      <c r="N934" t="s">
        <v>79</v>
      </c>
      <c r="O934" t="s">
        <v>74</v>
      </c>
      <c r="P934" t="s">
        <v>74</v>
      </c>
      <c r="Q934" t="s">
        <v>74</v>
      </c>
      <c r="R934" t="s">
        <v>74</v>
      </c>
      <c r="S934" t="s">
        <v>74</v>
      </c>
      <c r="T934" t="s">
        <v>18092</v>
      </c>
      <c r="U934" t="s">
        <v>18093</v>
      </c>
      <c r="V934" t="s">
        <v>18094</v>
      </c>
      <c r="W934" t="s">
        <v>18095</v>
      </c>
      <c r="X934" t="s">
        <v>18096</v>
      </c>
      <c r="Y934" t="s">
        <v>18097</v>
      </c>
      <c r="Z934" t="s">
        <v>18098</v>
      </c>
      <c r="AA934" t="s">
        <v>18099</v>
      </c>
      <c r="AB934" t="s">
        <v>18100</v>
      </c>
      <c r="AC934" t="s">
        <v>18101</v>
      </c>
      <c r="AD934" t="s">
        <v>18102</v>
      </c>
      <c r="AE934" t="s">
        <v>18103</v>
      </c>
      <c r="AF934" t="s">
        <v>74</v>
      </c>
      <c r="AG934">
        <v>111</v>
      </c>
      <c r="AH934">
        <v>14</v>
      </c>
      <c r="AI934">
        <v>16</v>
      </c>
      <c r="AJ934">
        <v>0</v>
      </c>
      <c r="AK934">
        <v>7</v>
      </c>
      <c r="AL934" t="s">
        <v>151</v>
      </c>
      <c r="AM934" t="s">
        <v>152</v>
      </c>
      <c r="AN934" t="s">
        <v>153</v>
      </c>
      <c r="AO934" t="s">
        <v>207</v>
      </c>
      <c r="AP934" t="s">
        <v>208</v>
      </c>
      <c r="AQ934" t="s">
        <v>74</v>
      </c>
      <c r="AR934" t="s">
        <v>209</v>
      </c>
      <c r="AS934" t="s">
        <v>210</v>
      </c>
      <c r="AT934" t="s">
        <v>5993</v>
      </c>
      <c r="AU934">
        <v>2020</v>
      </c>
      <c r="AV934">
        <v>125</v>
      </c>
      <c r="AW934">
        <v>4</v>
      </c>
      <c r="AX934" t="s">
        <v>74</v>
      </c>
      <c r="AY934" t="s">
        <v>74</v>
      </c>
      <c r="AZ934" t="s">
        <v>74</v>
      </c>
      <c r="BA934" t="s">
        <v>74</v>
      </c>
      <c r="BB934" t="s">
        <v>74</v>
      </c>
      <c r="BC934" t="s">
        <v>74</v>
      </c>
      <c r="BD934" t="s">
        <v>18104</v>
      </c>
      <c r="BE934" t="s">
        <v>18105</v>
      </c>
      <c r="BF934" t="str">
        <f>HYPERLINK("http://dx.doi.org/10.1029/2019JC015562","http://dx.doi.org/10.1029/2019JC015562")</f>
        <v>http://dx.doi.org/10.1029/2019JC015562</v>
      </c>
      <c r="BG934" t="s">
        <v>74</v>
      </c>
      <c r="BH934" t="s">
        <v>74</v>
      </c>
      <c r="BI934">
        <v>21</v>
      </c>
      <c r="BJ934" t="s">
        <v>213</v>
      </c>
      <c r="BK934" t="s">
        <v>102</v>
      </c>
      <c r="BL934" t="s">
        <v>213</v>
      </c>
      <c r="BM934" t="s">
        <v>18106</v>
      </c>
      <c r="BN934" t="s">
        <v>74</v>
      </c>
      <c r="BO934" t="s">
        <v>294</v>
      </c>
      <c r="BP934" t="s">
        <v>74</v>
      </c>
      <c r="BQ934" t="s">
        <v>74</v>
      </c>
      <c r="BR934" t="s">
        <v>106</v>
      </c>
      <c r="BS934" t="s">
        <v>18107</v>
      </c>
      <c r="BT934" t="str">
        <f>HYPERLINK("https%3A%2F%2Fwww.webofscience.com%2Fwos%2Fwoscc%2Ffull-record%2FWOS:000534476600006","View Full Record in Web of Science")</f>
        <v>View Full Record in Web of Science</v>
      </c>
    </row>
    <row r="935" spans="1:72" x14ac:dyDescent="0.15">
      <c r="A935" t="s">
        <v>72</v>
      </c>
      <c r="B935" t="s">
        <v>18108</v>
      </c>
      <c r="C935" t="s">
        <v>74</v>
      </c>
      <c r="D935" t="s">
        <v>74</v>
      </c>
      <c r="E935" t="s">
        <v>74</v>
      </c>
      <c r="F935" t="s">
        <v>18109</v>
      </c>
      <c r="G935" t="s">
        <v>74</v>
      </c>
      <c r="H935" t="s">
        <v>74</v>
      </c>
      <c r="I935" t="s">
        <v>18110</v>
      </c>
      <c r="J935" t="s">
        <v>194</v>
      </c>
      <c r="K935" t="s">
        <v>74</v>
      </c>
      <c r="L935" t="s">
        <v>74</v>
      </c>
      <c r="M935" t="s">
        <v>78</v>
      </c>
      <c r="N935" t="s">
        <v>79</v>
      </c>
      <c r="O935" t="s">
        <v>74</v>
      </c>
      <c r="P935" t="s">
        <v>74</v>
      </c>
      <c r="Q935" t="s">
        <v>74</v>
      </c>
      <c r="R935" t="s">
        <v>74</v>
      </c>
      <c r="S935" t="s">
        <v>74</v>
      </c>
      <c r="T935" t="s">
        <v>18111</v>
      </c>
      <c r="U935" t="s">
        <v>18112</v>
      </c>
      <c r="V935" t="s">
        <v>18113</v>
      </c>
      <c r="W935" t="s">
        <v>18114</v>
      </c>
      <c r="X935" t="s">
        <v>18115</v>
      </c>
      <c r="Y935" t="s">
        <v>18116</v>
      </c>
      <c r="Z935" t="s">
        <v>18117</v>
      </c>
      <c r="AA935" t="s">
        <v>74</v>
      </c>
      <c r="AB935" t="s">
        <v>18118</v>
      </c>
      <c r="AC935" t="s">
        <v>18119</v>
      </c>
      <c r="AD935" t="s">
        <v>18120</v>
      </c>
      <c r="AE935" t="s">
        <v>18121</v>
      </c>
      <c r="AF935" t="s">
        <v>74</v>
      </c>
      <c r="AG935">
        <v>85</v>
      </c>
      <c r="AH935">
        <v>15</v>
      </c>
      <c r="AI935">
        <v>15</v>
      </c>
      <c r="AJ935">
        <v>0</v>
      </c>
      <c r="AK935">
        <v>4</v>
      </c>
      <c r="AL935" t="s">
        <v>151</v>
      </c>
      <c r="AM935" t="s">
        <v>152</v>
      </c>
      <c r="AN935" t="s">
        <v>153</v>
      </c>
      <c r="AO935" t="s">
        <v>207</v>
      </c>
      <c r="AP935" t="s">
        <v>208</v>
      </c>
      <c r="AQ935" t="s">
        <v>74</v>
      </c>
      <c r="AR935" t="s">
        <v>209</v>
      </c>
      <c r="AS935" t="s">
        <v>210</v>
      </c>
      <c r="AT935" t="s">
        <v>5993</v>
      </c>
      <c r="AU935">
        <v>2020</v>
      </c>
      <c r="AV935">
        <v>125</v>
      </c>
      <c r="AW935">
        <v>4</v>
      </c>
      <c r="AX935" t="s">
        <v>74</v>
      </c>
      <c r="AY935" t="s">
        <v>74</v>
      </c>
      <c r="AZ935" t="s">
        <v>74</v>
      </c>
      <c r="BA935" t="s">
        <v>74</v>
      </c>
      <c r="BB935" t="s">
        <v>74</v>
      </c>
      <c r="BC935" t="s">
        <v>74</v>
      </c>
      <c r="BD935" t="s">
        <v>18122</v>
      </c>
      <c r="BE935" t="s">
        <v>18123</v>
      </c>
      <c r="BF935" t="str">
        <f>HYPERLINK("http://dx.doi.org/10.1029/2019JC015848","http://dx.doi.org/10.1029/2019JC015848")</f>
        <v>http://dx.doi.org/10.1029/2019JC015848</v>
      </c>
      <c r="BG935" t="s">
        <v>74</v>
      </c>
      <c r="BH935" t="s">
        <v>74</v>
      </c>
      <c r="BI935">
        <v>21</v>
      </c>
      <c r="BJ935" t="s">
        <v>213</v>
      </c>
      <c r="BK935" t="s">
        <v>102</v>
      </c>
      <c r="BL935" t="s">
        <v>213</v>
      </c>
      <c r="BM935" t="s">
        <v>18106</v>
      </c>
      <c r="BN935" t="s">
        <v>74</v>
      </c>
      <c r="BO935" t="s">
        <v>74</v>
      </c>
      <c r="BP935" t="s">
        <v>74</v>
      </c>
      <c r="BQ935" t="s">
        <v>74</v>
      </c>
      <c r="BR935" t="s">
        <v>106</v>
      </c>
      <c r="BS935" t="s">
        <v>18124</v>
      </c>
      <c r="BT935" t="str">
        <f>HYPERLINK("https%3A%2F%2Fwww.webofscience.com%2Fwos%2Fwoscc%2Ffull-record%2FWOS:000534476600011","View Full Record in Web of Science")</f>
        <v>View Full Record in Web of Science</v>
      </c>
    </row>
    <row r="936" spans="1:72" x14ac:dyDescent="0.15">
      <c r="A936" t="s">
        <v>72</v>
      </c>
      <c r="B936" t="s">
        <v>18125</v>
      </c>
      <c r="C936" t="s">
        <v>74</v>
      </c>
      <c r="D936" t="s">
        <v>74</v>
      </c>
      <c r="E936" t="s">
        <v>74</v>
      </c>
      <c r="F936" t="s">
        <v>18126</v>
      </c>
      <c r="G936" t="s">
        <v>74</v>
      </c>
      <c r="H936" t="s">
        <v>74</v>
      </c>
      <c r="I936" t="s">
        <v>18127</v>
      </c>
      <c r="J936" t="s">
        <v>194</v>
      </c>
      <c r="K936" t="s">
        <v>74</v>
      </c>
      <c r="L936" t="s">
        <v>74</v>
      </c>
      <c r="M936" t="s">
        <v>78</v>
      </c>
      <c r="N936" t="s">
        <v>79</v>
      </c>
      <c r="O936" t="s">
        <v>74</v>
      </c>
      <c r="P936" t="s">
        <v>74</v>
      </c>
      <c r="Q936" t="s">
        <v>74</v>
      </c>
      <c r="R936" t="s">
        <v>74</v>
      </c>
      <c r="S936" t="s">
        <v>74</v>
      </c>
      <c r="T936" t="s">
        <v>18128</v>
      </c>
      <c r="U936" t="s">
        <v>18129</v>
      </c>
      <c r="V936" t="s">
        <v>18130</v>
      </c>
      <c r="W936" t="s">
        <v>18131</v>
      </c>
      <c r="X936" t="s">
        <v>18132</v>
      </c>
      <c r="Y936" t="s">
        <v>18133</v>
      </c>
      <c r="Z936" t="s">
        <v>18134</v>
      </c>
      <c r="AA936" t="s">
        <v>18135</v>
      </c>
      <c r="AB936" t="s">
        <v>18136</v>
      </c>
      <c r="AC936" t="s">
        <v>18137</v>
      </c>
      <c r="AD936" t="s">
        <v>18138</v>
      </c>
      <c r="AE936" t="s">
        <v>18139</v>
      </c>
      <c r="AF936" t="s">
        <v>74</v>
      </c>
      <c r="AG936">
        <v>30</v>
      </c>
      <c r="AH936">
        <v>10</v>
      </c>
      <c r="AI936">
        <v>10</v>
      </c>
      <c r="AJ936">
        <v>0</v>
      </c>
      <c r="AK936">
        <v>9</v>
      </c>
      <c r="AL936" t="s">
        <v>151</v>
      </c>
      <c r="AM936" t="s">
        <v>152</v>
      </c>
      <c r="AN936" t="s">
        <v>153</v>
      </c>
      <c r="AO936" t="s">
        <v>207</v>
      </c>
      <c r="AP936" t="s">
        <v>208</v>
      </c>
      <c r="AQ936" t="s">
        <v>74</v>
      </c>
      <c r="AR936" t="s">
        <v>209</v>
      </c>
      <c r="AS936" t="s">
        <v>210</v>
      </c>
      <c r="AT936" t="s">
        <v>5993</v>
      </c>
      <c r="AU936">
        <v>2020</v>
      </c>
      <c r="AV936">
        <v>125</v>
      </c>
      <c r="AW936">
        <v>4</v>
      </c>
      <c r="AX936" t="s">
        <v>74</v>
      </c>
      <c r="AY936" t="s">
        <v>74</v>
      </c>
      <c r="AZ936" t="s">
        <v>74</v>
      </c>
      <c r="BA936" t="s">
        <v>74</v>
      </c>
      <c r="BB936" t="s">
        <v>74</v>
      </c>
      <c r="BC936" t="s">
        <v>74</v>
      </c>
      <c r="BD936" t="s">
        <v>18140</v>
      </c>
      <c r="BE936" t="s">
        <v>18141</v>
      </c>
      <c r="BF936" t="str">
        <f>HYPERLINK("http://dx.doi.org/10.1029/2019JC015855","http://dx.doi.org/10.1029/2019JC015855")</f>
        <v>http://dx.doi.org/10.1029/2019JC015855</v>
      </c>
      <c r="BG936" t="s">
        <v>74</v>
      </c>
      <c r="BH936" t="s">
        <v>74</v>
      </c>
      <c r="BI936">
        <v>11</v>
      </c>
      <c r="BJ936" t="s">
        <v>213</v>
      </c>
      <c r="BK936" t="s">
        <v>102</v>
      </c>
      <c r="BL936" t="s">
        <v>213</v>
      </c>
      <c r="BM936" t="s">
        <v>18106</v>
      </c>
      <c r="BN936" t="s">
        <v>74</v>
      </c>
      <c r="BO936" t="s">
        <v>294</v>
      </c>
      <c r="BP936" t="s">
        <v>74</v>
      </c>
      <c r="BQ936" t="s">
        <v>74</v>
      </c>
      <c r="BR936" t="s">
        <v>106</v>
      </c>
      <c r="BS936" t="s">
        <v>18142</v>
      </c>
      <c r="BT936" t="str">
        <f>HYPERLINK("https%3A%2F%2Fwww.webofscience.com%2Fwos%2Fwoscc%2Ffull-record%2FWOS:000534476600008","View Full Record in Web of Science")</f>
        <v>View Full Record in Web of Science</v>
      </c>
    </row>
    <row r="937" spans="1:72" x14ac:dyDescent="0.15">
      <c r="A937" t="s">
        <v>72</v>
      </c>
      <c r="B937" t="s">
        <v>18143</v>
      </c>
      <c r="C937" t="s">
        <v>74</v>
      </c>
      <c r="D937" t="s">
        <v>74</v>
      </c>
      <c r="E937" t="s">
        <v>74</v>
      </c>
      <c r="F937" t="s">
        <v>18144</v>
      </c>
      <c r="G937" t="s">
        <v>74</v>
      </c>
      <c r="H937" t="s">
        <v>74</v>
      </c>
      <c r="I937" t="s">
        <v>18145</v>
      </c>
      <c r="J937" t="s">
        <v>4367</v>
      </c>
      <c r="K937" t="s">
        <v>74</v>
      </c>
      <c r="L937" t="s">
        <v>74</v>
      </c>
      <c r="M937" t="s">
        <v>78</v>
      </c>
      <c r="N937" t="s">
        <v>79</v>
      </c>
      <c r="O937" t="s">
        <v>74</v>
      </c>
      <c r="P937" t="s">
        <v>74</v>
      </c>
      <c r="Q937" t="s">
        <v>74</v>
      </c>
      <c r="R937" t="s">
        <v>74</v>
      </c>
      <c r="S937" t="s">
        <v>74</v>
      </c>
      <c r="T937" t="s">
        <v>74</v>
      </c>
      <c r="U937" t="s">
        <v>18146</v>
      </c>
      <c r="V937" t="s">
        <v>18147</v>
      </c>
      <c r="W937" t="s">
        <v>18148</v>
      </c>
      <c r="X937" t="s">
        <v>18149</v>
      </c>
      <c r="Y937" t="s">
        <v>18150</v>
      </c>
      <c r="Z937" t="s">
        <v>18151</v>
      </c>
      <c r="AA937" t="s">
        <v>18152</v>
      </c>
      <c r="AB937" t="s">
        <v>18153</v>
      </c>
      <c r="AC937" t="s">
        <v>18154</v>
      </c>
      <c r="AD937" t="s">
        <v>18155</v>
      </c>
      <c r="AE937" t="s">
        <v>18156</v>
      </c>
      <c r="AF937" t="s">
        <v>74</v>
      </c>
      <c r="AG937">
        <v>57</v>
      </c>
      <c r="AH937">
        <v>7</v>
      </c>
      <c r="AI937">
        <v>7</v>
      </c>
      <c r="AJ937">
        <v>0</v>
      </c>
      <c r="AK937">
        <v>1</v>
      </c>
      <c r="AL937" t="s">
        <v>151</v>
      </c>
      <c r="AM937" t="s">
        <v>152</v>
      </c>
      <c r="AN937" t="s">
        <v>153</v>
      </c>
      <c r="AO937" t="s">
        <v>4380</v>
      </c>
      <c r="AP937" t="s">
        <v>4381</v>
      </c>
      <c r="AQ937" t="s">
        <v>74</v>
      </c>
      <c r="AR937" t="s">
        <v>4382</v>
      </c>
      <c r="AS937" t="s">
        <v>4383</v>
      </c>
      <c r="AT937" t="s">
        <v>5993</v>
      </c>
      <c r="AU937">
        <v>2020</v>
      </c>
      <c r="AV937">
        <v>125</v>
      </c>
      <c r="AW937">
        <v>4</v>
      </c>
      <c r="AX937" t="s">
        <v>74</v>
      </c>
      <c r="AY937" t="s">
        <v>74</v>
      </c>
      <c r="AZ937" t="s">
        <v>74</v>
      </c>
      <c r="BA937" t="s">
        <v>74</v>
      </c>
      <c r="BB937" t="s">
        <v>74</v>
      </c>
      <c r="BC937" t="s">
        <v>74</v>
      </c>
      <c r="BD937" t="s">
        <v>18157</v>
      </c>
      <c r="BE937" t="s">
        <v>18158</v>
      </c>
      <c r="BF937" t="str">
        <f>HYPERLINK("http://dx.doi.org/10.1029/2019JA027369","http://dx.doi.org/10.1029/2019JA027369")</f>
        <v>http://dx.doi.org/10.1029/2019JA027369</v>
      </c>
      <c r="BG937" t="s">
        <v>74</v>
      </c>
      <c r="BH937" t="s">
        <v>74</v>
      </c>
      <c r="BI937">
        <v>19</v>
      </c>
      <c r="BJ937" t="s">
        <v>774</v>
      </c>
      <c r="BK937" t="s">
        <v>102</v>
      </c>
      <c r="BL937" t="s">
        <v>774</v>
      </c>
      <c r="BM937" t="s">
        <v>18159</v>
      </c>
      <c r="BN937" t="s">
        <v>74</v>
      </c>
      <c r="BO937" t="s">
        <v>1802</v>
      </c>
      <c r="BP937" t="s">
        <v>74</v>
      </c>
      <c r="BQ937" t="s">
        <v>74</v>
      </c>
      <c r="BR937" t="s">
        <v>106</v>
      </c>
      <c r="BS937" t="s">
        <v>18160</v>
      </c>
      <c r="BT937" t="str">
        <f>HYPERLINK("https%3A%2F%2Fwww.webofscience.com%2Fwos%2Fwoscc%2Ffull-record%2FWOS:000536831100005","View Full Record in Web of Science")</f>
        <v>View Full Record in Web of Science</v>
      </c>
    </row>
    <row r="938" spans="1:72" x14ac:dyDescent="0.15">
      <c r="A938" t="s">
        <v>72</v>
      </c>
      <c r="B938" t="s">
        <v>18161</v>
      </c>
      <c r="C938" t="s">
        <v>74</v>
      </c>
      <c r="D938" t="s">
        <v>74</v>
      </c>
      <c r="E938" t="s">
        <v>74</v>
      </c>
      <c r="F938" t="s">
        <v>18162</v>
      </c>
      <c r="G938" t="s">
        <v>74</v>
      </c>
      <c r="H938" t="s">
        <v>74</v>
      </c>
      <c r="I938" t="s">
        <v>18163</v>
      </c>
      <c r="J938" t="s">
        <v>4343</v>
      </c>
      <c r="K938" t="s">
        <v>74</v>
      </c>
      <c r="L938" t="s">
        <v>74</v>
      </c>
      <c r="M938" t="s">
        <v>78</v>
      </c>
      <c r="N938" t="s">
        <v>79</v>
      </c>
      <c r="O938" t="s">
        <v>74</v>
      </c>
      <c r="P938" t="s">
        <v>74</v>
      </c>
      <c r="Q938" t="s">
        <v>74</v>
      </c>
      <c r="R938" t="s">
        <v>74</v>
      </c>
      <c r="S938" t="s">
        <v>74</v>
      </c>
      <c r="T938" t="s">
        <v>18164</v>
      </c>
      <c r="U938" t="s">
        <v>18165</v>
      </c>
      <c r="V938" t="s">
        <v>18166</v>
      </c>
      <c r="W938" t="s">
        <v>18167</v>
      </c>
      <c r="X938" t="s">
        <v>18168</v>
      </c>
      <c r="Y938" t="s">
        <v>18169</v>
      </c>
      <c r="Z938" t="s">
        <v>18170</v>
      </c>
      <c r="AA938" t="s">
        <v>18171</v>
      </c>
      <c r="AB938" t="s">
        <v>18172</v>
      </c>
      <c r="AC938" t="s">
        <v>18173</v>
      </c>
      <c r="AD938" t="s">
        <v>18174</v>
      </c>
      <c r="AE938" t="s">
        <v>18175</v>
      </c>
      <c r="AF938" t="s">
        <v>74</v>
      </c>
      <c r="AG938">
        <v>86</v>
      </c>
      <c r="AH938">
        <v>10</v>
      </c>
      <c r="AI938">
        <v>11</v>
      </c>
      <c r="AJ938">
        <v>5</v>
      </c>
      <c r="AK938">
        <v>31</v>
      </c>
      <c r="AL938" t="s">
        <v>4283</v>
      </c>
      <c r="AM938" t="s">
        <v>4284</v>
      </c>
      <c r="AN938" t="s">
        <v>4285</v>
      </c>
      <c r="AO938" t="s">
        <v>74</v>
      </c>
      <c r="AP938" t="s">
        <v>4356</v>
      </c>
      <c r="AQ938" t="s">
        <v>74</v>
      </c>
      <c r="AR938" t="s">
        <v>4357</v>
      </c>
      <c r="AS938" t="s">
        <v>4358</v>
      </c>
      <c r="AT938" t="s">
        <v>5993</v>
      </c>
      <c r="AU938">
        <v>2020</v>
      </c>
      <c r="AV938">
        <v>12</v>
      </c>
      <c r="AW938">
        <v>8</v>
      </c>
      <c r="AX938" t="s">
        <v>74</v>
      </c>
      <c r="AY938" t="s">
        <v>74</v>
      </c>
      <c r="AZ938" t="s">
        <v>74</v>
      </c>
      <c r="BA938" t="s">
        <v>74</v>
      </c>
      <c r="BB938" t="s">
        <v>74</v>
      </c>
      <c r="BC938" t="s">
        <v>74</v>
      </c>
      <c r="BD938">
        <v>1327</v>
      </c>
      <c r="BE938" t="s">
        <v>18176</v>
      </c>
      <c r="BF938" t="str">
        <f>HYPERLINK("http://dx.doi.org/10.3390/rs12081327","http://dx.doi.org/10.3390/rs12081327")</f>
        <v>http://dx.doi.org/10.3390/rs12081327</v>
      </c>
      <c r="BG938" t="s">
        <v>74</v>
      </c>
      <c r="BH938" t="s">
        <v>74</v>
      </c>
      <c r="BI938">
        <v>23</v>
      </c>
      <c r="BJ938" t="s">
        <v>4360</v>
      </c>
      <c r="BK938" t="s">
        <v>102</v>
      </c>
      <c r="BL938" t="s">
        <v>4361</v>
      </c>
      <c r="BM938" t="s">
        <v>18177</v>
      </c>
      <c r="BN938" t="s">
        <v>74</v>
      </c>
      <c r="BO938" t="s">
        <v>1778</v>
      </c>
      <c r="BP938" t="s">
        <v>74</v>
      </c>
      <c r="BQ938" t="s">
        <v>74</v>
      </c>
      <c r="BR938" t="s">
        <v>106</v>
      </c>
      <c r="BS938" t="s">
        <v>18178</v>
      </c>
      <c r="BT938" t="str">
        <f>HYPERLINK("https%3A%2F%2Fwww.webofscience.com%2Fwos%2Fwoscc%2Ffull-record%2FWOS:000534628800100","View Full Record in Web of Science")</f>
        <v>View Full Record in Web of Science</v>
      </c>
    </row>
    <row r="939" spans="1:72" x14ac:dyDescent="0.15">
      <c r="A939" t="s">
        <v>72</v>
      </c>
      <c r="B939" t="s">
        <v>18179</v>
      </c>
      <c r="C939" t="s">
        <v>74</v>
      </c>
      <c r="D939" t="s">
        <v>74</v>
      </c>
      <c r="E939" t="s">
        <v>74</v>
      </c>
      <c r="F939" t="s">
        <v>18180</v>
      </c>
      <c r="G939" t="s">
        <v>74</v>
      </c>
      <c r="H939" t="s">
        <v>74</v>
      </c>
      <c r="I939" t="s">
        <v>18181</v>
      </c>
      <c r="J939" t="s">
        <v>4343</v>
      </c>
      <c r="K939" t="s">
        <v>74</v>
      </c>
      <c r="L939" t="s">
        <v>74</v>
      </c>
      <c r="M939" t="s">
        <v>78</v>
      </c>
      <c r="N939" t="s">
        <v>79</v>
      </c>
      <c r="O939" t="s">
        <v>74</v>
      </c>
      <c r="P939" t="s">
        <v>74</v>
      </c>
      <c r="Q939" t="s">
        <v>74</v>
      </c>
      <c r="R939" t="s">
        <v>74</v>
      </c>
      <c r="S939" t="s">
        <v>74</v>
      </c>
      <c r="T939" t="s">
        <v>18182</v>
      </c>
      <c r="U939" t="s">
        <v>74</v>
      </c>
      <c r="V939" t="s">
        <v>18183</v>
      </c>
      <c r="W939" t="s">
        <v>18184</v>
      </c>
      <c r="X939" t="s">
        <v>18185</v>
      </c>
      <c r="Y939" t="s">
        <v>18186</v>
      </c>
      <c r="Z939" t="s">
        <v>18187</v>
      </c>
      <c r="AA939" t="s">
        <v>18188</v>
      </c>
      <c r="AB939" t="s">
        <v>18189</v>
      </c>
      <c r="AC939" t="s">
        <v>18190</v>
      </c>
      <c r="AD939" t="s">
        <v>18191</v>
      </c>
      <c r="AE939" t="s">
        <v>18192</v>
      </c>
      <c r="AF939" t="s">
        <v>74</v>
      </c>
      <c r="AG939">
        <v>35</v>
      </c>
      <c r="AH939">
        <v>26</v>
      </c>
      <c r="AI939">
        <v>28</v>
      </c>
      <c r="AJ939">
        <v>5</v>
      </c>
      <c r="AK939">
        <v>31</v>
      </c>
      <c r="AL939" t="s">
        <v>4283</v>
      </c>
      <c r="AM939" t="s">
        <v>4284</v>
      </c>
      <c r="AN939" t="s">
        <v>4285</v>
      </c>
      <c r="AO939" t="s">
        <v>74</v>
      </c>
      <c r="AP939" t="s">
        <v>4356</v>
      </c>
      <c r="AQ939" t="s">
        <v>74</v>
      </c>
      <c r="AR939" t="s">
        <v>4357</v>
      </c>
      <c r="AS939" t="s">
        <v>4358</v>
      </c>
      <c r="AT939" t="s">
        <v>5993</v>
      </c>
      <c r="AU939">
        <v>2020</v>
      </c>
      <c r="AV939">
        <v>12</v>
      </c>
      <c r="AW939">
        <v>8</v>
      </c>
      <c r="AX939" t="s">
        <v>74</v>
      </c>
      <c r="AY939" t="s">
        <v>74</v>
      </c>
      <c r="AZ939" t="s">
        <v>74</v>
      </c>
      <c r="BA939" t="s">
        <v>74</v>
      </c>
      <c r="BB939" t="s">
        <v>74</v>
      </c>
      <c r="BC939" t="s">
        <v>74</v>
      </c>
      <c r="BD939">
        <v>1344</v>
      </c>
      <c r="BE939" t="s">
        <v>18193</v>
      </c>
      <c r="BF939" t="str">
        <f>HYPERLINK("http://dx.doi.org/10.3390/rs12081344","http://dx.doi.org/10.3390/rs12081344")</f>
        <v>http://dx.doi.org/10.3390/rs12081344</v>
      </c>
      <c r="BG939" t="s">
        <v>74</v>
      </c>
      <c r="BH939" t="s">
        <v>74</v>
      </c>
      <c r="BI939">
        <v>30</v>
      </c>
      <c r="BJ939" t="s">
        <v>4360</v>
      </c>
      <c r="BK939" t="s">
        <v>102</v>
      </c>
      <c r="BL939" t="s">
        <v>4361</v>
      </c>
      <c r="BM939" t="s">
        <v>18177</v>
      </c>
      <c r="BN939" t="s">
        <v>74</v>
      </c>
      <c r="BO939" t="s">
        <v>105</v>
      </c>
      <c r="BP939" t="s">
        <v>74</v>
      </c>
      <c r="BQ939" t="s">
        <v>74</v>
      </c>
      <c r="BR939" t="s">
        <v>106</v>
      </c>
      <c r="BS939" t="s">
        <v>18194</v>
      </c>
      <c r="BT939" t="str">
        <f>HYPERLINK("https%3A%2F%2Fwww.webofscience.com%2Fwos%2Fwoscc%2Ffull-record%2FWOS:000534628800117","View Full Record in Web of Science")</f>
        <v>View Full Record in Web of Science</v>
      </c>
    </row>
    <row r="940" spans="1:72" x14ac:dyDescent="0.15">
      <c r="A940" t="s">
        <v>72</v>
      </c>
      <c r="B940" t="s">
        <v>18195</v>
      </c>
      <c r="C940" t="s">
        <v>74</v>
      </c>
      <c r="D940" t="s">
        <v>74</v>
      </c>
      <c r="E940" t="s">
        <v>74</v>
      </c>
      <c r="F940" t="s">
        <v>18196</v>
      </c>
      <c r="G940" t="s">
        <v>74</v>
      </c>
      <c r="H940" t="s">
        <v>74</v>
      </c>
      <c r="I940" t="s">
        <v>18197</v>
      </c>
      <c r="J940" t="s">
        <v>18198</v>
      </c>
      <c r="K940" t="s">
        <v>74</v>
      </c>
      <c r="L940" t="s">
        <v>74</v>
      </c>
      <c r="M940" t="s">
        <v>78</v>
      </c>
      <c r="N940" t="s">
        <v>79</v>
      </c>
      <c r="O940" t="s">
        <v>74</v>
      </c>
      <c r="P940" t="s">
        <v>74</v>
      </c>
      <c r="Q940" t="s">
        <v>74</v>
      </c>
      <c r="R940" t="s">
        <v>74</v>
      </c>
      <c r="S940" t="s">
        <v>74</v>
      </c>
      <c r="T940" t="s">
        <v>18199</v>
      </c>
      <c r="U940" t="s">
        <v>18200</v>
      </c>
      <c r="V940" t="s">
        <v>18201</v>
      </c>
      <c r="W940" t="s">
        <v>18202</v>
      </c>
      <c r="X940" t="s">
        <v>18203</v>
      </c>
      <c r="Y940" t="s">
        <v>18204</v>
      </c>
      <c r="Z940" t="s">
        <v>18205</v>
      </c>
      <c r="AA940" t="s">
        <v>18206</v>
      </c>
      <c r="AB940" t="s">
        <v>18207</v>
      </c>
      <c r="AC940" t="s">
        <v>18208</v>
      </c>
      <c r="AD940" t="s">
        <v>18209</v>
      </c>
      <c r="AE940" t="s">
        <v>18210</v>
      </c>
      <c r="AF940" t="s">
        <v>74</v>
      </c>
      <c r="AG940">
        <v>120</v>
      </c>
      <c r="AH940">
        <v>18</v>
      </c>
      <c r="AI940">
        <v>18</v>
      </c>
      <c r="AJ940">
        <v>1</v>
      </c>
      <c r="AK940">
        <v>13</v>
      </c>
      <c r="AL940" t="s">
        <v>4283</v>
      </c>
      <c r="AM940" t="s">
        <v>4284</v>
      </c>
      <c r="AN940" t="s">
        <v>4285</v>
      </c>
      <c r="AO940" t="s">
        <v>74</v>
      </c>
      <c r="AP940" t="s">
        <v>18211</v>
      </c>
      <c r="AQ940" t="s">
        <v>74</v>
      </c>
      <c r="AR940" t="s">
        <v>18212</v>
      </c>
      <c r="AS940" t="s">
        <v>18213</v>
      </c>
      <c r="AT940" t="s">
        <v>5993</v>
      </c>
      <c r="AU940">
        <v>2020</v>
      </c>
      <c r="AV940">
        <v>21</v>
      </c>
      <c r="AW940">
        <v>7</v>
      </c>
      <c r="AX940" t="s">
        <v>74</v>
      </c>
      <c r="AY940" t="s">
        <v>74</v>
      </c>
      <c r="AZ940" t="s">
        <v>74</v>
      </c>
      <c r="BA940" t="s">
        <v>74</v>
      </c>
      <c r="BB940" t="s">
        <v>74</v>
      </c>
      <c r="BC940" t="s">
        <v>74</v>
      </c>
      <c r="BD940">
        <v>2417</v>
      </c>
      <c r="BE940" t="s">
        <v>18214</v>
      </c>
      <c r="BF940" t="str">
        <f>HYPERLINK("http://dx.doi.org/10.3390/ijms21072417","http://dx.doi.org/10.3390/ijms21072417")</f>
        <v>http://dx.doi.org/10.3390/ijms21072417</v>
      </c>
      <c r="BG940" t="s">
        <v>74</v>
      </c>
      <c r="BH940" t="s">
        <v>74</v>
      </c>
      <c r="BI940">
        <v>45</v>
      </c>
      <c r="BJ940" t="s">
        <v>8527</v>
      </c>
      <c r="BK940" t="s">
        <v>102</v>
      </c>
      <c r="BL940" t="s">
        <v>8528</v>
      </c>
      <c r="BM940" t="s">
        <v>18215</v>
      </c>
      <c r="BN940">
        <v>32244468</v>
      </c>
      <c r="BO940" t="s">
        <v>3956</v>
      </c>
      <c r="BP940" t="s">
        <v>74</v>
      </c>
      <c r="BQ940" t="s">
        <v>74</v>
      </c>
      <c r="BR940" t="s">
        <v>106</v>
      </c>
      <c r="BS940" t="s">
        <v>18216</v>
      </c>
      <c r="BT940" t="str">
        <f>HYPERLINK("https%3A%2F%2Fwww.webofscience.com%2Fwos%2Fwoscc%2Ffull-record%2FWOS:000535574200159","View Full Record in Web of Science")</f>
        <v>View Full Record in Web of Science</v>
      </c>
    </row>
    <row r="941" spans="1:72" x14ac:dyDescent="0.15">
      <c r="A941" t="s">
        <v>72</v>
      </c>
      <c r="B941" t="s">
        <v>18217</v>
      </c>
      <c r="C941" t="s">
        <v>74</v>
      </c>
      <c r="D941" t="s">
        <v>74</v>
      </c>
      <c r="E941" t="s">
        <v>74</v>
      </c>
      <c r="F941" t="s">
        <v>18218</v>
      </c>
      <c r="G941" t="s">
        <v>74</v>
      </c>
      <c r="H941" t="s">
        <v>74</v>
      </c>
      <c r="I941" t="s">
        <v>18219</v>
      </c>
      <c r="J941" t="s">
        <v>4320</v>
      </c>
      <c r="K941" t="s">
        <v>74</v>
      </c>
      <c r="L941" t="s">
        <v>74</v>
      </c>
      <c r="M941" t="s">
        <v>78</v>
      </c>
      <c r="N941" t="s">
        <v>79</v>
      </c>
      <c r="O941" t="s">
        <v>74</v>
      </c>
      <c r="P941" t="s">
        <v>74</v>
      </c>
      <c r="Q941" t="s">
        <v>74</v>
      </c>
      <c r="R941" t="s">
        <v>74</v>
      </c>
      <c r="S941" t="s">
        <v>74</v>
      </c>
      <c r="T941" t="s">
        <v>18220</v>
      </c>
      <c r="U941" t="s">
        <v>18221</v>
      </c>
      <c r="V941" t="s">
        <v>18222</v>
      </c>
      <c r="W941" t="s">
        <v>18223</v>
      </c>
      <c r="X941" t="s">
        <v>18224</v>
      </c>
      <c r="Y941" t="s">
        <v>18225</v>
      </c>
      <c r="Z941" t="s">
        <v>18226</v>
      </c>
      <c r="AA941" t="s">
        <v>18227</v>
      </c>
      <c r="AB941" t="s">
        <v>18228</v>
      </c>
      <c r="AC941" t="s">
        <v>18229</v>
      </c>
      <c r="AD941" t="s">
        <v>18230</v>
      </c>
      <c r="AE941" t="s">
        <v>18231</v>
      </c>
      <c r="AF941" t="s">
        <v>74</v>
      </c>
      <c r="AG941">
        <v>121</v>
      </c>
      <c r="AH941">
        <v>31</v>
      </c>
      <c r="AI941">
        <v>33</v>
      </c>
      <c r="AJ941">
        <v>2</v>
      </c>
      <c r="AK941">
        <v>14</v>
      </c>
      <c r="AL941" t="s">
        <v>4283</v>
      </c>
      <c r="AM941" t="s">
        <v>4284</v>
      </c>
      <c r="AN941" t="s">
        <v>4285</v>
      </c>
      <c r="AO941" t="s">
        <v>74</v>
      </c>
      <c r="AP941" t="s">
        <v>4333</v>
      </c>
      <c r="AQ941" t="s">
        <v>74</v>
      </c>
      <c r="AR941" t="s">
        <v>4334</v>
      </c>
      <c r="AS941" t="s">
        <v>4335</v>
      </c>
      <c r="AT941" t="s">
        <v>5993</v>
      </c>
      <c r="AU941">
        <v>2020</v>
      </c>
      <c r="AV941">
        <v>10</v>
      </c>
      <c r="AW941">
        <v>4</v>
      </c>
      <c r="AX941" t="s">
        <v>74</v>
      </c>
      <c r="AY941" t="s">
        <v>74</v>
      </c>
      <c r="AZ941" t="s">
        <v>74</v>
      </c>
      <c r="BA941" t="s">
        <v>74</v>
      </c>
      <c r="BB941" t="s">
        <v>74</v>
      </c>
      <c r="BC941" t="s">
        <v>74</v>
      </c>
      <c r="BD941">
        <v>349</v>
      </c>
      <c r="BE941" t="s">
        <v>18232</v>
      </c>
      <c r="BF941" t="str">
        <f>HYPERLINK("http://dx.doi.org/10.3390/min10040349","http://dx.doi.org/10.3390/min10040349")</f>
        <v>http://dx.doi.org/10.3390/min10040349</v>
      </c>
      <c r="BG941" t="s">
        <v>74</v>
      </c>
      <c r="BH941" t="s">
        <v>74</v>
      </c>
      <c r="BI941">
        <v>36</v>
      </c>
      <c r="BJ941" t="s">
        <v>4337</v>
      </c>
      <c r="BK941" t="s">
        <v>102</v>
      </c>
      <c r="BL941" t="s">
        <v>4337</v>
      </c>
      <c r="BM941" t="s">
        <v>18233</v>
      </c>
      <c r="BN941" t="s">
        <v>74</v>
      </c>
      <c r="BO941" t="s">
        <v>105</v>
      </c>
      <c r="BP941" t="s">
        <v>74</v>
      </c>
      <c r="BQ941" t="s">
        <v>74</v>
      </c>
      <c r="BR941" t="s">
        <v>106</v>
      </c>
      <c r="BS941" t="s">
        <v>18234</v>
      </c>
      <c r="BT941" t="str">
        <f>HYPERLINK("https%3A%2F%2Fwww.webofscience.com%2Fwos%2Fwoscc%2Ffull-record%2FWOS:000535581500057","View Full Record in Web of Science")</f>
        <v>View Full Record in Web of Science</v>
      </c>
    </row>
    <row r="942" spans="1:72" x14ac:dyDescent="0.15">
      <c r="A942" t="s">
        <v>72</v>
      </c>
      <c r="B942" t="s">
        <v>18235</v>
      </c>
      <c r="C942" t="s">
        <v>74</v>
      </c>
      <c r="D942" t="s">
        <v>74</v>
      </c>
      <c r="E942" t="s">
        <v>74</v>
      </c>
      <c r="F942" t="s">
        <v>18236</v>
      </c>
      <c r="G942" t="s">
        <v>74</v>
      </c>
      <c r="H942" t="s">
        <v>74</v>
      </c>
      <c r="I942" t="s">
        <v>18237</v>
      </c>
      <c r="J942" t="s">
        <v>10286</v>
      </c>
      <c r="K942" t="s">
        <v>74</v>
      </c>
      <c r="L942" t="s">
        <v>74</v>
      </c>
      <c r="M942" t="s">
        <v>78</v>
      </c>
      <c r="N942" t="s">
        <v>79</v>
      </c>
      <c r="O942" t="s">
        <v>74</v>
      </c>
      <c r="P942" t="s">
        <v>74</v>
      </c>
      <c r="Q942" t="s">
        <v>74</v>
      </c>
      <c r="R942" t="s">
        <v>74</v>
      </c>
      <c r="S942" t="s">
        <v>74</v>
      </c>
      <c r="T942" t="s">
        <v>18238</v>
      </c>
      <c r="U942" t="s">
        <v>18239</v>
      </c>
      <c r="V942" t="s">
        <v>18240</v>
      </c>
      <c r="W942" t="s">
        <v>18241</v>
      </c>
      <c r="X942" t="s">
        <v>18242</v>
      </c>
      <c r="Y942" t="s">
        <v>18243</v>
      </c>
      <c r="Z942" t="s">
        <v>18244</v>
      </c>
      <c r="AA942" t="s">
        <v>18245</v>
      </c>
      <c r="AB942" t="s">
        <v>18246</v>
      </c>
      <c r="AC942" t="s">
        <v>18247</v>
      </c>
      <c r="AD942" t="s">
        <v>18248</v>
      </c>
      <c r="AE942" t="s">
        <v>18249</v>
      </c>
      <c r="AF942" t="s">
        <v>74</v>
      </c>
      <c r="AG942">
        <v>68</v>
      </c>
      <c r="AH942">
        <v>9</v>
      </c>
      <c r="AI942">
        <v>9</v>
      </c>
      <c r="AJ942">
        <v>6</v>
      </c>
      <c r="AK942">
        <v>24</v>
      </c>
      <c r="AL942" t="s">
        <v>4283</v>
      </c>
      <c r="AM942" t="s">
        <v>4284</v>
      </c>
      <c r="AN942" t="s">
        <v>4285</v>
      </c>
      <c r="AO942" t="s">
        <v>74</v>
      </c>
      <c r="AP942" t="s">
        <v>10299</v>
      </c>
      <c r="AQ942" t="s">
        <v>74</v>
      </c>
      <c r="AR942" t="s">
        <v>10300</v>
      </c>
      <c r="AS942" t="s">
        <v>10301</v>
      </c>
      <c r="AT942" t="s">
        <v>5993</v>
      </c>
      <c r="AU942">
        <v>2020</v>
      </c>
      <c r="AV942">
        <v>18</v>
      </c>
      <c r="AW942">
        <v>4</v>
      </c>
      <c r="AX942" t="s">
        <v>74</v>
      </c>
      <c r="AY942" t="s">
        <v>74</v>
      </c>
      <c r="AZ942" t="s">
        <v>74</v>
      </c>
      <c r="BA942" t="s">
        <v>74</v>
      </c>
      <c r="BB942" t="s">
        <v>74</v>
      </c>
      <c r="BC942" t="s">
        <v>74</v>
      </c>
      <c r="BD942">
        <v>185</v>
      </c>
      <c r="BE942" t="s">
        <v>18250</v>
      </c>
      <c r="BF942" t="str">
        <f>HYPERLINK("http://dx.doi.org/10.3390/md18040185","http://dx.doi.org/10.3390/md18040185")</f>
        <v>http://dx.doi.org/10.3390/md18040185</v>
      </c>
      <c r="BG942" t="s">
        <v>74</v>
      </c>
      <c r="BH942" t="s">
        <v>74</v>
      </c>
      <c r="BI942">
        <v>17</v>
      </c>
      <c r="BJ942" t="s">
        <v>10303</v>
      </c>
      <c r="BK942" t="s">
        <v>102</v>
      </c>
      <c r="BL942" t="s">
        <v>1032</v>
      </c>
      <c r="BM942" t="s">
        <v>18251</v>
      </c>
      <c r="BN942">
        <v>32244466</v>
      </c>
      <c r="BO942" t="s">
        <v>1778</v>
      </c>
      <c r="BP942" t="s">
        <v>74</v>
      </c>
      <c r="BQ942" t="s">
        <v>74</v>
      </c>
      <c r="BR942" t="s">
        <v>106</v>
      </c>
      <c r="BS942" t="s">
        <v>18252</v>
      </c>
      <c r="BT942" t="str">
        <f>HYPERLINK("https%3A%2F%2Fwww.webofscience.com%2Fwos%2Fwoscc%2Ffull-record%2FWOS:000533909300014","View Full Record in Web of Science")</f>
        <v>View Full Record in Web of Science</v>
      </c>
    </row>
    <row r="943" spans="1:72" x14ac:dyDescent="0.15">
      <c r="A943" t="s">
        <v>72</v>
      </c>
      <c r="B943" t="s">
        <v>18253</v>
      </c>
      <c r="C943" t="s">
        <v>74</v>
      </c>
      <c r="D943" t="s">
        <v>74</v>
      </c>
      <c r="E943" t="s">
        <v>74</v>
      </c>
      <c r="F943" t="s">
        <v>18254</v>
      </c>
      <c r="G943" t="s">
        <v>74</v>
      </c>
      <c r="H943" t="s">
        <v>74</v>
      </c>
      <c r="I943" t="s">
        <v>18255</v>
      </c>
      <c r="J943" t="s">
        <v>4580</v>
      </c>
      <c r="K943" t="s">
        <v>74</v>
      </c>
      <c r="L943" t="s">
        <v>74</v>
      </c>
      <c r="M943" t="s">
        <v>78</v>
      </c>
      <c r="N943" t="s">
        <v>79</v>
      </c>
      <c r="O943" t="s">
        <v>74</v>
      </c>
      <c r="P943" t="s">
        <v>74</v>
      </c>
      <c r="Q943" t="s">
        <v>74</v>
      </c>
      <c r="R943" t="s">
        <v>74</v>
      </c>
      <c r="S943" t="s">
        <v>74</v>
      </c>
      <c r="T943" t="s">
        <v>18256</v>
      </c>
      <c r="U943" t="s">
        <v>18257</v>
      </c>
      <c r="V943" t="s">
        <v>18258</v>
      </c>
      <c r="W943" t="s">
        <v>18259</v>
      </c>
      <c r="X943" t="s">
        <v>8371</v>
      </c>
      <c r="Y943" t="s">
        <v>18260</v>
      </c>
      <c r="Z943" t="s">
        <v>18261</v>
      </c>
      <c r="AA943" t="s">
        <v>74</v>
      </c>
      <c r="AB943" t="s">
        <v>18262</v>
      </c>
      <c r="AC943" t="s">
        <v>18263</v>
      </c>
      <c r="AD943" t="s">
        <v>18264</v>
      </c>
      <c r="AE943" t="s">
        <v>18265</v>
      </c>
      <c r="AF943" t="s">
        <v>74</v>
      </c>
      <c r="AG943">
        <v>44</v>
      </c>
      <c r="AH943">
        <v>13</v>
      </c>
      <c r="AI943">
        <v>14</v>
      </c>
      <c r="AJ943">
        <v>5</v>
      </c>
      <c r="AK943">
        <v>25</v>
      </c>
      <c r="AL943" t="s">
        <v>4283</v>
      </c>
      <c r="AM943" t="s">
        <v>4284</v>
      </c>
      <c r="AN943" t="s">
        <v>4285</v>
      </c>
      <c r="AO943" t="s">
        <v>74</v>
      </c>
      <c r="AP943" t="s">
        <v>4593</v>
      </c>
      <c r="AQ943" t="s">
        <v>74</v>
      </c>
      <c r="AR943" t="s">
        <v>4594</v>
      </c>
      <c r="AS943" t="s">
        <v>4595</v>
      </c>
      <c r="AT943" t="s">
        <v>5993</v>
      </c>
      <c r="AU943">
        <v>2020</v>
      </c>
      <c r="AV943">
        <v>20</v>
      </c>
      <c r="AW943">
        <v>8</v>
      </c>
      <c r="AX943" t="s">
        <v>74</v>
      </c>
      <c r="AY943" t="s">
        <v>74</v>
      </c>
      <c r="AZ943" t="s">
        <v>74</v>
      </c>
      <c r="BA943" t="s">
        <v>74</v>
      </c>
      <c r="BB943" t="s">
        <v>74</v>
      </c>
      <c r="BC943" t="s">
        <v>74</v>
      </c>
      <c r="BD943">
        <v>2343</v>
      </c>
      <c r="BE943" t="s">
        <v>18266</v>
      </c>
      <c r="BF943" t="str">
        <f>HYPERLINK("http://dx.doi.org/10.3390/s20082343","http://dx.doi.org/10.3390/s20082343")</f>
        <v>http://dx.doi.org/10.3390/s20082343</v>
      </c>
      <c r="BG943" t="s">
        <v>74</v>
      </c>
      <c r="BH943" t="s">
        <v>74</v>
      </c>
      <c r="BI943">
        <v>20</v>
      </c>
      <c r="BJ943" t="s">
        <v>4597</v>
      </c>
      <c r="BK943" t="s">
        <v>102</v>
      </c>
      <c r="BL943" t="s">
        <v>4598</v>
      </c>
      <c r="BM943" t="s">
        <v>18267</v>
      </c>
      <c r="BN943">
        <v>32326101</v>
      </c>
      <c r="BO943" t="s">
        <v>161</v>
      </c>
      <c r="BP943" t="s">
        <v>74</v>
      </c>
      <c r="BQ943" t="s">
        <v>74</v>
      </c>
      <c r="BR943" t="s">
        <v>106</v>
      </c>
      <c r="BS943" t="s">
        <v>18268</v>
      </c>
      <c r="BT943" t="str">
        <f>HYPERLINK("https%3A%2F%2Fwww.webofscience.com%2Fwos%2Fwoscc%2Ffull-record%2FWOS:000533346400185","View Full Record in Web of Science")</f>
        <v>View Full Record in Web of Science</v>
      </c>
    </row>
    <row r="944" spans="1:72" x14ac:dyDescent="0.15">
      <c r="A944" t="s">
        <v>72</v>
      </c>
      <c r="B944" t="s">
        <v>18269</v>
      </c>
      <c r="C944" t="s">
        <v>74</v>
      </c>
      <c r="D944" t="s">
        <v>74</v>
      </c>
      <c r="E944" t="s">
        <v>74</v>
      </c>
      <c r="F944" t="s">
        <v>18270</v>
      </c>
      <c r="G944" t="s">
        <v>74</v>
      </c>
      <c r="H944" t="s">
        <v>74</v>
      </c>
      <c r="I944" t="s">
        <v>18271</v>
      </c>
      <c r="J944" t="s">
        <v>4272</v>
      </c>
      <c r="K944" t="s">
        <v>74</v>
      </c>
      <c r="L944" t="s">
        <v>74</v>
      </c>
      <c r="M944" t="s">
        <v>78</v>
      </c>
      <c r="N944" t="s">
        <v>79</v>
      </c>
      <c r="O944" t="s">
        <v>74</v>
      </c>
      <c r="P944" t="s">
        <v>74</v>
      </c>
      <c r="Q944" t="s">
        <v>74</v>
      </c>
      <c r="R944" t="s">
        <v>74</v>
      </c>
      <c r="S944" t="s">
        <v>74</v>
      </c>
      <c r="T944" t="s">
        <v>18272</v>
      </c>
      <c r="U944" t="s">
        <v>18273</v>
      </c>
      <c r="V944" t="s">
        <v>18274</v>
      </c>
      <c r="W944" t="s">
        <v>18275</v>
      </c>
      <c r="X944" t="s">
        <v>18276</v>
      </c>
      <c r="Y944" t="s">
        <v>18277</v>
      </c>
      <c r="Z944" t="s">
        <v>18278</v>
      </c>
      <c r="AA944" t="s">
        <v>18279</v>
      </c>
      <c r="AB944" t="s">
        <v>18280</v>
      </c>
      <c r="AC944" t="s">
        <v>18281</v>
      </c>
      <c r="AD944" t="s">
        <v>18282</v>
      </c>
      <c r="AE944" t="s">
        <v>18283</v>
      </c>
      <c r="AF944" t="s">
        <v>74</v>
      </c>
      <c r="AG944">
        <v>48</v>
      </c>
      <c r="AH944">
        <v>2</v>
      </c>
      <c r="AI944">
        <v>2</v>
      </c>
      <c r="AJ944">
        <v>0</v>
      </c>
      <c r="AK944">
        <v>19</v>
      </c>
      <c r="AL944" t="s">
        <v>4283</v>
      </c>
      <c r="AM944" t="s">
        <v>4284</v>
      </c>
      <c r="AN944" t="s">
        <v>4285</v>
      </c>
      <c r="AO944" t="s">
        <v>74</v>
      </c>
      <c r="AP944" t="s">
        <v>4286</v>
      </c>
      <c r="AQ944" t="s">
        <v>74</v>
      </c>
      <c r="AR944" t="s">
        <v>4287</v>
      </c>
      <c r="AS944" t="s">
        <v>4288</v>
      </c>
      <c r="AT944" t="s">
        <v>5993</v>
      </c>
      <c r="AU944">
        <v>2020</v>
      </c>
      <c r="AV944">
        <v>8</v>
      </c>
      <c r="AW944">
        <v>4</v>
      </c>
      <c r="AX944" t="s">
        <v>74</v>
      </c>
      <c r="AY944" t="s">
        <v>74</v>
      </c>
      <c r="AZ944" t="s">
        <v>74</v>
      </c>
      <c r="BA944" t="s">
        <v>74</v>
      </c>
      <c r="BB944" t="s">
        <v>74</v>
      </c>
      <c r="BC944" t="s">
        <v>74</v>
      </c>
      <c r="BD944">
        <v>268</v>
      </c>
      <c r="BE944" t="s">
        <v>18284</v>
      </c>
      <c r="BF944" t="str">
        <f>HYPERLINK("http://dx.doi.org/10.3390/jmse8040268","http://dx.doi.org/10.3390/jmse8040268")</f>
        <v>http://dx.doi.org/10.3390/jmse8040268</v>
      </c>
      <c r="BG944" t="s">
        <v>74</v>
      </c>
      <c r="BH944" t="s">
        <v>74</v>
      </c>
      <c r="BI944">
        <v>22</v>
      </c>
      <c r="BJ944" t="s">
        <v>4290</v>
      </c>
      <c r="BK944" t="s">
        <v>102</v>
      </c>
      <c r="BL944" t="s">
        <v>4291</v>
      </c>
      <c r="BM944" t="s">
        <v>18285</v>
      </c>
      <c r="BN944" t="s">
        <v>74</v>
      </c>
      <c r="BO944" t="s">
        <v>105</v>
      </c>
      <c r="BP944" t="s">
        <v>74</v>
      </c>
      <c r="BQ944" t="s">
        <v>74</v>
      </c>
      <c r="BR944" t="s">
        <v>106</v>
      </c>
      <c r="BS944" t="s">
        <v>18286</v>
      </c>
      <c r="BT944" t="str">
        <f>HYPERLINK("https%3A%2F%2Fwww.webofscience.com%2Fwos%2Fwoscc%2Ffull-record%2FWOS:000533277500043","View Full Record in Web of Science")</f>
        <v>View Full Record in Web of Science</v>
      </c>
    </row>
    <row r="945" spans="1:72" x14ac:dyDescent="0.15">
      <c r="A945" t="s">
        <v>72</v>
      </c>
      <c r="B945" t="s">
        <v>18287</v>
      </c>
      <c r="C945" t="s">
        <v>74</v>
      </c>
      <c r="D945" t="s">
        <v>74</v>
      </c>
      <c r="E945" t="s">
        <v>74</v>
      </c>
      <c r="F945" t="s">
        <v>18288</v>
      </c>
      <c r="G945" t="s">
        <v>74</v>
      </c>
      <c r="H945" t="s">
        <v>74</v>
      </c>
      <c r="I945" t="s">
        <v>18289</v>
      </c>
      <c r="J945" t="s">
        <v>8914</v>
      </c>
      <c r="K945" t="s">
        <v>74</v>
      </c>
      <c r="L945" t="s">
        <v>74</v>
      </c>
      <c r="M945" t="s">
        <v>78</v>
      </c>
      <c r="N945" t="s">
        <v>79</v>
      </c>
      <c r="O945" t="s">
        <v>74</v>
      </c>
      <c r="P945" t="s">
        <v>74</v>
      </c>
      <c r="Q945" t="s">
        <v>74</v>
      </c>
      <c r="R945" t="s">
        <v>74</v>
      </c>
      <c r="S945" t="s">
        <v>74</v>
      </c>
      <c r="T945" t="s">
        <v>18290</v>
      </c>
      <c r="U945" t="s">
        <v>18291</v>
      </c>
      <c r="V945" t="s">
        <v>18292</v>
      </c>
      <c r="W945" t="s">
        <v>18293</v>
      </c>
      <c r="X945" t="s">
        <v>18294</v>
      </c>
      <c r="Y945" t="s">
        <v>18295</v>
      </c>
      <c r="Z945" t="s">
        <v>18296</v>
      </c>
      <c r="AA945" t="s">
        <v>74</v>
      </c>
      <c r="AB945" t="s">
        <v>18297</v>
      </c>
      <c r="AC945" t="s">
        <v>18298</v>
      </c>
      <c r="AD945" t="s">
        <v>18299</v>
      </c>
      <c r="AE945" t="s">
        <v>18300</v>
      </c>
      <c r="AF945" t="s">
        <v>74</v>
      </c>
      <c r="AG945">
        <v>65</v>
      </c>
      <c r="AH945">
        <v>7</v>
      </c>
      <c r="AI945">
        <v>7</v>
      </c>
      <c r="AJ945">
        <v>3</v>
      </c>
      <c r="AK945">
        <v>16</v>
      </c>
      <c r="AL945" t="s">
        <v>4283</v>
      </c>
      <c r="AM945" t="s">
        <v>4284</v>
      </c>
      <c r="AN945" t="s">
        <v>4285</v>
      </c>
      <c r="AO945" t="s">
        <v>74</v>
      </c>
      <c r="AP945" t="s">
        <v>8927</v>
      </c>
      <c r="AQ945" t="s">
        <v>74</v>
      </c>
      <c r="AR945" t="s">
        <v>8914</v>
      </c>
      <c r="AS945" t="s">
        <v>8928</v>
      </c>
      <c r="AT945" t="s">
        <v>5993</v>
      </c>
      <c r="AU945">
        <v>2020</v>
      </c>
      <c r="AV945">
        <v>8</v>
      </c>
      <c r="AW945">
        <v>4</v>
      </c>
      <c r="AX945" t="s">
        <v>74</v>
      </c>
      <c r="AY945" t="s">
        <v>74</v>
      </c>
      <c r="AZ945" t="s">
        <v>74</v>
      </c>
      <c r="BA945" t="s">
        <v>74</v>
      </c>
      <c r="BB945" t="s">
        <v>74</v>
      </c>
      <c r="BC945" t="s">
        <v>74</v>
      </c>
      <c r="BD945">
        <v>497</v>
      </c>
      <c r="BE945" t="s">
        <v>18301</v>
      </c>
      <c r="BF945" t="str">
        <f>HYPERLINK("http://dx.doi.org/10.3390/microorganisms8040497","http://dx.doi.org/10.3390/microorganisms8040497")</f>
        <v>http://dx.doi.org/10.3390/microorganisms8040497</v>
      </c>
      <c r="BG945" t="s">
        <v>74</v>
      </c>
      <c r="BH945" t="s">
        <v>74</v>
      </c>
      <c r="BI945">
        <v>16</v>
      </c>
      <c r="BJ945" t="s">
        <v>2045</v>
      </c>
      <c r="BK945" t="s">
        <v>102</v>
      </c>
      <c r="BL945" t="s">
        <v>2045</v>
      </c>
      <c r="BM945" t="s">
        <v>18302</v>
      </c>
      <c r="BN945">
        <v>32244517</v>
      </c>
      <c r="BO945" t="s">
        <v>1778</v>
      </c>
      <c r="BP945" t="s">
        <v>74</v>
      </c>
      <c r="BQ945" t="s">
        <v>74</v>
      </c>
      <c r="BR945" t="s">
        <v>106</v>
      </c>
      <c r="BS945" t="s">
        <v>18303</v>
      </c>
      <c r="BT945" t="str">
        <f>HYPERLINK("https%3A%2F%2Fwww.webofscience.com%2Fwos%2Fwoscc%2Ffull-record%2FWOS:000533510400063","View Full Record in Web of Science")</f>
        <v>View Full Record in Web of Science</v>
      </c>
    </row>
    <row r="946" spans="1:72" x14ac:dyDescent="0.15">
      <c r="A946" t="s">
        <v>72</v>
      </c>
      <c r="B946" t="s">
        <v>18304</v>
      </c>
      <c r="C946" t="s">
        <v>74</v>
      </c>
      <c r="D946" t="s">
        <v>74</v>
      </c>
      <c r="E946" t="s">
        <v>74</v>
      </c>
      <c r="F946" t="s">
        <v>18305</v>
      </c>
      <c r="G946" t="s">
        <v>74</v>
      </c>
      <c r="H946" t="s">
        <v>74</v>
      </c>
      <c r="I946" t="s">
        <v>18306</v>
      </c>
      <c r="J946" t="s">
        <v>18307</v>
      </c>
      <c r="K946" t="s">
        <v>74</v>
      </c>
      <c r="L946" t="s">
        <v>74</v>
      </c>
      <c r="M946" t="s">
        <v>18308</v>
      </c>
      <c r="N946" t="s">
        <v>79</v>
      </c>
      <c r="O946" t="s">
        <v>74</v>
      </c>
      <c r="P946" t="s">
        <v>74</v>
      </c>
      <c r="Q946" t="s">
        <v>74</v>
      </c>
      <c r="R946" t="s">
        <v>74</v>
      </c>
      <c r="S946" t="s">
        <v>74</v>
      </c>
      <c r="T946" t="s">
        <v>18309</v>
      </c>
      <c r="U946" t="s">
        <v>18310</v>
      </c>
      <c r="V946" t="s">
        <v>18311</v>
      </c>
      <c r="W946" t="s">
        <v>18312</v>
      </c>
      <c r="X946" t="s">
        <v>18313</v>
      </c>
      <c r="Y946" t="s">
        <v>18314</v>
      </c>
      <c r="Z946" t="s">
        <v>18315</v>
      </c>
      <c r="AA946" t="s">
        <v>74</v>
      </c>
      <c r="AB946" t="s">
        <v>74</v>
      </c>
      <c r="AC946" t="s">
        <v>18316</v>
      </c>
      <c r="AD946" t="s">
        <v>18316</v>
      </c>
      <c r="AE946" t="s">
        <v>18317</v>
      </c>
      <c r="AF946" t="s">
        <v>74</v>
      </c>
      <c r="AG946">
        <v>31</v>
      </c>
      <c r="AH946">
        <v>0</v>
      </c>
      <c r="AI946">
        <v>0</v>
      </c>
      <c r="AJ946">
        <v>0</v>
      </c>
      <c r="AK946">
        <v>6</v>
      </c>
      <c r="AL946" t="s">
        <v>18318</v>
      </c>
      <c r="AM946" t="s">
        <v>2187</v>
      </c>
      <c r="AN946" t="s">
        <v>18319</v>
      </c>
      <c r="AO946" t="s">
        <v>18320</v>
      </c>
      <c r="AP946" t="s">
        <v>18321</v>
      </c>
      <c r="AQ946" t="s">
        <v>74</v>
      </c>
      <c r="AR946" t="s">
        <v>18322</v>
      </c>
      <c r="AS946" t="s">
        <v>18323</v>
      </c>
      <c r="AT946" t="s">
        <v>5993</v>
      </c>
      <c r="AU946">
        <v>2020</v>
      </c>
      <c r="AV946">
        <v>53</v>
      </c>
      <c r="AW946">
        <v>2</v>
      </c>
      <c r="AX946" t="s">
        <v>74</v>
      </c>
      <c r="AY946" t="s">
        <v>74</v>
      </c>
      <c r="AZ946" t="s">
        <v>74</v>
      </c>
      <c r="BA946" t="s">
        <v>74</v>
      </c>
      <c r="BB946">
        <v>147</v>
      </c>
      <c r="BC946">
        <v>157</v>
      </c>
      <c r="BD946" t="s">
        <v>74</v>
      </c>
      <c r="BE946" t="s">
        <v>18324</v>
      </c>
      <c r="BF946" t="str">
        <f>HYPERLINK("http://dx.doi.org/10.9719/EEG.2020.53.2.147","http://dx.doi.org/10.9719/EEG.2020.53.2.147")</f>
        <v>http://dx.doi.org/10.9719/EEG.2020.53.2.147</v>
      </c>
      <c r="BG946" t="s">
        <v>74</v>
      </c>
      <c r="BH946" t="s">
        <v>74</v>
      </c>
      <c r="BI946">
        <v>11</v>
      </c>
      <c r="BJ946" t="s">
        <v>472</v>
      </c>
      <c r="BK946" t="s">
        <v>3838</v>
      </c>
      <c r="BL946" t="s">
        <v>472</v>
      </c>
      <c r="BM946" t="s">
        <v>18325</v>
      </c>
      <c r="BN946" t="s">
        <v>74</v>
      </c>
      <c r="BO946" t="s">
        <v>74</v>
      </c>
      <c r="BP946" t="s">
        <v>74</v>
      </c>
      <c r="BQ946" t="s">
        <v>74</v>
      </c>
      <c r="BR946" t="s">
        <v>106</v>
      </c>
      <c r="BS946" t="s">
        <v>18326</v>
      </c>
      <c r="BT946" t="str">
        <f>HYPERLINK("https%3A%2F%2Fwww.webofscience.com%2Fwos%2Fwoscc%2Ffull-record%2FWOS:000532770200003","View Full Record in Web of Science")</f>
        <v>View Full Record in Web of Science</v>
      </c>
    </row>
    <row r="947" spans="1:72" x14ac:dyDescent="0.15">
      <c r="A947" t="s">
        <v>72</v>
      </c>
      <c r="B947" t="s">
        <v>18327</v>
      </c>
      <c r="C947" t="s">
        <v>74</v>
      </c>
      <c r="D947" t="s">
        <v>74</v>
      </c>
      <c r="E947" t="s">
        <v>74</v>
      </c>
      <c r="F947" t="s">
        <v>18328</v>
      </c>
      <c r="G947" t="s">
        <v>74</v>
      </c>
      <c r="H947" t="s">
        <v>74</v>
      </c>
      <c r="I947" t="s">
        <v>18329</v>
      </c>
      <c r="J947" t="s">
        <v>18330</v>
      </c>
      <c r="K947" t="s">
        <v>74</v>
      </c>
      <c r="L947" t="s">
        <v>74</v>
      </c>
      <c r="M947" t="s">
        <v>78</v>
      </c>
      <c r="N947" t="s">
        <v>79</v>
      </c>
      <c r="O947" t="s">
        <v>74</v>
      </c>
      <c r="P947" t="s">
        <v>74</v>
      </c>
      <c r="Q947" t="s">
        <v>74</v>
      </c>
      <c r="R947" t="s">
        <v>74</v>
      </c>
      <c r="S947" t="s">
        <v>74</v>
      </c>
      <c r="T947" t="s">
        <v>18331</v>
      </c>
      <c r="U947" t="s">
        <v>18332</v>
      </c>
      <c r="V947" t="s">
        <v>18333</v>
      </c>
      <c r="W947" t="s">
        <v>18334</v>
      </c>
      <c r="X947" t="s">
        <v>18335</v>
      </c>
      <c r="Y947" t="s">
        <v>18336</v>
      </c>
      <c r="Z947" t="s">
        <v>18337</v>
      </c>
      <c r="AA947" t="s">
        <v>18338</v>
      </c>
      <c r="AB947" t="s">
        <v>18339</v>
      </c>
      <c r="AC947" t="s">
        <v>74</v>
      </c>
      <c r="AD947" t="s">
        <v>74</v>
      </c>
      <c r="AE947" t="s">
        <v>74</v>
      </c>
      <c r="AF947" t="s">
        <v>74</v>
      </c>
      <c r="AG947">
        <v>79</v>
      </c>
      <c r="AH947">
        <v>16</v>
      </c>
      <c r="AI947">
        <v>16</v>
      </c>
      <c r="AJ947">
        <v>1</v>
      </c>
      <c r="AK947">
        <v>8</v>
      </c>
      <c r="AL947" t="s">
        <v>6507</v>
      </c>
      <c r="AM947" t="s">
        <v>945</v>
      </c>
      <c r="AN947" t="s">
        <v>6508</v>
      </c>
      <c r="AO947" t="s">
        <v>18340</v>
      </c>
      <c r="AP947" t="s">
        <v>18341</v>
      </c>
      <c r="AQ947" t="s">
        <v>74</v>
      </c>
      <c r="AR947" t="s">
        <v>18330</v>
      </c>
      <c r="AS947" t="s">
        <v>18342</v>
      </c>
      <c r="AT947" t="s">
        <v>5993</v>
      </c>
      <c r="AU947">
        <v>2020</v>
      </c>
      <c r="AV947">
        <v>30</v>
      </c>
      <c r="AW947">
        <v>4</v>
      </c>
      <c r="AX947" t="s">
        <v>74</v>
      </c>
      <c r="AY947" t="s">
        <v>74</v>
      </c>
      <c r="AZ947" t="s">
        <v>2622</v>
      </c>
      <c r="BA947" t="s">
        <v>74</v>
      </c>
      <c r="BB947">
        <v>575</v>
      </c>
      <c r="BC947">
        <v>588</v>
      </c>
      <c r="BD947" t="s">
        <v>74</v>
      </c>
      <c r="BE947" t="s">
        <v>18343</v>
      </c>
      <c r="BF947" t="str">
        <f>HYPERLINK("http://dx.doi.org/10.1177/0959683619875198","http://dx.doi.org/10.1177/0959683619875198")</f>
        <v>http://dx.doi.org/10.1177/0959683619875198</v>
      </c>
      <c r="BG947" t="s">
        <v>74</v>
      </c>
      <c r="BH947" t="s">
        <v>74</v>
      </c>
      <c r="BI947">
        <v>14</v>
      </c>
      <c r="BJ947" t="s">
        <v>694</v>
      </c>
      <c r="BK947" t="s">
        <v>102</v>
      </c>
      <c r="BL947" t="s">
        <v>695</v>
      </c>
      <c r="BM947" t="s">
        <v>18344</v>
      </c>
      <c r="BN947" t="s">
        <v>74</v>
      </c>
      <c r="BO947" t="s">
        <v>74</v>
      </c>
      <c r="BP947" t="s">
        <v>74</v>
      </c>
      <c r="BQ947" t="s">
        <v>74</v>
      </c>
      <c r="BR947" t="s">
        <v>106</v>
      </c>
      <c r="BS947" t="s">
        <v>18345</v>
      </c>
      <c r="BT947" t="str">
        <f>HYPERLINK("https%3A%2F%2Fwww.webofscience.com%2Fwos%2Fwoscc%2Ffull-record%2FWOS:000532417500008","View Full Record in Web of Science")</f>
        <v>View Full Record in Web of Science</v>
      </c>
    </row>
    <row r="948" spans="1:72" x14ac:dyDescent="0.15">
      <c r="A948" t="s">
        <v>72</v>
      </c>
      <c r="B948" t="s">
        <v>18346</v>
      </c>
      <c r="C948" t="s">
        <v>74</v>
      </c>
      <c r="D948" t="s">
        <v>74</v>
      </c>
      <c r="E948" t="s">
        <v>74</v>
      </c>
      <c r="F948" t="s">
        <v>18347</v>
      </c>
      <c r="G948" t="s">
        <v>74</v>
      </c>
      <c r="H948" t="s">
        <v>74</v>
      </c>
      <c r="I948" t="s">
        <v>18348</v>
      </c>
      <c r="J948" t="s">
        <v>565</v>
      </c>
      <c r="K948" t="s">
        <v>74</v>
      </c>
      <c r="L948" t="s">
        <v>74</v>
      </c>
      <c r="M948" t="s">
        <v>78</v>
      </c>
      <c r="N948" t="s">
        <v>79</v>
      </c>
      <c r="O948" t="s">
        <v>74</v>
      </c>
      <c r="P948" t="s">
        <v>74</v>
      </c>
      <c r="Q948" t="s">
        <v>74</v>
      </c>
      <c r="R948" t="s">
        <v>74</v>
      </c>
      <c r="S948" t="s">
        <v>74</v>
      </c>
      <c r="T948" t="s">
        <v>18349</v>
      </c>
      <c r="U948" t="s">
        <v>18350</v>
      </c>
      <c r="V948" t="s">
        <v>18351</v>
      </c>
      <c r="W948" t="s">
        <v>18352</v>
      </c>
      <c r="X948" t="s">
        <v>18353</v>
      </c>
      <c r="Y948" t="s">
        <v>18354</v>
      </c>
      <c r="Z948" t="s">
        <v>18355</v>
      </c>
      <c r="AA948" t="s">
        <v>18356</v>
      </c>
      <c r="AB948" t="s">
        <v>18357</v>
      </c>
      <c r="AC948" t="s">
        <v>18358</v>
      </c>
      <c r="AD948" t="s">
        <v>18359</v>
      </c>
      <c r="AE948" t="s">
        <v>18360</v>
      </c>
      <c r="AF948" t="s">
        <v>74</v>
      </c>
      <c r="AG948">
        <v>47</v>
      </c>
      <c r="AH948">
        <v>6</v>
      </c>
      <c r="AI948">
        <v>6</v>
      </c>
      <c r="AJ948">
        <v>0</v>
      </c>
      <c r="AK948">
        <v>19</v>
      </c>
      <c r="AL948" t="s">
        <v>578</v>
      </c>
      <c r="AM948" t="s">
        <v>93</v>
      </c>
      <c r="AN948" t="s">
        <v>579</v>
      </c>
      <c r="AO948" t="s">
        <v>580</v>
      </c>
      <c r="AP948" t="s">
        <v>581</v>
      </c>
      <c r="AQ948" t="s">
        <v>74</v>
      </c>
      <c r="AR948" t="s">
        <v>582</v>
      </c>
      <c r="AS948" t="s">
        <v>583</v>
      </c>
      <c r="AT948" t="s">
        <v>5993</v>
      </c>
      <c r="AU948">
        <v>2020</v>
      </c>
      <c r="AV948">
        <v>259</v>
      </c>
      <c r="AW948" t="s">
        <v>74</v>
      </c>
      <c r="AX948" t="s">
        <v>74</v>
      </c>
      <c r="AY948" t="s">
        <v>74</v>
      </c>
      <c r="AZ948" t="s">
        <v>74</v>
      </c>
      <c r="BA948" t="s">
        <v>74</v>
      </c>
      <c r="BB948" t="s">
        <v>74</v>
      </c>
      <c r="BC948" t="s">
        <v>74</v>
      </c>
      <c r="BD948">
        <v>113780</v>
      </c>
      <c r="BE948" t="s">
        <v>18361</v>
      </c>
      <c r="BF948" t="str">
        <f>HYPERLINK("http://dx.doi.org/10.1016/j.envpol.2019.113780","http://dx.doi.org/10.1016/j.envpol.2019.113780")</f>
        <v>http://dx.doi.org/10.1016/j.envpol.2019.113780</v>
      </c>
      <c r="BG948" t="s">
        <v>74</v>
      </c>
      <c r="BH948" t="s">
        <v>74</v>
      </c>
      <c r="BI948">
        <v>11</v>
      </c>
      <c r="BJ948" t="s">
        <v>101</v>
      </c>
      <c r="BK948" t="s">
        <v>102</v>
      </c>
      <c r="BL948" t="s">
        <v>103</v>
      </c>
      <c r="BM948" t="s">
        <v>18362</v>
      </c>
      <c r="BN948">
        <v>31887587</v>
      </c>
      <c r="BO948" t="s">
        <v>74</v>
      </c>
      <c r="BP948" t="s">
        <v>74</v>
      </c>
      <c r="BQ948" t="s">
        <v>74</v>
      </c>
      <c r="BR948" t="s">
        <v>106</v>
      </c>
      <c r="BS948" t="s">
        <v>18363</v>
      </c>
      <c r="BT948" t="str">
        <f>HYPERLINK("https%3A%2F%2Fwww.webofscience.com%2Fwos%2Fwoscc%2Ffull-record%2FWOS:000528534600042","View Full Record in Web of Science")</f>
        <v>View Full Record in Web of Science</v>
      </c>
    </row>
    <row r="949" spans="1:72" x14ac:dyDescent="0.15">
      <c r="A949" t="s">
        <v>72</v>
      </c>
      <c r="B949" t="s">
        <v>18364</v>
      </c>
      <c r="C949" t="s">
        <v>74</v>
      </c>
      <c r="D949" t="s">
        <v>74</v>
      </c>
      <c r="E949" t="s">
        <v>74</v>
      </c>
      <c r="F949" t="s">
        <v>18365</v>
      </c>
      <c r="G949" t="s">
        <v>74</v>
      </c>
      <c r="H949" t="s">
        <v>74</v>
      </c>
      <c r="I949" t="s">
        <v>18366</v>
      </c>
      <c r="J949" t="s">
        <v>18367</v>
      </c>
      <c r="K949" t="s">
        <v>74</v>
      </c>
      <c r="L949" t="s">
        <v>74</v>
      </c>
      <c r="M949" t="s">
        <v>78</v>
      </c>
      <c r="N949" t="s">
        <v>79</v>
      </c>
      <c r="O949" t="s">
        <v>74</v>
      </c>
      <c r="P949" t="s">
        <v>74</v>
      </c>
      <c r="Q949" t="s">
        <v>74</v>
      </c>
      <c r="R949" t="s">
        <v>74</v>
      </c>
      <c r="S949" t="s">
        <v>74</v>
      </c>
      <c r="T949" t="s">
        <v>18368</v>
      </c>
      <c r="U949" t="s">
        <v>18369</v>
      </c>
      <c r="V949" t="s">
        <v>18370</v>
      </c>
      <c r="W949" t="s">
        <v>18371</v>
      </c>
      <c r="X949" t="s">
        <v>18372</v>
      </c>
      <c r="Y949" t="s">
        <v>18373</v>
      </c>
      <c r="Z949" t="s">
        <v>18374</v>
      </c>
      <c r="AA949" t="s">
        <v>18375</v>
      </c>
      <c r="AB949" t="s">
        <v>18376</v>
      </c>
      <c r="AC949" t="s">
        <v>18377</v>
      </c>
      <c r="AD949" t="s">
        <v>18378</v>
      </c>
      <c r="AE949" t="s">
        <v>18379</v>
      </c>
      <c r="AF949" t="s">
        <v>74</v>
      </c>
      <c r="AG949">
        <v>66</v>
      </c>
      <c r="AH949">
        <v>2</v>
      </c>
      <c r="AI949">
        <v>2</v>
      </c>
      <c r="AJ949">
        <v>2</v>
      </c>
      <c r="AK949">
        <v>4</v>
      </c>
      <c r="AL949" t="s">
        <v>18380</v>
      </c>
      <c r="AM949" t="s">
        <v>18381</v>
      </c>
      <c r="AN949" t="s">
        <v>18382</v>
      </c>
      <c r="AO949" t="s">
        <v>18383</v>
      </c>
      <c r="AP949" t="s">
        <v>18384</v>
      </c>
      <c r="AQ949" t="s">
        <v>74</v>
      </c>
      <c r="AR949" t="s">
        <v>18385</v>
      </c>
      <c r="AS949" t="s">
        <v>18386</v>
      </c>
      <c r="AT949" t="s">
        <v>17612</v>
      </c>
      <c r="AU949">
        <v>2020</v>
      </c>
      <c r="AV949">
        <v>21</v>
      </c>
      <c r="AW949">
        <v>2</v>
      </c>
      <c r="AX949" t="s">
        <v>74</v>
      </c>
      <c r="AY949" t="s">
        <v>74</v>
      </c>
      <c r="AZ949" t="s">
        <v>74</v>
      </c>
      <c r="BA949" t="s">
        <v>74</v>
      </c>
      <c r="BB949">
        <v>217</v>
      </c>
      <c r="BC949">
        <v>234</v>
      </c>
      <c r="BD949" t="s">
        <v>74</v>
      </c>
      <c r="BE949" t="s">
        <v>18387</v>
      </c>
      <c r="BF949" t="str">
        <f>HYPERLINK("http://dx.doi.org/10.20502/rbg.v21i2.1738","http://dx.doi.org/10.20502/rbg.v21i2.1738")</f>
        <v>http://dx.doi.org/10.20502/rbg.v21i2.1738</v>
      </c>
      <c r="BG949" t="s">
        <v>74</v>
      </c>
      <c r="BH949" t="s">
        <v>74</v>
      </c>
      <c r="BI949">
        <v>18</v>
      </c>
      <c r="BJ949" t="s">
        <v>832</v>
      </c>
      <c r="BK949" t="s">
        <v>3838</v>
      </c>
      <c r="BL949" t="s">
        <v>833</v>
      </c>
      <c r="BM949" t="s">
        <v>18388</v>
      </c>
      <c r="BN949" t="s">
        <v>74</v>
      </c>
      <c r="BO949" t="s">
        <v>105</v>
      </c>
      <c r="BP949" t="s">
        <v>74</v>
      </c>
      <c r="BQ949" t="s">
        <v>74</v>
      </c>
      <c r="BR949" t="s">
        <v>106</v>
      </c>
      <c r="BS949" t="s">
        <v>18389</v>
      </c>
      <c r="BT949" t="str">
        <f>HYPERLINK("https%3A%2F%2Fwww.webofscience.com%2Fwos%2Fwoscc%2Ffull-record%2FWOS:000530904800001","View Full Record in Web of Science")</f>
        <v>View Full Record in Web of Science</v>
      </c>
    </row>
    <row r="950" spans="1:72" x14ac:dyDescent="0.15">
      <c r="A950" t="s">
        <v>72</v>
      </c>
      <c r="B950" t="s">
        <v>18390</v>
      </c>
      <c r="C950" t="s">
        <v>74</v>
      </c>
      <c r="D950" t="s">
        <v>74</v>
      </c>
      <c r="E950" t="s">
        <v>74</v>
      </c>
      <c r="F950" t="s">
        <v>18391</v>
      </c>
      <c r="G950" t="s">
        <v>74</v>
      </c>
      <c r="H950" t="s">
        <v>74</v>
      </c>
      <c r="I950" t="s">
        <v>18392</v>
      </c>
      <c r="J950" t="s">
        <v>18393</v>
      </c>
      <c r="K950" t="s">
        <v>74</v>
      </c>
      <c r="L950" t="s">
        <v>74</v>
      </c>
      <c r="M950" t="s">
        <v>78</v>
      </c>
      <c r="N950" t="s">
        <v>9492</v>
      </c>
      <c r="O950" t="s">
        <v>18394</v>
      </c>
      <c r="P950">
        <v>2018</v>
      </c>
      <c r="Q950" t="s">
        <v>18395</v>
      </c>
      <c r="R950" t="s">
        <v>74</v>
      </c>
      <c r="S950" t="s">
        <v>74</v>
      </c>
      <c r="T950" t="s">
        <v>74</v>
      </c>
      <c r="U950" t="s">
        <v>18396</v>
      </c>
      <c r="V950" t="s">
        <v>18397</v>
      </c>
      <c r="W950" t="s">
        <v>18398</v>
      </c>
      <c r="X950" t="s">
        <v>18399</v>
      </c>
      <c r="Y950" t="s">
        <v>18400</v>
      </c>
      <c r="Z950" t="s">
        <v>18401</v>
      </c>
      <c r="AA950" t="s">
        <v>18402</v>
      </c>
      <c r="AB950" t="s">
        <v>18403</v>
      </c>
      <c r="AC950" t="s">
        <v>18404</v>
      </c>
      <c r="AD950" t="s">
        <v>18405</v>
      </c>
      <c r="AE950" t="s">
        <v>18406</v>
      </c>
      <c r="AF950" t="s">
        <v>74</v>
      </c>
      <c r="AG950">
        <v>41</v>
      </c>
      <c r="AH950">
        <v>2</v>
      </c>
      <c r="AI950">
        <v>2</v>
      </c>
      <c r="AJ950">
        <v>2</v>
      </c>
      <c r="AK950">
        <v>16</v>
      </c>
      <c r="AL950" t="s">
        <v>18407</v>
      </c>
      <c r="AM950" t="s">
        <v>18408</v>
      </c>
      <c r="AN950" t="s">
        <v>18409</v>
      </c>
      <c r="AO950" t="s">
        <v>18410</v>
      </c>
      <c r="AP950" t="s">
        <v>18411</v>
      </c>
      <c r="AQ950" t="s">
        <v>74</v>
      </c>
      <c r="AR950" t="s">
        <v>18412</v>
      </c>
      <c r="AS950" t="s">
        <v>18413</v>
      </c>
      <c r="AT950" t="s">
        <v>5993</v>
      </c>
      <c r="AU950">
        <v>2020</v>
      </c>
      <c r="AV950">
        <v>96</v>
      </c>
      <c r="AW950">
        <v>2</v>
      </c>
      <c r="AX950" t="s">
        <v>74</v>
      </c>
      <c r="AY950" t="s">
        <v>74</v>
      </c>
      <c r="AZ950" t="s">
        <v>2622</v>
      </c>
      <c r="BA950" t="s">
        <v>74</v>
      </c>
      <c r="BB950">
        <v>323</v>
      </c>
      <c r="BC950">
        <v>339</v>
      </c>
      <c r="BD950" t="s">
        <v>74</v>
      </c>
      <c r="BE950" t="s">
        <v>18414</v>
      </c>
      <c r="BF950" t="str">
        <f>HYPERLINK("http://dx.doi.org/10.5343/bms.2019.0039","http://dx.doi.org/10.5343/bms.2019.0039")</f>
        <v>http://dx.doi.org/10.5343/bms.2019.0039</v>
      </c>
      <c r="BG950" t="s">
        <v>74</v>
      </c>
      <c r="BH950" t="s">
        <v>74</v>
      </c>
      <c r="BI950">
        <v>17</v>
      </c>
      <c r="BJ950" t="s">
        <v>2312</v>
      </c>
      <c r="BK950" t="s">
        <v>9555</v>
      </c>
      <c r="BL950" t="s">
        <v>2312</v>
      </c>
      <c r="BM950" t="s">
        <v>18415</v>
      </c>
      <c r="BN950" t="s">
        <v>74</v>
      </c>
      <c r="BO950" t="s">
        <v>74</v>
      </c>
      <c r="BP950" t="s">
        <v>74</v>
      </c>
      <c r="BQ950" t="s">
        <v>74</v>
      </c>
      <c r="BR950" t="s">
        <v>106</v>
      </c>
      <c r="BS950" t="s">
        <v>18416</v>
      </c>
      <c r="BT950" t="str">
        <f>HYPERLINK("https%3A%2F%2Fwww.webofscience.com%2Fwos%2Fwoscc%2Ffull-record%2FWOS:000530563100007","View Full Record in Web of Science")</f>
        <v>View Full Record in Web of Science</v>
      </c>
    </row>
    <row r="951" spans="1:72" x14ac:dyDescent="0.15">
      <c r="A951" t="s">
        <v>72</v>
      </c>
      <c r="B951" t="s">
        <v>18417</v>
      </c>
      <c r="C951" t="s">
        <v>74</v>
      </c>
      <c r="D951" t="s">
        <v>74</v>
      </c>
      <c r="E951" t="s">
        <v>74</v>
      </c>
      <c r="F951" t="s">
        <v>18418</v>
      </c>
      <c r="G951" t="s">
        <v>74</v>
      </c>
      <c r="H951" t="s">
        <v>74</v>
      </c>
      <c r="I951" t="s">
        <v>18419</v>
      </c>
      <c r="J951" t="s">
        <v>9356</v>
      </c>
      <c r="K951" t="s">
        <v>74</v>
      </c>
      <c r="L951" t="s">
        <v>74</v>
      </c>
      <c r="M951" t="s">
        <v>78</v>
      </c>
      <c r="N951" t="s">
        <v>1040</v>
      </c>
      <c r="O951" t="s">
        <v>74</v>
      </c>
      <c r="P951" t="s">
        <v>74</v>
      </c>
      <c r="Q951" t="s">
        <v>74</v>
      </c>
      <c r="R951" t="s">
        <v>74</v>
      </c>
      <c r="S951" t="s">
        <v>74</v>
      </c>
      <c r="T951" t="s">
        <v>18420</v>
      </c>
      <c r="U951" t="s">
        <v>18421</v>
      </c>
      <c r="V951" t="s">
        <v>18422</v>
      </c>
      <c r="W951" t="s">
        <v>18423</v>
      </c>
      <c r="X951" t="s">
        <v>18424</v>
      </c>
      <c r="Y951" t="s">
        <v>18425</v>
      </c>
      <c r="Z951" t="s">
        <v>18426</v>
      </c>
      <c r="AA951" t="s">
        <v>18427</v>
      </c>
      <c r="AB951" t="s">
        <v>18428</v>
      </c>
      <c r="AC951" t="s">
        <v>18429</v>
      </c>
      <c r="AD951" t="s">
        <v>18430</v>
      </c>
      <c r="AE951" t="s">
        <v>18431</v>
      </c>
      <c r="AF951" t="s">
        <v>74</v>
      </c>
      <c r="AG951">
        <v>13</v>
      </c>
      <c r="AH951">
        <v>2</v>
      </c>
      <c r="AI951">
        <v>2</v>
      </c>
      <c r="AJ951">
        <v>0</v>
      </c>
      <c r="AK951">
        <v>8</v>
      </c>
      <c r="AL951" t="s">
        <v>284</v>
      </c>
      <c r="AM951" t="s">
        <v>285</v>
      </c>
      <c r="AN951" t="s">
        <v>286</v>
      </c>
      <c r="AO951" t="s">
        <v>9368</v>
      </c>
      <c r="AP951" t="s">
        <v>74</v>
      </c>
      <c r="AQ951" t="s">
        <v>74</v>
      </c>
      <c r="AR951" t="s">
        <v>9369</v>
      </c>
      <c r="AS951" t="s">
        <v>9370</v>
      </c>
      <c r="AT951" t="s">
        <v>5993</v>
      </c>
      <c r="AU951">
        <v>2020</v>
      </c>
      <c r="AV951">
        <v>29</v>
      </c>
      <c r="AW951" t="s">
        <v>74</v>
      </c>
      <c r="AX951" t="s">
        <v>74</v>
      </c>
      <c r="AY951" t="s">
        <v>74</v>
      </c>
      <c r="AZ951" t="s">
        <v>74</v>
      </c>
      <c r="BA951" t="s">
        <v>74</v>
      </c>
      <c r="BB951" t="s">
        <v>74</v>
      </c>
      <c r="BC951" t="s">
        <v>74</v>
      </c>
      <c r="BD951">
        <v>105324</v>
      </c>
      <c r="BE951" t="s">
        <v>18432</v>
      </c>
      <c r="BF951" t="str">
        <f>HYPERLINK("http://dx.doi.org/10.1016/j.dib.2020.105324","http://dx.doi.org/10.1016/j.dib.2020.105324")</f>
        <v>http://dx.doi.org/10.1016/j.dib.2020.105324</v>
      </c>
      <c r="BG951" t="s">
        <v>74</v>
      </c>
      <c r="BH951" t="s">
        <v>74</v>
      </c>
      <c r="BI951">
        <v>14</v>
      </c>
      <c r="BJ951" t="s">
        <v>1125</v>
      </c>
      <c r="BK951" t="s">
        <v>3838</v>
      </c>
      <c r="BL951" t="s">
        <v>1126</v>
      </c>
      <c r="BM951" t="s">
        <v>18433</v>
      </c>
      <c r="BN951">
        <v>32181293</v>
      </c>
      <c r="BO951" t="s">
        <v>161</v>
      </c>
      <c r="BP951" t="s">
        <v>74</v>
      </c>
      <c r="BQ951" t="s">
        <v>74</v>
      </c>
      <c r="BR951" t="s">
        <v>106</v>
      </c>
      <c r="BS951" t="s">
        <v>18434</v>
      </c>
      <c r="BT951" t="str">
        <f>HYPERLINK("https%3A%2F%2Fwww.webofscience.com%2Fwos%2Fwoscc%2Ffull-record%2FWOS:000529373000022","View Full Record in Web of Science")</f>
        <v>View Full Record in Web of Science</v>
      </c>
    </row>
    <row r="952" spans="1:72" x14ac:dyDescent="0.15">
      <c r="A952" t="s">
        <v>72</v>
      </c>
      <c r="B952" t="s">
        <v>18435</v>
      </c>
      <c r="C952" t="s">
        <v>74</v>
      </c>
      <c r="D952" t="s">
        <v>74</v>
      </c>
      <c r="E952" t="s">
        <v>74</v>
      </c>
      <c r="F952" t="s">
        <v>18436</v>
      </c>
      <c r="G952" t="s">
        <v>74</v>
      </c>
      <c r="H952" t="s">
        <v>74</v>
      </c>
      <c r="I952" t="s">
        <v>18437</v>
      </c>
      <c r="J952" t="s">
        <v>13291</v>
      </c>
      <c r="K952" t="s">
        <v>74</v>
      </c>
      <c r="L952" t="s">
        <v>74</v>
      </c>
      <c r="M952" t="s">
        <v>78</v>
      </c>
      <c r="N952" t="s">
        <v>245</v>
      </c>
      <c r="O952" t="s">
        <v>74</v>
      </c>
      <c r="P952" t="s">
        <v>74</v>
      </c>
      <c r="Q952" t="s">
        <v>74</v>
      </c>
      <c r="R952" t="s">
        <v>74</v>
      </c>
      <c r="S952" t="s">
        <v>74</v>
      </c>
      <c r="T952" t="s">
        <v>18438</v>
      </c>
      <c r="U952" t="s">
        <v>18439</v>
      </c>
      <c r="V952" t="s">
        <v>18440</v>
      </c>
      <c r="W952" t="s">
        <v>18441</v>
      </c>
      <c r="X952" t="s">
        <v>18442</v>
      </c>
      <c r="Y952" t="s">
        <v>18443</v>
      </c>
      <c r="Z952" t="s">
        <v>18444</v>
      </c>
      <c r="AA952" t="s">
        <v>74</v>
      </c>
      <c r="AB952" t="s">
        <v>74</v>
      </c>
      <c r="AC952" t="s">
        <v>74</v>
      </c>
      <c r="AD952" t="s">
        <v>74</v>
      </c>
      <c r="AE952" t="s">
        <v>74</v>
      </c>
      <c r="AF952" t="s">
        <v>74</v>
      </c>
      <c r="AG952">
        <v>262</v>
      </c>
      <c r="AH952">
        <v>48</v>
      </c>
      <c r="AI952">
        <v>48</v>
      </c>
      <c r="AJ952">
        <v>3</v>
      </c>
      <c r="AK952">
        <v>13</v>
      </c>
      <c r="AL952" t="s">
        <v>284</v>
      </c>
      <c r="AM952" t="s">
        <v>285</v>
      </c>
      <c r="AN952" t="s">
        <v>286</v>
      </c>
      <c r="AO952" t="s">
        <v>13304</v>
      </c>
      <c r="AP952" t="s">
        <v>13305</v>
      </c>
      <c r="AQ952" t="s">
        <v>74</v>
      </c>
      <c r="AR952" t="s">
        <v>13306</v>
      </c>
      <c r="AS952" t="s">
        <v>13307</v>
      </c>
      <c r="AT952" t="s">
        <v>5993</v>
      </c>
      <c r="AU952">
        <v>2020</v>
      </c>
      <c r="AV952">
        <v>203</v>
      </c>
      <c r="AW952" t="s">
        <v>74</v>
      </c>
      <c r="AX952" t="s">
        <v>74</v>
      </c>
      <c r="AY952" t="s">
        <v>74</v>
      </c>
      <c r="AZ952" t="s">
        <v>74</v>
      </c>
      <c r="BA952" t="s">
        <v>74</v>
      </c>
      <c r="BB952" t="s">
        <v>74</v>
      </c>
      <c r="BC952" t="s">
        <v>74</v>
      </c>
      <c r="BD952">
        <v>103138</v>
      </c>
      <c r="BE952" t="s">
        <v>18445</v>
      </c>
      <c r="BF952" t="str">
        <f>HYPERLINK("http://dx.doi.org/10.1016/j.earscirev.2020.103138","http://dx.doi.org/10.1016/j.earscirev.2020.103138")</f>
        <v>http://dx.doi.org/10.1016/j.earscirev.2020.103138</v>
      </c>
      <c r="BG952" t="s">
        <v>74</v>
      </c>
      <c r="BH952" t="s">
        <v>74</v>
      </c>
      <c r="BI952">
        <v>27</v>
      </c>
      <c r="BJ952" t="s">
        <v>471</v>
      </c>
      <c r="BK952" t="s">
        <v>102</v>
      </c>
      <c r="BL952" t="s">
        <v>472</v>
      </c>
      <c r="BM952" t="s">
        <v>18446</v>
      </c>
      <c r="BN952" t="s">
        <v>74</v>
      </c>
      <c r="BO952" t="s">
        <v>976</v>
      </c>
      <c r="BP952" t="s">
        <v>74</v>
      </c>
      <c r="BQ952" t="s">
        <v>74</v>
      </c>
      <c r="BR952" t="s">
        <v>106</v>
      </c>
      <c r="BS952" t="s">
        <v>18447</v>
      </c>
      <c r="BT952" t="str">
        <f>HYPERLINK("https%3A%2F%2Fwww.webofscience.com%2Fwos%2Fwoscc%2Ffull-record%2FWOS:000529058200015","View Full Record in Web of Science")</f>
        <v>View Full Record in Web of Science</v>
      </c>
    </row>
    <row r="953" spans="1:72" x14ac:dyDescent="0.15">
      <c r="A953" t="s">
        <v>72</v>
      </c>
      <c r="B953" t="s">
        <v>18448</v>
      </c>
      <c r="C953" t="s">
        <v>74</v>
      </c>
      <c r="D953" t="s">
        <v>74</v>
      </c>
      <c r="E953" t="s">
        <v>74</v>
      </c>
      <c r="F953" t="s">
        <v>18449</v>
      </c>
      <c r="G953" t="s">
        <v>74</v>
      </c>
      <c r="H953" t="s">
        <v>74</v>
      </c>
      <c r="I953" t="s">
        <v>18450</v>
      </c>
      <c r="J953" t="s">
        <v>13291</v>
      </c>
      <c r="K953" t="s">
        <v>74</v>
      </c>
      <c r="L953" t="s">
        <v>74</v>
      </c>
      <c r="M953" t="s">
        <v>78</v>
      </c>
      <c r="N953" t="s">
        <v>245</v>
      </c>
      <c r="O953" t="s">
        <v>74</v>
      </c>
      <c r="P953" t="s">
        <v>74</v>
      </c>
      <c r="Q953" t="s">
        <v>74</v>
      </c>
      <c r="R953" t="s">
        <v>74</v>
      </c>
      <c r="S953" t="s">
        <v>74</v>
      </c>
      <c r="T953" t="s">
        <v>18451</v>
      </c>
      <c r="U953" t="s">
        <v>18452</v>
      </c>
      <c r="V953" t="s">
        <v>18453</v>
      </c>
      <c r="W953" t="s">
        <v>18454</v>
      </c>
      <c r="X953" t="s">
        <v>18455</v>
      </c>
      <c r="Y953" t="s">
        <v>18456</v>
      </c>
      <c r="Z953" t="s">
        <v>16064</v>
      </c>
      <c r="AA953" t="s">
        <v>18457</v>
      </c>
      <c r="AB953" t="s">
        <v>18458</v>
      </c>
      <c r="AC953" t="s">
        <v>18459</v>
      </c>
      <c r="AD953" t="s">
        <v>18460</v>
      </c>
      <c r="AE953" t="s">
        <v>18461</v>
      </c>
      <c r="AF953" t="s">
        <v>74</v>
      </c>
      <c r="AG953">
        <v>554</v>
      </c>
      <c r="AH953">
        <v>51</v>
      </c>
      <c r="AI953">
        <v>58</v>
      </c>
      <c r="AJ953">
        <v>5</v>
      </c>
      <c r="AK953">
        <v>71</v>
      </c>
      <c r="AL953" t="s">
        <v>284</v>
      </c>
      <c r="AM953" t="s">
        <v>285</v>
      </c>
      <c r="AN953" t="s">
        <v>286</v>
      </c>
      <c r="AO953" t="s">
        <v>13304</v>
      </c>
      <c r="AP953" t="s">
        <v>13305</v>
      </c>
      <c r="AQ953" t="s">
        <v>74</v>
      </c>
      <c r="AR953" t="s">
        <v>13306</v>
      </c>
      <c r="AS953" t="s">
        <v>13307</v>
      </c>
      <c r="AT953" t="s">
        <v>5993</v>
      </c>
      <c r="AU953">
        <v>2020</v>
      </c>
      <c r="AV953">
        <v>203</v>
      </c>
      <c r="AW953" t="s">
        <v>74</v>
      </c>
      <c r="AX953" t="s">
        <v>74</v>
      </c>
      <c r="AY953" t="s">
        <v>74</v>
      </c>
      <c r="AZ953" t="s">
        <v>74</v>
      </c>
      <c r="BA953" t="s">
        <v>74</v>
      </c>
      <c r="BB953" t="s">
        <v>74</v>
      </c>
      <c r="BC953" t="s">
        <v>74</v>
      </c>
      <c r="BD953">
        <v>103113</v>
      </c>
      <c r="BE953" t="s">
        <v>18462</v>
      </c>
      <c r="BF953" t="str">
        <f>HYPERLINK("http://dx.doi.org/10.1016/j.earscirev.2020.103113","http://dx.doi.org/10.1016/j.earscirev.2020.103113")</f>
        <v>http://dx.doi.org/10.1016/j.earscirev.2020.103113</v>
      </c>
      <c r="BG953" t="s">
        <v>74</v>
      </c>
      <c r="BH953" t="s">
        <v>74</v>
      </c>
      <c r="BI953">
        <v>58</v>
      </c>
      <c r="BJ953" t="s">
        <v>471</v>
      </c>
      <c r="BK953" t="s">
        <v>102</v>
      </c>
      <c r="BL953" t="s">
        <v>472</v>
      </c>
      <c r="BM953" t="s">
        <v>18446</v>
      </c>
      <c r="BN953" t="s">
        <v>74</v>
      </c>
      <c r="BO953" t="s">
        <v>6491</v>
      </c>
      <c r="BP953" t="s">
        <v>74</v>
      </c>
      <c r="BQ953" t="s">
        <v>74</v>
      </c>
      <c r="BR953" t="s">
        <v>106</v>
      </c>
      <c r="BS953" t="s">
        <v>18463</v>
      </c>
      <c r="BT953" t="str">
        <f>HYPERLINK("https%3A%2F%2Fwww.webofscience.com%2Fwos%2Fwoscc%2Ffull-record%2FWOS:000529058200023","View Full Record in Web of Science")</f>
        <v>View Full Record in Web of Science</v>
      </c>
    </row>
    <row r="954" spans="1:72" x14ac:dyDescent="0.15">
      <c r="A954" t="s">
        <v>72</v>
      </c>
      <c r="B954" t="s">
        <v>18464</v>
      </c>
      <c r="C954" t="s">
        <v>74</v>
      </c>
      <c r="D954" t="s">
        <v>74</v>
      </c>
      <c r="E954" t="s">
        <v>74</v>
      </c>
      <c r="F954" t="s">
        <v>18465</v>
      </c>
      <c r="G954" t="s">
        <v>74</v>
      </c>
      <c r="H954" t="s">
        <v>74</v>
      </c>
      <c r="I954" t="s">
        <v>18466</v>
      </c>
      <c r="J954" t="s">
        <v>512</v>
      </c>
      <c r="K954" t="s">
        <v>74</v>
      </c>
      <c r="L954" t="s">
        <v>74</v>
      </c>
      <c r="M954" t="s">
        <v>78</v>
      </c>
      <c r="N954" t="s">
        <v>79</v>
      </c>
      <c r="O954" t="s">
        <v>74</v>
      </c>
      <c r="P954" t="s">
        <v>74</v>
      </c>
      <c r="Q954" t="s">
        <v>74</v>
      </c>
      <c r="R954" t="s">
        <v>74</v>
      </c>
      <c r="S954" t="s">
        <v>74</v>
      </c>
      <c r="T954" t="s">
        <v>18467</v>
      </c>
      <c r="U954" t="s">
        <v>18468</v>
      </c>
      <c r="V954" t="s">
        <v>18469</v>
      </c>
      <c r="W954" t="s">
        <v>18470</v>
      </c>
      <c r="X954" t="s">
        <v>18471</v>
      </c>
      <c r="Y954" t="s">
        <v>18472</v>
      </c>
      <c r="Z954" t="s">
        <v>18473</v>
      </c>
      <c r="AA954" t="s">
        <v>74</v>
      </c>
      <c r="AB954" t="s">
        <v>74</v>
      </c>
      <c r="AC954" t="s">
        <v>18474</v>
      </c>
      <c r="AD954" t="s">
        <v>18475</v>
      </c>
      <c r="AE954" t="s">
        <v>18476</v>
      </c>
      <c r="AF954" t="s">
        <v>74</v>
      </c>
      <c r="AG954">
        <v>17</v>
      </c>
      <c r="AH954">
        <v>2</v>
      </c>
      <c r="AI954">
        <v>2</v>
      </c>
      <c r="AJ954">
        <v>0</v>
      </c>
      <c r="AK954">
        <v>5</v>
      </c>
      <c r="AL954" t="s">
        <v>284</v>
      </c>
      <c r="AM954" t="s">
        <v>285</v>
      </c>
      <c r="AN954" t="s">
        <v>286</v>
      </c>
      <c r="AO954" t="s">
        <v>525</v>
      </c>
      <c r="AP954" t="s">
        <v>526</v>
      </c>
      <c r="AQ954" t="s">
        <v>74</v>
      </c>
      <c r="AR954" t="s">
        <v>527</v>
      </c>
      <c r="AS954" t="s">
        <v>528</v>
      </c>
      <c r="AT954" t="s">
        <v>5993</v>
      </c>
      <c r="AU954">
        <v>2020</v>
      </c>
      <c r="AV954">
        <v>50</v>
      </c>
      <c r="AW954" t="s">
        <v>74</v>
      </c>
      <c r="AX954" t="s">
        <v>74</v>
      </c>
      <c r="AY954" t="s">
        <v>74</v>
      </c>
      <c r="AZ954" t="s">
        <v>74</v>
      </c>
      <c r="BA954" t="s">
        <v>74</v>
      </c>
      <c r="BB954" t="s">
        <v>74</v>
      </c>
      <c r="BC954" t="s">
        <v>74</v>
      </c>
      <c r="BD954">
        <v>100695</v>
      </c>
      <c r="BE954" t="s">
        <v>18477</v>
      </c>
      <c r="BF954" t="str">
        <f>HYPERLINK("http://dx.doi.org/10.1016/j.margen.2019.100695","http://dx.doi.org/10.1016/j.margen.2019.100695")</f>
        <v>http://dx.doi.org/10.1016/j.margen.2019.100695</v>
      </c>
      <c r="BG954" t="s">
        <v>74</v>
      </c>
      <c r="BH954" t="s">
        <v>74</v>
      </c>
      <c r="BI954">
        <v>3</v>
      </c>
      <c r="BJ954" t="s">
        <v>530</v>
      </c>
      <c r="BK954" t="s">
        <v>102</v>
      </c>
      <c r="BL954" t="s">
        <v>530</v>
      </c>
      <c r="BM954" t="s">
        <v>18478</v>
      </c>
      <c r="BN954" t="s">
        <v>74</v>
      </c>
      <c r="BO954" t="s">
        <v>74</v>
      </c>
      <c r="BP954" t="s">
        <v>74</v>
      </c>
      <c r="BQ954" t="s">
        <v>74</v>
      </c>
      <c r="BR954" t="s">
        <v>106</v>
      </c>
      <c r="BS954" t="s">
        <v>18479</v>
      </c>
      <c r="BT954" t="str">
        <f>HYPERLINK("https%3A%2F%2Fwww.webofscience.com%2Fwos%2Fwoscc%2Ffull-record%2FWOS:000529816900004","View Full Record in Web of Science")</f>
        <v>View Full Record in Web of Science</v>
      </c>
    </row>
    <row r="955" spans="1:72" x14ac:dyDescent="0.15">
      <c r="A955" t="s">
        <v>72</v>
      </c>
      <c r="B955" t="s">
        <v>18480</v>
      </c>
      <c r="C955" t="s">
        <v>74</v>
      </c>
      <c r="D955" t="s">
        <v>74</v>
      </c>
      <c r="E955" t="s">
        <v>74</v>
      </c>
      <c r="F955" t="s">
        <v>18481</v>
      </c>
      <c r="G955" t="s">
        <v>74</v>
      </c>
      <c r="H955" t="s">
        <v>74</v>
      </c>
      <c r="I955" t="s">
        <v>18482</v>
      </c>
      <c r="J955" t="s">
        <v>4674</v>
      </c>
      <c r="K955" t="s">
        <v>74</v>
      </c>
      <c r="L955" t="s">
        <v>74</v>
      </c>
      <c r="M955" t="s">
        <v>78</v>
      </c>
      <c r="N955" t="s">
        <v>79</v>
      </c>
      <c r="O955" t="s">
        <v>74</v>
      </c>
      <c r="P955" t="s">
        <v>74</v>
      </c>
      <c r="Q955" t="s">
        <v>74</v>
      </c>
      <c r="R955" t="s">
        <v>74</v>
      </c>
      <c r="S955" t="s">
        <v>74</v>
      </c>
      <c r="T955" t="s">
        <v>18483</v>
      </c>
      <c r="U955" t="s">
        <v>18484</v>
      </c>
      <c r="V955" t="s">
        <v>18485</v>
      </c>
      <c r="W955" t="s">
        <v>18486</v>
      </c>
      <c r="X955" t="s">
        <v>18487</v>
      </c>
      <c r="Y955" t="s">
        <v>18488</v>
      </c>
      <c r="Z955" t="s">
        <v>18489</v>
      </c>
      <c r="AA955" t="s">
        <v>74</v>
      </c>
      <c r="AB955" t="s">
        <v>18490</v>
      </c>
      <c r="AC955" t="s">
        <v>18491</v>
      </c>
      <c r="AD955" t="s">
        <v>18492</v>
      </c>
      <c r="AE955" t="s">
        <v>18493</v>
      </c>
      <c r="AF955" t="s">
        <v>74</v>
      </c>
      <c r="AG955">
        <v>85</v>
      </c>
      <c r="AH955">
        <v>6</v>
      </c>
      <c r="AI955">
        <v>7</v>
      </c>
      <c r="AJ955">
        <v>0</v>
      </c>
      <c r="AK955">
        <v>1</v>
      </c>
      <c r="AL955" t="s">
        <v>92</v>
      </c>
      <c r="AM955" t="s">
        <v>93</v>
      </c>
      <c r="AN955" t="s">
        <v>94</v>
      </c>
      <c r="AO955" t="s">
        <v>4679</v>
      </c>
      <c r="AP955" t="s">
        <v>74</v>
      </c>
      <c r="AQ955" t="s">
        <v>74</v>
      </c>
      <c r="AR955" t="s">
        <v>4680</v>
      </c>
      <c r="AS955" t="s">
        <v>4681</v>
      </c>
      <c r="AT955" t="s">
        <v>5993</v>
      </c>
      <c r="AU955">
        <v>2020</v>
      </c>
      <c r="AV955">
        <v>183</v>
      </c>
      <c r="AW955" t="s">
        <v>74</v>
      </c>
      <c r="AX955" t="s">
        <v>74</v>
      </c>
      <c r="AY955" t="s">
        <v>74</v>
      </c>
      <c r="AZ955" t="s">
        <v>74</v>
      </c>
      <c r="BA955" t="s">
        <v>74</v>
      </c>
      <c r="BB955" t="s">
        <v>74</v>
      </c>
      <c r="BC955" t="s">
        <v>74</v>
      </c>
      <c r="BD955">
        <v>102287</v>
      </c>
      <c r="BE955" t="s">
        <v>18494</v>
      </c>
      <c r="BF955" t="str">
        <f>HYPERLINK("http://dx.doi.org/10.1016/j.pocean.2020.102287","http://dx.doi.org/10.1016/j.pocean.2020.102287")</f>
        <v>http://dx.doi.org/10.1016/j.pocean.2020.102287</v>
      </c>
      <c r="BG955" t="s">
        <v>74</v>
      </c>
      <c r="BH955" t="s">
        <v>74</v>
      </c>
      <c r="BI955">
        <v>14</v>
      </c>
      <c r="BJ955" t="s">
        <v>213</v>
      </c>
      <c r="BK955" t="s">
        <v>102</v>
      </c>
      <c r="BL955" t="s">
        <v>213</v>
      </c>
      <c r="BM955" t="s">
        <v>18495</v>
      </c>
      <c r="BN955" t="s">
        <v>74</v>
      </c>
      <c r="BO955" t="s">
        <v>189</v>
      </c>
      <c r="BP955" t="s">
        <v>74</v>
      </c>
      <c r="BQ955" t="s">
        <v>74</v>
      </c>
      <c r="BR955" t="s">
        <v>106</v>
      </c>
      <c r="BS955" t="s">
        <v>18496</v>
      </c>
      <c r="BT955" t="str">
        <f>HYPERLINK("https%3A%2F%2Fwww.webofscience.com%2Fwos%2Fwoscc%2Ffull-record%2FWOS:000528805100003","View Full Record in Web of Science")</f>
        <v>View Full Record in Web of Science</v>
      </c>
    </row>
    <row r="956" spans="1:72" x14ac:dyDescent="0.15">
      <c r="A956" t="s">
        <v>72</v>
      </c>
      <c r="B956" t="s">
        <v>18497</v>
      </c>
      <c r="C956" t="s">
        <v>74</v>
      </c>
      <c r="D956" t="s">
        <v>74</v>
      </c>
      <c r="E956" t="s">
        <v>74</v>
      </c>
      <c r="F956" t="s">
        <v>18498</v>
      </c>
      <c r="G956" t="s">
        <v>74</v>
      </c>
      <c r="H956" t="s">
        <v>74</v>
      </c>
      <c r="I956" t="s">
        <v>18499</v>
      </c>
      <c r="J956" t="s">
        <v>4674</v>
      </c>
      <c r="K956" t="s">
        <v>74</v>
      </c>
      <c r="L956" t="s">
        <v>74</v>
      </c>
      <c r="M956" t="s">
        <v>78</v>
      </c>
      <c r="N956" t="s">
        <v>79</v>
      </c>
      <c r="O956" t="s">
        <v>74</v>
      </c>
      <c r="P956" t="s">
        <v>74</v>
      </c>
      <c r="Q956" t="s">
        <v>74</v>
      </c>
      <c r="R956" t="s">
        <v>74</v>
      </c>
      <c r="S956" t="s">
        <v>74</v>
      </c>
      <c r="T956" t="s">
        <v>18500</v>
      </c>
      <c r="U956" t="s">
        <v>18501</v>
      </c>
      <c r="V956" t="s">
        <v>18502</v>
      </c>
      <c r="W956" t="s">
        <v>18503</v>
      </c>
      <c r="X956" t="s">
        <v>18504</v>
      </c>
      <c r="Y956" t="s">
        <v>18505</v>
      </c>
      <c r="Z956" t="s">
        <v>18506</v>
      </c>
      <c r="AA956" t="s">
        <v>18507</v>
      </c>
      <c r="AB956" t="s">
        <v>18508</v>
      </c>
      <c r="AC956" t="s">
        <v>18509</v>
      </c>
      <c r="AD956" t="s">
        <v>18510</v>
      </c>
      <c r="AE956" t="s">
        <v>18511</v>
      </c>
      <c r="AF956" t="s">
        <v>74</v>
      </c>
      <c r="AG956">
        <v>88</v>
      </c>
      <c r="AH956">
        <v>20</v>
      </c>
      <c r="AI956">
        <v>20</v>
      </c>
      <c r="AJ956">
        <v>2</v>
      </c>
      <c r="AK956">
        <v>16</v>
      </c>
      <c r="AL956" t="s">
        <v>92</v>
      </c>
      <c r="AM956" t="s">
        <v>93</v>
      </c>
      <c r="AN956" t="s">
        <v>94</v>
      </c>
      <c r="AO956" t="s">
        <v>4679</v>
      </c>
      <c r="AP956" t="s">
        <v>74</v>
      </c>
      <c r="AQ956" t="s">
        <v>74</v>
      </c>
      <c r="AR956" t="s">
        <v>4680</v>
      </c>
      <c r="AS956" t="s">
        <v>4681</v>
      </c>
      <c r="AT956" t="s">
        <v>5993</v>
      </c>
      <c r="AU956">
        <v>2020</v>
      </c>
      <c r="AV956">
        <v>183</v>
      </c>
      <c r="AW956" t="s">
        <v>74</v>
      </c>
      <c r="AX956" t="s">
        <v>74</v>
      </c>
      <c r="AY956" t="s">
        <v>74</v>
      </c>
      <c r="AZ956" t="s">
        <v>74</v>
      </c>
      <c r="BA956" t="s">
        <v>74</v>
      </c>
      <c r="BB956" t="s">
        <v>74</v>
      </c>
      <c r="BC956" t="s">
        <v>74</v>
      </c>
      <c r="BD956">
        <v>102267</v>
      </c>
      <c r="BE956" t="s">
        <v>18512</v>
      </c>
      <c r="BF956" t="str">
        <f>HYPERLINK("http://dx.doi.org/10.1016/j.pocean.2020.102267","http://dx.doi.org/10.1016/j.pocean.2020.102267")</f>
        <v>http://dx.doi.org/10.1016/j.pocean.2020.102267</v>
      </c>
      <c r="BG956" t="s">
        <v>74</v>
      </c>
      <c r="BH956" t="s">
        <v>74</v>
      </c>
      <c r="BI956">
        <v>13</v>
      </c>
      <c r="BJ956" t="s">
        <v>213</v>
      </c>
      <c r="BK956" t="s">
        <v>102</v>
      </c>
      <c r="BL956" t="s">
        <v>213</v>
      </c>
      <c r="BM956" t="s">
        <v>18495</v>
      </c>
      <c r="BN956" t="s">
        <v>74</v>
      </c>
      <c r="BO956" t="s">
        <v>74</v>
      </c>
      <c r="BP956" t="s">
        <v>74</v>
      </c>
      <c r="BQ956" t="s">
        <v>74</v>
      </c>
      <c r="BR956" t="s">
        <v>106</v>
      </c>
      <c r="BS956" t="s">
        <v>18513</v>
      </c>
      <c r="BT956" t="str">
        <f>HYPERLINK("https%3A%2F%2Fwww.webofscience.com%2Fwos%2Fwoscc%2Ffull-record%2FWOS:000528805100006","View Full Record in Web of Science")</f>
        <v>View Full Record in Web of Science</v>
      </c>
    </row>
    <row r="957" spans="1:72" x14ac:dyDescent="0.15">
      <c r="A957" t="s">
        <v>72</v>
      </c>
      <c r="B957" t="s">
        <v>18514</v>
      </c>
      <c r="C957" t="s">
        <v>74</v>
      </c>
      <c r="D957" t="s">
        <v>74</v>
      </c>
      <c r="E957" t="s">
        <v>74</v>
      </c>
      <c r="F957" t="s">
        <v>18515</v>
      </c>
      <c r="G957" t="s">
        <v>74</v>
      </c>
      <c r="H957" t="s">
        <v>74</v>
      </c>
      <c r="I957" t="s">
        <v>18516</v>
      </c>
      <c r="J957" t="s">
        <v>4674</v>
      </c>
      <c r="K957" t="s">
        <v>74</v>
      </c>
      <c r="L957" t="s">
        <v>74</v>
      </c>
      <c r="M957" t="s">
        <v>78</v>
      </c>
      <c r="N957" t="s">
        <v>79</v>
      </c>
      <c r="O957" t="s">
        <v>74</v>
      </c>
      <c r="P957" t="s">
        <v>74</v>
      </c>
      <c r="Q957" t="s">
        <v>74</v>
      </c>
      <c r="R957" t="s">
        <v>74</v>
      </c>
      <c r="S957" t="s">
        <v>74</v>
      </c>
      <c r="T957" t="s">
        <v>18517</v>
      </c>
      <c r="U957" t="s">
        <v>18518</v>
      </c>
      <c r="V957" t="s">
        <v>18519</v>
      </c>
      <c r="W957" t="s">
        <v>18520</v>
      </c>
      <c r="X957" t="s">
        <v>18521</v>
      </c>
      <c r="Y957" t="s">
        <v>18522</v>
      </c>
      <c r="Z957" t="s">
        <v>18523</v>
      </c>
      <c r="AA957" t="s">
        <v>18524</v>
      </c>
      <c r="AB957" t="s">
        <v>18525</v>
      </c>
      <c r="AC957" t="s">
        <v>18526</v>
      </c>
      <c r="AD957" t="s">
        <v>1860</v>
      </c>
      <c r="AE957" t="s">
        <v>18527</v>
      </c>
      <c r="AF957" t="s">
        <v>74</v>
      </c>
      <c r="AG957">
        <v>105</v>
      </c>
      <c r="AH957">
        <v>19</v>
      </c>
      <c r="AI957">
        <v>22</v>
      </c>
      <c r="AJ957">
        <v>2</v>
      </c>
      <c r="AK957">
        <v>21</v>
      </c>
      <c r="AL957" t="s">
        <v>92</v>
      </c>
      <c r="AM957" t="s">
        <v>93</v>
      </c>
      <c r="AN957" t="s">
        <v>94</v>
      </c>
      <c r="AO957" t="s">
        <v>4679</v>
      </c>
      <c r="AP957" t="s">
        <v>74</v>
      </c>
      <c r="AQ957" t="s">
        <v>74</v>
      </c>
      <c r="AR957" t="s">
        <v>4680</v>
      </c>
      <c r="AS957" t="s">
        <v>4681</v>
      </c>
      <c r="AT957" t="s">
        <v>5993</v>
      </c>
      <c r="AU957">
        <v>2020</v>
      </c>
      <c r="AV957">
        <v>183</v>
      </c>
      <c r="AW957" t="s">
        <v>74</v>
      </c>
      <c r="AX957" t="s">
        <v>74</v>
      </c>
      <c r="AY957" t="s">
        <v>74</v>
      </c>
      <c r="AZ957" t="s">
        <v>74</v>
      </c>
      <c r="BA957" t="s">
        <v>74</v>
      </c>
      <c r="BB957" t="s">
        <v>74</v>
      </c>
      <c r="BC957" t="s">
        <v>74</v>
      </c>
      <c r="BD957">
        <v>102295</v>
      </c>
      <c r="BE957" t="s">
        <v>18528</v>
      </c>
      <c r="BF957" t="str">
        <f>HYPERLINK("http://dx.doi.org/10.1016/j.pocean.2020.102295","http://dx.doi.org/10.1016/j.pocean.2020.102295")</f>
        <v>http://dx.doi.org/10.1016/j.pocean.2020.102295</v>
      </c>
      <c r="BG957" t="s">
        <v>74</v>
      </c>
      <c r="BH957" t="s">
        <v>74</v>
      </c>
      <c r="BI957">
        <v>20</v>
      </c>
      <c r="BJ957" t="s">
        <v>213</v>
      </c>
      <c r="BK957" t="s">
        <v>102</v>
      </c>
      <c r="BL957" t="s">
        <v>213</v>
      </c>
      <c r="BM957" t="s">
        <v>18495</v>
      </c>
      <c r="BN957" t="s">
        <v>74</v>
      </c>
      <c r="BO957" t="s">
        <v>74</v>
      </c>
      <c r="BP957" t="s">
        <v>74</v>
      </c>
      <c r="BQ957" t="s">
        <v>74</v>
      </c>
      <c r="BR957" t="s">
        <v>106</v>
      </c>
      <c r="BS957" t="s">
        <v>18529</v>
      </c>
      <c r="BT957" t="str">
        <f>HYPERLINK("https%3A%2F%2Fwww.webofscience.com%2Fwos%2Fwoscc%2Ffull-record%2FWOS:000528805100015","View Full Record in Web of Science")</f>
        <v>View Full Record in Web of Science</v>
      </c>
    </row>
    <row r="958" spans="1:72" x14ac:dyDescent="0.15">
      <c r="A958" t="s">
        <v>72</v>
      </c>
      <c r="B958" t="s">
        <v>18530</v>
      </c>
      <c r="C958" t="s">
        <v>74</v>
      </c>
      <c r="D958" t="s">
        <v>74</v>
      </c>
      <c r="E958" t="s">
        <v>74</v>
      </c>
      <c r="F958" t="s">
        <v>18531</v>
      </c>
      <c r="G958" t="s">
        <v>74</v>
      </c>
      <c r="H958" t="s">
        <v>74</v>
      </c>
      <c r="I958" t="s">
        <v>18532</v>
      </c>
      <c r="J958" t="s">
        <v>18533</v>
      </c>
      <c r="K958" t="s">
        <v>74</v>
      </c>
      <c r="L958" t="s">
        <v>74</v>
      </c>
      <c r="M958" t="s">
        <v>78</v>
      </c>
      <c r="N958" t="s">
        <v>79</v>
      </c>
      <c r="O958" t="s">
        <v>74</v>
      </c>
      <c r="P958" t="s">
        <v>74</v>
      </c>
      <c r="Q958" t="s">
        <v>74</v>
      </c>
      <c r="R958" t="s">
        <v>74</v>
      </c>
      <c r="S958" t="s">
        <v>74</v>
      </c>
      <c r="T958" t="s">
        <v>18534</v>
      </c>
      <c r="U958" t="s">
        <v>18535</v>
      </c>
      <c r="V958" t="s">
        <v>18536</v>
      </c>
      <c r="W958" t="s">
        <v>18537</v>
      </c>
      <c r="X958" t="s">
        <v>18538</v>
      </c>
      <c r="Y958" t="s">
        <v>18539</v>
      </c>
      <c r="Z958" t="s">
        <v>18540</v>
      </c>
      <c r="AA958" t="s">
        <v>18541</v>
      </c>
      <c r="AB958" t="s">
        <v>18542</v>
      </c>
      <c r="AC958" t="s">
        <v>18543</v>
      </c>
      <c r="AD958" t="s">
        <v>18544</v>
      </c>
      <c r="AE958" t="s">
        <v>18545</v>
      </c>
      <c r="AF958" t="s">
        <v>74</v>
      </c>
      <c r="AG958">
        <v>13</v>
      </c>
      <c r="AH958">
        <v>1</v>
      </c>
      <c r="AI958">
        <v>2</v>
      </c>
      <c r="AJ958">
        <v>0</v>
      </c>
      <c r="AK958">
        <v>3</v>
      </c>
      <c r="AL958" t="s">
        <v>18546</v>
      </c>
      <c r="AM958" t="s">
        <v>18547</v>
      </c>
      <c r="AN958" t="s">
        <v>18548</v>
      </c>
      <c r="AO958" t="s">
        <v>18549</v>
      </c>
      <c r="AP958" t="s">
        <v>74</v>
      </c>
      <c r="AQ958" t="s">
        <v>74</v>
      </c>
      <c r="AR958" t="s">
        <v>18533</v>
      </c>
      <c r="AS958" t="s">
        <v>18550</v>
      </c>
      <c r="AT958" t="s">
        <v>5993</v>
      </c>
      <c r="AU958">
        <v>2020</v>
      </c>
      <c r="AV958">
        <v>29</v>
      </c>
      <c r="AW958">
        <v>1</v>
      </c>
      <c r="AX958" t="s">
        <v>74</v>
      </c>
      <c r="AY958" t="s">
        <v>74</v>
      </c>
      <c r="AZ958" t="s">
        <v>74</v>
      </c>
      <c r="BA958" t="s">
        <v>74</v>
      </c>
      <c r="BB958">
        <v>132</v>
      </c>
      <c r="BC958">
        <v>139</v>
      </c>
      <c r="BD958" t="s">
        <v>74</v>
      </c>
      <c r="BE958" t="s">
        <v>18551</v>
      </c>
      <c r="BF958" t="str">
        <f>HYPERLINK("http://dx.doi.org/10.13164/re.2020.0132","http://dx.doi.org/10.13164/re.2020.0132")</f>
        <v>http://dx.doi.org/10.13164/re.2020.0132</v>
      </c>
      <c r="BG958" t="s">
        <v>74</v>
      </c>
      <c r="BH958" t="s">
        <v>74</v>
      </c>
      <c r="BI958">
        <v>8</v>
      </c>
      <c r="BJ958" t="s">
        <v>18552</v>
      </c>
      <c r="BK958" t="s">
        <v>102</v>
      </c>
      <c r="BL958" t="s">
        <v>6515</v>
      </c>
      <c r="BM958" t="s">
        <v>18553</v>
      </c>
      <c r="BN958" t="s">
        <v>74</v>
      </c>
      <c r="BO958" t="s">
        <v>105</v>
      </c>
      <c r="BP958" t="s">
        <v>74</v>
      </c>
      <c r="BQ958" t="s">
        <v>74</v>
      </c>
      <c r="BR958" t="s">
        <v>106</v>
      </c>
      <c r="BS958" t="s">
        <v>18554</v>
      </c>
      <c r="BT958" t="str">
        <f>HYPERLINK("https%3A%2F%2Fwww.webofscience.com%2Fwos%2Fwoscc%2Ffull-record%2FWOS:000530038600016","View Full Record in Web of Science")</f>
        <v>View Full Record in Web of Science</v>
      </c>
    </row>
    <row r="959" spans="1:72" x14ac:dyDescent="0.15">
      <c r="A959" t="s">
        <v>72</v>
      </c>
      <c r="B959" t="s">
        <v>18555</v>
      </c>
      <c r="C959" t="s">
        <v>74</v>
      </c>
      <c r="D959" t="s">
        <v>74</v>
      </c>
      <c r="E959" t="s">
        <v>74</v>
      </c>
      <c r="F959" t="s">
        <v>18556</v>
      </c>
      <c r="G959" t="s">
        <v>74</v>
      </c>
      <c r="H959" t="s">
        <v>74</v>
      </c>
      <c r="I959" t="s">
        <v>18557</v>
      </c>
      <c r="J959" t="s">
        <v>18558</v>
      </c>
      <c r="K959" t="s">
        <v>74</v>
      </c>
      <c r="L959" t="s">
        <v>74</v>
      </c>
      <c r="M959" t="s">
        <v>78</v>
      </c>
      <c r="N959" t="s">
        <v>79</v>
      </c>
      <c r="O959" t="s">
        <v>74</v>
      </c>
      <c r="P959" t="s">
        <v>74</v>
      </c>
      <c r="Q959" t="s">
        <v>74</v>
      </c>
      <c r="R959" t="s">
        <v>74</v>
      </c>
      <c r="S959" t="s">
        <v>74</v>
      </c>
      <c r="T959" t="s">
        <v>18559</v>
      </c>
      <c r="U959" t="s">
        <v>18560</v>
      </c>
      <c r="V959" t="s">
        <v>18561</v>
      </c>
      <c r="W959" t="s">
        <v>18562</v>
      </c>
      <c r="X959" t="s">
        <v>18563</v>
      </c>
      <c r="Y959" t="s">
        <v>18564</v>
      </c>
      <c r="Z959" t="s">
        <v>18565</v>
      </c>
      <c r="AA959" t="s">
        <v>18566</v>
      </c>
      <c r="AB959" t="s">
        <v>18567</v>
      </c>
      <c r="AC959" t="s">
        <v>18568</v>
      </c>
      <c r="AD959" t="s">
        <v>18569</v>
      </c>
      <c r="AE959" t="s">
        <v>18570</v>
      </c>
      <c r="AF959" t="s">
        <v>74</v>
      </c>
      <c r="AG959">
        <v>74</v>
      </c>
      <c r="AH959">
        <v>16</v>
      </c>
      <c r="AI959">
        <v>16</v>
      </c>
      <c r="AJ959">
        <v>2</v>
      </c>
      <c r="AK959">
        <v>12</v>
      </c>
      <c r="AL959" t="s">
        <v>178</v>
      </c>
      <c r="AM959" t="s">
        <v>179</v>
      </c>
      <c r="AN959" t="s">
        <v>180</v>
      </c>
      <c r="AO959" t="s">
        <v>18571</v>
      </c>
      <c r="AP959" t="s">
        <v>18572</v>
      </c>
      <c r="AQ959" t="s">
        <v>74</v>
      </c>
      <c r="AR959" t="s">
        <v>18573</v>
      </c>
      <c r="AS959" t="s">
        <v>18574</v>
      </c>
      <c r="AT959" t="s">
        <v>5993</v>
      </c>
      <c r="AU959">
        <v>2020</v>
      </c>
      <c r="AV959">
        <v>77</v>
      </c>
      <c r="AW959">
        <v>4</v>
      </c>
      <c r="AX959" t="s">
        <v>74</v>
      </c>
      <c r="AY959" t="s">
        <v>74</v>
      </c>
      <c r="AZ959" t="s">
        <v>74</v>
      </c>
      <c r="BA959" t="s">
        <v>74</v>
      </c>
      <c r="BB959">
        <v>1295</v>
      </c>
      <c r="BC959">
        <v>1312</v>
      </c>
      <c r="BD959" t="s">
        <v>74</v>
      </c>
      <c r="BE959" t="s">
        <v>18575</v>
      </c>
      <c r="BF959" t="str">
        <f>HYPERLINK("http://dx.doi.org/10.1175/JAS-D-19-0264.1","http://dx.doi.org/10.1175/JAS-D-19-0264.1")</f>
        <v>http://dx.doi.org/10.1175/JAS-D-19-0264.1</v>
      </c>
      <c r="BG959" t="s">
        <v>74</v>
      </c>
      <c r="BH959" t="s">
        <v>74</v>
      </c>
      <c r="BI959">
        <v>18</v>
      </c>
      <c r="BJ959" t="s">
        <v>159</v>
      </c>
      <c r="BK959" t="s">
        <v>102</v>
      </c>
      <c r="BL959" t="s">
        <v>159</v>
      </c>
      <c r="BM959" t="s">
        <v>18576</v>
      </c>
      <c r="BN959" t="s">
        <v>74</v>
      </c>
      <c r="BO959" t="s">
        <v>9194</v>
      </c>
      <c r="BP959" t="s">
        <v>74</v>
      </c>
      <c r="BQ959" t="s">
        <v>74</v>
      </c>
      <c r="BR959" t="s">
        <v>106</v>
      </c>
      <c r="BS959" t="s">
        <v>18577</v>
      </c>
      <c r="BT959" t="str">
        <f>HYPERLINK("https%3A%2F%2Fwww.webofscience.com%2Fwos%2Fwoscc%2Ffull-record%2FWOS:000528754800004","View Full Record in Web of Science")</f>
        <v>View Full Record in Web of Science</v>
      </c>
    </row>
    <row r="960" spans="1:72" x14ac:dyDescent="0.15">
      <c r="A960" t="s">
        <v>72</v>
      </c>
      <c r="B960" t="s">
        <v>18578</v>
      </c>
      <c r="C960" t="s">
        <v>74</v>
      </c>
      <c r="D960" t="s">
        <v>74</v>
      </c>
      <c r="E960" t="s">
        <v>74</v>
      </c>
      <c r="F960" t="s">
        <v>18579</v>
      </c>
      <c r="G960" t="s">
        <v>74</v>
      </c>
      <c r="H960" t="s">
        <v>74</v>
      </c>
      <c r="I960" t="s">
        <v>18580</v>
      </c>
      <c r="J960" t="s">
        <v>18581</v>
      </c>
      <c r="K960" t="s">
        <v>74</v>
      </c>
      <c r="L960" t="s">
        <v>74</v>
      </c>
      <c r="M960" t="s">
        <v>78</v>
      </c>
      <c r="N960" t="s">
        <v>79</v>
      </c>
      <c r="O960" t="s">
        <v>74</v>
      </c>
      <c r="P960" t="s">
        <v>74</v>
      </c>
      <c r="Q960" t="s">
        <v>74</v>
      </c>
      <c r="R960" t="s">
        <v>74</v>
      </c>
      <c r="S960" t="s">
        <v>74</v>
      </c>
      <c r="T960" t="s">
        <v>18582</v>
      </c>
      <c r="U960" t="s">
        <v>18583</v>
      </c>
      <c r="V960" t="s">
        <v>18584</v>
      </c>
      <c r="W960" t="s">
        <v>18585</v>
      </c>
      <c r="X960" t="s">
        <v>10540</v>
      </c>
      <c r="Y960" t="s">
        <v>18586</v>
      </c>
      <c r="Z960" t="s">
        <v>18587</v>
      </c>
      <c r="AA960" t="s">
        <v>74</v>
      </c>
      <c r="AB960" t="s">
        <v>74</v>
      </c>
      <c r="AC960" t="s">
        <v>74</v>
      </c>
      <c r="AD960" t="s">
        <v>74</v>
      </c>
      <c r="AE960" t="s">
        <v>74</v>
      </c>
      <c r="AF960" t="s">
        <v>74</v>
      </c>
      <c r="AG960">
        <v>68</v>
      </c>
      <c r="AH960">
        <v>2</v>
      </c>
      <c r="AI960">
        <v>2</v>
      </c>
      <c r="AJ960">
        <v>0</v>
      </c>
      <c r="AK960">
        <v>5</v>
      </c>
      <c r="AL960" t="s">
        <v>18588</v>
      </c>
      <c r="AM960" t="s">
        <v>18589</v>
      </c>
      <c r="AN960" t="s">
        <v>18590</v>
      </c>
      <c r="AO960" t="s">
        <v>18591</v>
      </c>
      <c r="AP960" t="s">
        <v>18592</v>
      </c>
      <c r="AQ960" t="s">
        <v>74</v>
      </c>
      <c r="AR960" t="s">
        <v>18593</v>
      </c>
      <c r="AS960" t="s">
        <v>18594</v>
      </c>
      <c r="AT960" t="s">
        <v>5993</v>
      </c>
      <c r="AU960">
        <v>2020</v>
      </c>
      <c r="AV960">
        <v>48</v>
      </c>
      <c r="AW960">
        <v>1</v>
      </c>
      <c r="AX960" t="s">
        <v>74</v>
      </c>
      <c r="AY960" t="s">
        <v>74</v>
      </c>
      <c r="AZ960" t="s">
        <v>74</v>
      </c>
      <c r="BA960" t="s">
        <v>74</v>
      </c>
      <c r="BB960">
        <v>33</v>
      </c>
      <c r="BC960">
        <v>40</v>
      </c>
      <c r="BD960" t="s">
        <v>74</v>
      </c>
      <c r="BE960" t="s">
        <v>74</v>
      </c>
      <c r="BF960" t="s">
        <v>74</v>
      </c>
      <c r="BG960" t="s">
        <v>74</v>
      </c>
      <c r="BH960" t="s">
        <v>74</v>
      </c>
      <c r="BI960">
        <v>8</v>
      </c>
      <c r="BJ960" t="s">
        <v>18595</v>
      </c>
      <c r="BK960" t="s">
        <v>102</v>
      </c>
      <c r="BL960" t="s">
        <v>8022</v>
      </c>
      <c r="BM960" t="s">
        <v>18596</v>
      </c>
      <c r="BN960" t="s">
        <v>74</v>
      </c>
      <c r="BO960" t="s">
        <v>74</v>
      </c>
      <c r="BP960" t="s">
        <v>74</v>
      </c>
      <c r="BQ960" t="s">
        <v>74</v>
      </c>
      <c r="BR960" t="s">
        <v>106</v>
      </c>
      <c r="BS960" t="s">
        <v>18597</v>
      </c>
      <c r="BT960" t="str">
        <f>HYPERLINK("https%3A%2F%2Fwww.webofscience.com%2Fwos%2Fwoscc%2Ffull-record%2FWOS:000528314200006","View Full Record in Web of Science")</f>
        <v>View Full Record in Web of Science</v>
      </c>
    </row>
    <row r="961" spans="1:72" x14ac:dyDescent="0.15">
      <c r="A961" t="s">
        <v>72</v>
      </c>
      <c r="B961" t="s">
        <v>18598</v>
      </c>
      <c r="C961" t="s">
        <v>74</v>
      </c>
      <c r="D961" t="s">
        <v>74</v>
      </c>
      <c r="E961" t="s">
        <v>74</v>
      </c>
      <c r="F961" t="s">
        <v>18599</v>
      </c>
      <c r="G961" t="s">
        <v>74</v>
      </c>
      <c r="H961" t="s">
        <v>74</v>
      </c>
      <c r="I961" t="s">
        <v>18600</v>
      </c>
      <c r="J961" t="s">
        <v>5183</v>
      </c>
      <c r="K961" t="s">
        <v>74</v>
      </c>
      <c r="L961" t="s">
        <v>74</v>
      </c>
      <c r="M961" t="s">
        <v>78</v>
      </c>
      <c r="N961" t="s">
        <v>79</v>
      </c>
      <c r="O961" t="s">
        <v>74</v>
      </c>
      <c r="P961" t="s">
        <v>74</v>
      </c>
      <c r="Q961" t="s">
        <v>74</v>
      </c>
      <c r="R961" t="s">
        <v>74</v>
      </c>
      <c r="S961" t="s">
        <v>74</v>
      </c>
      <c r="T961" t="s">
        <v>18601</v>
      </c>
      <c r="U961" t="s">
        <v>18602</v>
      </c>
      <c r="V961" t="s">
        <v>18603</v>
      </c>
      <c r="W961" t="s">
        <v>18604</v>
      </c>
      <c r="X961" t="s">
        <v>18605</v>
      </c>
      <c r="Y961" t="s">
        <v>18606</v>
      </c>
      <c r="Z961" t="s">
        <v>18607</v>
      </c>
      <c r="AA961" t="s">
        <v>18608</v>
      </c>
      <c r="AB961" t="s">
        <v>18609</v>
      </c>
      <c r="AC961" t="s">
        <v>18610</v>
      </c>
      <c r="AD961" t="s">
        <v>18611</v>
      </c>
      <c r="AE961" t="s">
        <v>18612</v>
      </c>
      <c r="AF961" t="s">
        <v>74</v>
      </c>
      <c r="AG961">
        <v>37</v>
      </c>
      <c r="AH961">
        <v>4</v>
      </c>
      <c r="AI961">
        <v>4</v>
      </c>
      <c r="AJ961">
        <v>0</v>
      </c>
      <c r="AK961">
        <v>2</v>
      </c>
      <c r="AL961" t="s">
        <v>92</v>
      </c>
      <c r="AM961" t="s">
        <v>93</v>
      </c>
      <c r="AN961" t="s">
        <v>94</v>
      </c>
      <c r="AO961" t="s">
        <v>5194</v>
      </c>
      <c r="AP961" t="s">
        <v>74</v>
      </c>
      <c r="AQ961" t="s">
        <v>74</v>
      </c>
      <c r="AR961" t="s">
        <v>5195</v>
      </c>
      <c r="AS961" t="s">
        <v>5196</v>
      </c>
      <c r="AT961" t="s">
        <v>5993</v>
      </c>
      <c r="AU961">
        <v>2020</v>
      </c>
      <c r="AV961">
        <v>135</v>
      </c>
      <c r="AW961" t="s">
        <v>74</v>
      </c>
      <c r="AX961" t="s">
        <v>74</v>
      </c>
      <c r="AY961" t="s">
        <v>74</v>
      </c>
      <c r="AZ961" t="s">
        <v>74</v>
      </c>
      <c r="BA961" t="s">
        <v>74</v>
      </c>
      <c r="BB961" t="s">
        <v>74</v>
      </c>
      <c r="BC961" t="s">
        <v>74</v>
      </c>
      <c r="BD961">
        <v>101695</v>
      </c>
      <c r="BE961" t="s">
        <v>18613</v>
      </c>
      <c r="BF961" t="str">
        <f>HYPERLINK("http://dx.doi.org/10.1016/j.jog.2020.101695","http://dx.doi.org/10.1016/j.jog.2020.101695")</f>
        <v>http://dx.doi.org/10.1016/j.jog.2020.101695</v>
      </c>
      <c r="BG961" t="s">
        <v>74</v>
      </c>
      <c r="BH961" t="s">
        <v>74</v>
      </c>
      <c r="BI961">
        <v>14</v>
      </c>
      <c r="BJ961" t="s">
        <v>131</v>
      </c>
      <c r="BK961" t="s">
        <v>102</v>
      </c>
      <c r="BL961" t="s">
        <v>131</v>
      </c>
      <c r="BM961" t="s">
        <v>18614</v>
      </c>
      <c r="BN961" t="s">
        <v>74</v>
      </c>
      <c r="BO961" t="s">
        <v>491</v>
      </c>
      <c r="BP961" t="s">
        <v>74</v>
      </c>
      <c r="BQ961" t="s">
        <v>74</v>
      </c>
      <c r="BR961" t="s">
        <v>106</v>
      </c>
      <c r="BS961" t="s">
        <v>18615</v>
      </c>
      <c r="BT961" t="str">
        <f>HYPERLINK("https%3A%2F%2Fwww.webofscience.com%2Fwos%2Fwoscc%2Ffull-record%2FWOS:000528012200002","View Full Record in Web of Science")</f>
        <v>View Full Record in Web of Science</v>
      </c>
    </row>
    <row r="962" spans="1:72" x14ac:dyDescent="0.15">
      <c r="A962" t="s">
        <v>72</v>
      </c>
      <c r="B962" t="s">
        <v>18616</v>
      </c>
      <c r="C962" t="s">
        <v>74</v>
      </c>
      <c r="D962" t="s">
        <v>74</v>
      </c>
      <c r="E962" t="s">
        <v>74</v>
      </c>
      <c r="F962" t="s">
        <v>18617</v>
      </c>
      <c r="G962" t="s">
        <v>74</v>
      </c>
      <c r="H962" t="s">
        <v>74</v>
      </c>
      <c r="I962" t="s">
        <v>18618</v>
      </c>
      <c r="J962" t="s">
        <v>719</v>
      </c>
      <c r="K962" t="s">
        <v>74</v>
      </c>
      <c r="L962" t="s">
        <v>74</v>
      </c>
      <c r="M962" t="s">
        <v>78</v>
      </c>
      <c r="N962" t="s">
        <v>79</v>
      </c>
      <c r="O962" t="s">
        <v>74</v>
      </c>
      <c r="P962" t="s">
        <v>74</v>
      </c>
      <c r="Q962" t="s">
        <v>74</v>
      </c>
      <c r="R962" t="s">
        <v>74</v>
      </c>
      <c r="S962" t="s">
        <v>74</v>
      </c>
      <c r="T962" t="s">
        <v>18619</v>
      </c>
      <c r="U962" t="s">
        <v>18620</v>
      </c>
      <c r="V962" t="s">
        <v>18621</v>
      </c>
      <c r="W962" t="s">
        <v>18622</v>
      </c>
      <c r="X962" t="s">
        <v>18623</v>
      </c>
      <c r="Y962" t="s">
        <v>18624</v>
      </c>
      <c r="Z962" t="s">
        <v>18625</v>
      </c>
      <c r="AA962" t="s">
        <v>18626</v>
      </c>
      <c r="AB962" t="s">
        <v>18627</v>
      </c>
      <c r="AC962" t="s">
        <v>18628</v>
      </c>
      <c r="AD962" t="s">
        <v>18629</v>
      </c>
      <c r="AE962" t="s">
        <v>18630</v>
      </c>
      <c r="AF962" t="s">
        <v>74</v>
      </c>
      <c r="AG962">
        <v>24</v>
      </c>
      <c r="AH962">
        <v>4</v>
      </c>
      <c r="AI962">
        <v>5</v>
      </c>
      <c r="AJ962">
        <v>0</v>
      </c>
      <c r="AK962">
        <v>2</v>
      </c>
      <c r="AL962" t="s">
        <v>92</v>
      </c>
      <c r="AM962" t="s">
        <v>93</v>
      </c>
      <c r="AN962" t="s">
        <v>94</v>
      </c>
      <c r="AO962" t="s">
        <v>731</v>
      </c>
      <c r="AP962" t="s">
        <v>74</v>
      </c>
      <c r="AQ962" t="s">
        <v>74</v>
      </c>
      <c r="AR962" t="s">
        <v>733</v>
      </c>
      <c r="AS962" t="s">
        <v>734</v>
      </c>
      <c r="AT962" t="s">
        <v>5993</v>
      </c>
      <c r="AU962">
        <v>2020</v>
      </c>
      <c r="AV962">
        <v>99</v>
      </c>
      <c r="AW962" t="s">
        <v>74</v>
      </c>
      <c r="AX962" t="s">
        <v>74</v>
      </c>
      <c r="AY962" t="s">
        <v>74</v>
      </c>
      <c r="AZ962" t="s">
        <v>74</v>
      </c>
      <c r="BA962" t="s">
        <v>74</v>
      </c>
      <c r="BB962" t="s">
        <v>74</v>
      </c>
      <c r="BC962" t="s">
        <v>74</v>
      </c>
      <c r="BD962">
        <v>102504</v>
      </c>
      <c r="BE962" t="s">
        <v>18631</v>
      </c>
      <c r="BF962" t="str">
        <f>HYPERLINK("http://dx.doi.org/10.1016/j.jsames.2020.102504","http://dx.doi.org/10.1016/j.jsames.2020.102504")</f>
        <v>http://dx.doi.org/10.1016/j.jsames.2020.102504</v>
      </c>
      <c r="BG962" t="s">
        <v>74</v>
      </c>
      <c r="BH962" t="s">
        <v>74</v>
      </c>
      <c r="BI962">
        <v>4</v>
      </c>
      <c r="BJ962" t="s">
        <v>471</v>
      </c>
      <c r="BK962" t="s">
        <v>102</v>
      </c>
      <c r="BL962" t="s">
        <v>472</v>
      </c>
      <c r="BM962" t="s">
        <v>18632</v>
      </c>
      <c r="BN962" t="s">
        <v>74</v>
      </c>
      <c r="BO962" t="s">
        <v>74</v>
      </c>
      <c r="BP962" t="s">
        <v>74</v>
      </c>
      <c r="BQ962" t="s">
        <v>74</v>
      </c>
      <c r="BR962" t="s">
        <v>106</v>
      </c>
      <c r="BS962" t="s">
        <v>18633</v>
      </c>
      <c r="BT962" t="str">
        <f>HYPERLINK("https%3A%2F%2Fwww.webofscience.com%2Fwos%2Fwoscc%2Ffull-record%2FWOS:000528182600002","View Full Record in Web of Science")</f>
        <v>View Full Record in Web of Science</v>
      </c>
    </row>
    <row r="963" spans="1:72" x14ac:dyDescent="0.15">
      <c r="A963" t="s">
        <v>72</v>
      </c>
      <c r="B963" t="s">
        <v>18634</v>
      </c>
      <c r="C963" t="s">
        <v>74</v>
      </c>
      <c r="D963" t="s">
        <v>74</v>
      </c>
      <c r="E963" t="s">
        <v>74</v>
      </c>
      <c r="F963" t="s">
        <v>18635</v>
      </c>
      <c r="G963" t="s">
        <v>74</v>
      </c>
      <c r="H963" t="s">
        <v>74</v>
      </c>
      <c r="I963" t="s">
        <v>18636</v>
      </c>
      <c r="J963" t="s">
        <v>719</v>
      </c>
      <c r="K963" t="s">
        <v>74</v>
      </c>
      <c r="L963" t="s">
        <v>74</v>
      </c>
      <c r="M963" t="s">
        <v>78</v>
      </c>
      <c r="N963" t="s">
        <v>79</v>
      </c>
      <c r="O963" t="s">
        <v>74</v>
      </c>
      <c r="P963" t="s">
        <v>74</v>
      </c>
      <c r="Q963" t="s">
        <v>74</v>
      </c>
      <c r="R963" t="s">
        <v>74</v>
      </c>
      <c r="S963" t="s">
        <v>74</v>
      </c>
      <c r="T963" t="s">
        <v>18637</v>
      </c>
      <c r="U963" t="s">
        <v>18638</v>
      </c>
      <c r="V963" t="s">
        <v>18639</v>
      </c>
      <c r="W963" t="s">
        <v>18640</v>
      </c>
      <c r="X963" t="s">
        <v>18641</v>
      </c>
      <c r="Y963" t="s">
        <v>18642</v>
      </c>
      <c r="Z963" t="s">
        <v>18643</v>
      </c>
      <c r="AA963" t="s">
        <v>18644</v>
      </c>
      <c r="AB963" t="s">
        <v>18645</v>
      </c>
      <c r="AC963" t="s">
        <v>18646</v>
      </c>
      <c r="AD963" t="s">
        <v>18646</v>
      </c>
      <c r="AE963" t="s">
        <v>18647</v>
      </c>
      <c r="AF963" t="s">
        <v>74</v>
      </c>
      <c r="AG963">
        <v>89</v>
      </c>
      <c r="AH963">
        <v>21</v>
      </c>
      <c r="AI963">
        <v>21</v>
      </c>
      <c r="AJ963">
        <v>0</v>
      </c>
      <c r="AK963">
        <v>38</v>
      </c>
      <c r="AL963" t="s">
        <v>92</v>
      </c>
      <c r="AM963" t="s">
        <v>93</v>
      </c>
      <c r="AN963" t="s">
        <v>94</v>
      </c>
      <c r="AO963" t="s">
        <v>731</v>
      </c>
      <c r="AP963" t="s">
        <v>74</v>
      </c>
      <c r="AQ963" t="s">
        <v>74</v>
      </c>
      <c r="AR963" t="s">
        <v>733</v>
      </c>
      <c r="AS963" t="s">
        <v>734</v>
      </c>
      <c r="AT963" t="s">
        <v>5993</v>
      </c>
      <c r="AU963">
        <v>2020</v>
      </c>
      <c r="AV963">
        <v>99</v>
      </c>
      <c r="AW963" t="s">
        <v>74</v>
      </c>
      <c r="AX963" t="s">
        <v>74</v>
      </c>
      <c r="AY963" t="s">
        <v>74</v>
      </c>
      <c r="AZ963" t="s">
        <v>74</v>
      </c>
      <c r="BA963" t="s">
        <v>74</v>
      </c>
      <c r="BB963" t="s">
        <v>74</v>
      </c>
      <c r="BC963" t="s">
        <v>74</v>
      </c>
      <c r="BD963">
        <v>102514</v>
      </c>
      <c r="BE963" t="s">
        <v>18648</v>
      </c>
      <c r="BF963" t="str">
        <f>HYPERLINK("http://dx.doi.org/10.1016/j.jsames.2020.102514","http://dx.doi.org/10.1016/j.jsames.2020.102514")</f>
        <v>http://dx.doi.org/10.1016/j.jsames.2020.102514</v>
      </c>
      <c r="BG963" t="s">
        <v>74</v>
      </c>
      <c r="BH963" t="s">
        <v>74</v>
      </c>
      <c r="BI963">
        <v>11</v>
      </c>
      <c r="BJ963" t="s">
        <v>471</v>
      </c>
      <c r="BK963" t="s">
        <v>102</v>
      </c>
      <c r="BL963" t="s">
        <v>472</v>
      </c>
      <c r="BM963" t="s">
        <v>18632</v>
      </c>
      <c r="BN963" t="s">
        <v>74</v>
      </c>
      <c r="BO963" t="s">
        <v>74</v>
      </c>
      <c r="BP963" t="s">
        <v>74</v>
      </c>
      <c r="BQ963" t="s">
        <v>74</v>
      </c>
      <c r="BR963" t="s">
        <v>106</v>
      </c>
      <c r="BS963" t="s">
        <v>18649</v>
      </c>
      <c r="BT963" t="str">
        <f>HYPERLINK("https%3A%2F%2Fwww.webofscience.com%2Fwos%2Fwoscc%2Ffull-record%2FWOS:000528182600031","View Full Record in Web of Science")</f>
        <v>View Full Record in Web of Science</v>
      </c>
    </row>
    <row r="964" spans="1:72" x14ac:dyDescent="0.15">
      <c r="A964" t="s">
        <v>72</v>
      </c>
      <c r="B964" t="s">
        <v>18650</v>
      </c>
      <c r="C964" t="s">
        <v>74</v>
      </c>
      <c r="D964" t="s">
        <v>74</v>
      </c>
      <c r="E964" t="s">
        <v>74</v>
      </c>
      <c r="F964" t="s">
        <v>18651</v>
      </c>
      <c r="G964" t="s">
        <v>74</v>
      </c>
      <c r="H964" t="s">
        <v>74</v>
      </c>
      <c r="I964" t="s">
        <v>18652</v>
      </c>
      <c r="J964" t="s">
        <v>719</v>
      </c>
      <c r="K964" t="s">
        <v>74</v>
      </c>
      <c r="L964" t="s">
        <v>74</v>
      </c>
      <c r="M964" t="s">
        <v>78</v>
      </c>
      <c r="N964" t="s">
        <v>79</v>
      </c>
      <c r="O964" t="s">
        <v>74</v>
      </c>
      <c r="P964" t="s">
        <v>74</v>
      </c>
      <c r="Q964" t="s">
        <v>74</v>
      </c>
      <c r="R964" t="s">
        <v>74</v>
      </c>
      <c r="S964" t="s">
        <v>74</v>
      </c>
      <c r="T964" t="s">
        <v>18653</v>
      </c>
      <c r="U964" t="s">
        <v>18654</v>
      </c>
      <c r="V964" t="s">
        <v>18655</v>
      </c>
      <c r="W964" t="s">
        <v>18656</v>
      </c>
      <c r="X964" t="s">
        <v>18657</v>
      </c>
      <c r="Y964" t="s">
        <v>18658</v>
      </c>
      <c r="Z964" t="s">
        <v>18659</v>
      </c>
      <c r="AA964" t="s">
        <v>74</v>
      </c>
      <c r="AB964" t="s">
        <v>18660</v>
      </c>
      <c r="AC964" t="s">
        <v>18661</v>
      </c>
      <c r="AD964" t="s">
        <v>18662</v>
      </c>
      <c r="AE964" t="s">
        <v>18663</v>
      </c>
      <c r="AF964" t="s">
        <v>74</v>
      </c>
      <c r="AG964">
        <v>244</v>
      </c>
      <c r="AH964">
        <v>8</v>
      </c>
      <c r="AI964">
        <v>8</v>
      </c>
      <c r="AJ964">
        <v>0</v>
      </c>
      <c r="AK964">
        <v>8</v>
      </c>
      <c r="AL964" t="s">
        <v>92</v>
      </c>
      <c r="AM964" t="s">
        <v>93</v>
      </c>
      <c r="AN964" t="s">
        <v>94</v>
      </c>
      <c r="AO964" t="s">
        <v>731</v>
      </c>
      <c r="AP964" t="s">
        <v>74</v>
      </c>
      <c r="AQ964" t="s">
        <v>74</v>
      </c>
      <c r="AR964" t="s">
        <v>733</v>
      </c>
      <c r="AS964" t="s">
        <v>734</v>
      </c>
      <c r="AT964" t="s">
        <v>5993</v>
      </c>
      <c r="AU964">
        <v>2020</v>
      </c>
      <c r="AV964">
        <v>99</v>
      </c>
      <c r="AW964" t="s">
        <v>74</v>
      </c>
      <c r="AX964" t="s">
        <v>74</v>
      </c>
      <c r="AY964" t="s">
        <v>74</v>
      </c>
      <c r="AZ964" t="s">
        <v>74</v>
      </c>
      <c r="BA964" t="s">
        <v>74</v>
      </c>
      <c r="BB964" t="s">
        <v>74</v>
      </c>
      <c r="BC964" t="s">
        <v>74</v>
      </c>
      <c r="BD964">
        <v>102511</v>
      </c>
      <c r="BE964" t="s">
        <v>18664</v>
      </c>
      <c r="BF964" t="str">
        <f>HYPERLINK("http://dx.doi.org/10.1016/j.jsames.2020.102511","http://dx.doi.org/10.1016/j.jsames.2020.102511")</f>
        <v>http://dx.doi.org/10.1016/j.jsames.2020.102511</v>
      </c>
      <c r="BG964" t="s">
        <v>74</v>
      </c>
      <c r="BH964" t="s">
        <v>74</v>
      </c>
      <c r="BI964">
        <v>24</v>
      </c>
      <c r="BJ964" t="s">
        <v>471</v>
      </c>
      <c r="BK964" t="s">
        <v>102</v>
      </c>
      <c r="BL964" t="s">
        <v>472</v>
      </c>
      <c r="BM964" t="s">
        <v>18632</v>
      </c>
      <c r="BN964" t="s">
        <v>74</v>
      </c>
      <c r="BO964" t="s">
        <v>74</v>
      </c>
      <c r="BP964" t="s">
        <v>74</v>
      </c>
      <c r="BQ964" t="s">
        <v>74</v>
      </c>
      <c r="BR964" t="s">
        <v>106</v>
      </c>
      <c r="BS964" t="s">
        <v>18665</v>
      </c>
      <c r="BT964" t="str">
        <f>HYPERLINK("https%3A%2F%2Fwww.webofscience.com%2Fwos%2Fwoscc%2Ffull-record%2FWOS:000528182600022","View Full Record in Web of Science")</f>
        <v>View Full Record in Web of Science</v>
      </c>
    </row>
    <row r="965" spans="1:72" x14ac:dyDescent="0.15">
      <c r="A965" t="s">
        <v>72</v>
      </c>
      <c r="B965" t="s">
        <v>18666</v>
      </c>
      <c r="C965" t="s">
        <v>74</v>
      </c>
      <c r="D965" t="s">
        <v>74</v>
      </c>
      <c r="E965" t="s">
        <v>74</v>
      </c>
      <c r="F965" t="s">
        <v>18667</v>
      </c>
      <c r="G965" t="s">
        <v>74</v>
      </c>
      <c r="H965" t="s">
        <v>74</v>
      </c>
      <c r="I965" t="s">
        <v>18668</v>
      </c>
      <c r="J965" t="s">
        <v>5294</v>
      </c>
      <c r="K965" t="s">
        <v>74</v>
      </c>
      <c r="L965" t="s">
        <v>74</v>
      </c>
      <c r="M965" t="s">
        <v>78</v>
      </c>
      <c r="N965" t="s">
        <v>79</v>
      </c>
      <c r="O965" t="s">
        <v>74</v>
      </c>
      <c r="P965" t="s">
        <v>74</v>
      </c>
      <c r="Q965" t="s">
        <v>74</v>
      </c>
      <c r="R965" t="s">
        <v>74</v>
      </c>
      <c r="S965" t="s">
        <v>74</v>
      </c>
      <c r="T965" t="s">
        <v>18669</v>
      </c>
      <c r="U965" t="s">
        <v>18670</v>
      </c>
      <c r="V965" t="s">
        <v>18671</v>
      </c>
      <c r="W965" t="s">
        <v>18672</v>
      </c>
      <c r="X965" t="s">
        <v>18673</v>
      </c>
      <c r="Y965" t="s">
        <v>18674</v>
      </c>
      <c r="Z965" t="s">
        <v>18675</v>
      </c>
      <c r="AA965" t="s">
        <v>18676</v>
      </c>
      <c r="AB965" t="s">
        <v>18677</v>
      </c>
      <c r="AC965" t="s">
        <v>18678</v>
      </c>
      <c r="AD965" t="s">
        <v>18678</v>
      </c>
      <c r="AE965" t="s">
        <v>18679</v>
      </c>
      <c r="AF965" t="s">
        <v>74</v>
      </c>
      <c r="AG965">
        <v>70</v>
      </c>
      <c r="AH965">
        <v>25</v>
      </c>
      <c r="AI965">
        <v>31</v>
      </c>
      <c r="AJ965">
        <v>10</v>
      </c>
      <c r="AK965">
        <v>93</v>
      </c>
      <c r="AL965" t="s">
        <v>578</v>
      </c>
      <c r="AM965" t="s">
        <v>93</v>
      </c>
      <c r="AN965" t="s">
        <v>579</v>
      </c>
      <c r="AO965" t="s">
        <v>5307</v>
      </c>
      <c r="AP965" t="s">
        <v>5308</v>
      </c>
      <c r="AQ965" t="s">
        <v>74</v>
      </c>
      <c r="AR965" t="s">
        <v>5309</v>
      </c>
      <c r="AS965" t="s">
        <v>5310</v>
      </c>
      <c r="AT965" t="s">
        <v>5993</v>
      </c>
      <c r="AU965">
        <v>2020</v>
      </c>
      <c r="AV965">
        <v>244</v>
      </c>
      <c r="AW965" t="s">
        <v>74</v>
      </c>
      <c r="AX965" t="s">
        <v>74</v>
      </c>
      <c r="AY965" t="s">
        <v>74</v>
      </c>
      <c r="AZ965" t="s">
        <v>74</v>
      </c>
      <c r="BA965" t="s">
        <v>74</v>
      </c>
      <c r="BB965" t="s">
        <v>74</v>
      </c>
      <c r="BC965" t="s">
        <v>74</v>
      </c>
      <c r="BD965">
        <v>108423</v>
      </c>
      <c r="BE965" t="s">
        <v>18680</v>
      </c>
      <c r="BF965" t="str">
        <f>HYPERLINK("http://dx.doi.org/10.1016/j.biocon.2020.108423","http://dx.doi.org/10.1016/j.biocon.2020.108423")</f>
        <v>http://dx.doi.org/10.1016/j.biocon.2020.108423</v>
      </c>
      <c r="BG965" t="s">
        <v>74</v>
      </c>
      <c r="BH965" t="s">
        <v>74</v>
      </c>
      <c r="BI965">
        <v>8</v>
      </c>
      <c r="BJ965" t="s">
        <v>1375</v>
      </c>
      <c r="BK965" t="s">
        <v>102</v>
      </c>
      <c r="BL965" t="s">
        <v>1005</v>
      </c>
      <c r="BM965" t="s">
        <v>18681</v>
      </c>
      <c r="BN965" t="s">
        <v>74</v>
      </c>
      <c r="BO965" t="s">
        <v>319</v>
      </c>
      <c r="BP965" t="s">
        <v>74</v>
      </c>
      <c r="BQ965" t="s">
        <v>74</v>
      </c>
      <c r="BR965" t="s">
        <v>106</v>
      </c>
      <c r="BS965" t="s">
        <v>18682</v>
      </c>
      <c r="BT965" t="str">
        <f>HYPERLINK("https%3A%2F%2Fwww.webofscience.com%2Fwos%2Fwoscc%2Ffull-record%2FWOS:000526787400010","View Full Record in Web of Science")</f>
        <v>View Full Record in Web of Science</v>
      </c>
    </row>
    <row r="966" spans="1:72" x14ac:dyDescent="0.15">
      <c r="A966" t="s">
        <v>72</v>
      </c>
      <c r="B966" t="s">
        <v>18683</v>
      </c>
      <c r="C966" t="s">
        <v>74</v>
      </c>
      <c r="D966" t="s">
        <v>74</v>
      </c>
      <c r="E966" t="s">
        <v>74</v>
      </c>
      <c r="F966" t="s">
        <v>18684</v>
      </c>
      <c r="G966" t="s">
        <v>74</v>
      </c>
      <c r="H966" t="s">
        <v>74</v>
      </c>
      <c r="I966" t="s">
        <v>18685</v>
      </c>
      <c r="J966" t="s">
        <v>18686</v>
      </c>
      <c r="K966" t="s">
        <v>74</v>
      </c>
      <c r="L966" t="s">
        <v>74</v>
      </c>
      <c r="M966" t="s">
        <v>78</v>
      </c>
      <c r="N966" t="s">
        <v>79</v>
      </c>
      <c r="O966" t="s">
        <v>74</v>
      </c>
      <c r="P966" t="s">
        <v>74</v>
      </c>
      <c r="Q966" t="s">
        <v>74</v>
      </c>
      <c r="R966" t="s">
        <v>74</v>
      </c>
      <c r="S966" t="s">
        <v>74</v>
      </c>
      <c r="T966" t="s">
        <v>18687</v>
      </c>
      <c r="U966" t="s">
        <v>18688</v>
      </c>
      <c r="V966" t="s">
        <v>18689</v>
      </c>
      <c r="W966" t="s">
        <v>18690</v>
      </c>
      <c r="X966" t="s">
        <v>18691</v>
      </c>
      <c r="Y966" t="s">
        <v>18692</v>
      </c>
      <c r="Z966" t="s">
        <v>18693</v>
      </c>
      <c r="AA966" t="s">
        <v>18694</v>
      </c>
      <c r="AB966" t="s">
        <v>18695</v>
      </c>
      <c r="AC966" t="s">
        <v>18696</v>
      </c>
      <c r="AD966" t="s">
        <v>18697</v>
      </c>
      <c r="AE966" t="s">
        <v>18698</v>
      </c>
      <c r="AF966" t="s">
        <v>74</v>
      </c>
      <c r="AG966">
        <v>22</v>
      </c>
      <c r="AH966">
        <v>10</v>
      </c>
      <c r="AI966">
        <v>10</v>
      </c>
      <c r="AJ966">
        <v>0</v>
      </c>
      <c r="AK966">
        <v>6</v>
      </c>
      <c r="AL966" t="s">
        <v>18699</v>
      </c>
      <c r="AM966" t="s">
        <v>18700</v>
      </c>
      <c r="AN966" t="s">
        <v>18701</v>
      </c>
      <c r="AO966" t="s">
        <v>18702</v>
      </c>
      <c r="AP966" t="s">
        <v>74</v>
      </c>
      <c r="AQ966" t="s">
        <v>74</v>
      </c>
      <c r="AR966" t="s">
        <v>18703</v>
      </c>
      <c r="AS966" t="s">
        <v>18704</v>
      </c>
      <c r="AT966" t="s">
        <v>5993</v>
      </c>
      <c r="AU966">
        <v>2020</v>
      </c>
      <c r="AV966">
        <v>21</v>
      </c>
      <c r="AW966">
        <v>3</v>
      </c>
      <c r="AX966" t="s">
        <v>74</v>
      </c>
      <c r="AY966" t="s">
        <v>74</v>
      </c>
      <c r="AZ966" t="s">
        <v>74</v>
      </c>
      <c r="BA966" t="s">
        <v>74</v>
      </c>
      <c r="BB966">
        <v>143</v>
      </c>
      <c r="BC966">
        <v>152</v>
      </c>
      <c r="BD966" t="s">
        <v>74</v>
      </c>
      <c r="BE966" t="s">
        <v>18705</v>
      </c>
      <c r="BF966" t="str">
        <f>HYPERLINK("http://dx.doi.org/10.12911/22998993/118286","http://dx.doi.org/10.12911/22998993/118286")</f>
        <v>http://dx.doi.org/10.12911/22998993/118286</v>
      </c>
      <c r="BG966" t="s">
        <v>74</v>
      </c>
      <c r="BH966" t="s">
        <v>74</v>
      </c>
      <c r="BI966">
        <v>10</v>
      </c>
      <c r="BJ966" t="s">
        <v>18706</v>
      </c>
      <c r="BK966" t="s">
        <v>3838</v>
      </c>
      <c r="BL966" t="s">
        <v>6515</v>
      </c>
      <c r="BM966" t="s">
        <v>18707</v>
      </c>
      <c r="BN966" t="s">
        <v>74</v>
      </c>
      <c r="BO966" t="s">
        <v>1352</v>
      </c>
      <c r="BP966" t="s">
        <v>74</v>
      </c>
      <c r="BQ966" t="s">
        <v>74</v>
      </c>
      <c r="BR966" t="s">
        <v>106</v>
      </c>
      <c r="BS966" t="s">
        <v>18708</v>
      </c>
      <c r="BT966" t="str">
        <f>HYPERLINK("https%3A%2F%2Fwww.webofscience.com%2Fwos%2Fwoscc%2Ffull-record%2FWOS:000526862500018","View Full Record in Web of Science")</f>
        <v>View Full Record in Web of Science</v>
      </c>
    </row>
    <row r="967" spans="1:72" x14ac:dyDescent="0.15">
      <c r="A967" t="s">
        <v>72</v>
      </c>
      <c r="B967" t="s">
        <v>18709</v>
      </c>
      <c r="C967" t="s">
        <v>74</v>
      </c>
      <c r="D967" t="s">
        <v>74</v>
      </c>
      <c r="E967" t="s">
        <v>74</v>
      </c>
      <c r="F967" t="s">
        <v>18710</v>
      </c>
      <c r="G967" t="s">
        <v>74</v>
      </c>
      <c r="H967" t="s">
        <v>74</v>
      </c>
      <c r="I967" t="s">
        <v>18711</v>
      </c>
      <c r="J967" t="s">
        <v>5023</v>
      </c>
      <c r="K967" t="s">
        <v>74</v>
      </c>
      <c r="L967" t="s">
        <v>74</v>
      </c>
      <c r="M967" t="s">
        <v>78</v>
      </c>
      <c r="N967" t="s">
        <v>79</v>
      </c>
      <c r="O967" t="s">
        <v>74</v>
      </c>
      <c r="P967" t="s">
        <v>74</v>
      </c>
      <c r="Q967" t="s">
        <v>74</v>
      </c>
      <c r="R967" t="s">
        <v>74</v>
      </c>
      <c r="S967" t="s">
        <v>74</v>
      </c>
      <c r="T967" t="s">
        <v>18712</v>
      </c>
      <c r="U967" t="s">
        <v>18713</v>
      </c>
      <c r="V967" t="s">
        <v>18714</v>
      </c>
      <c r="W967" t="s">
        <v>18715</v>
      </c>
      <c r="X967" t="s">
        <v>18716</v>
      </c>
      <c r="Y967" t="s">
        <v>18717</v>
      </c>
      <c r="Z967" t="s">
        <v>18718</v>
      </c>
      <c r="AA967" t="s">
        <v>18719</v>
      </c>
      <c r="AB967" t="s">
        <v>18720</v>
      </c>
      <c r="AC967" t="s">
        <v>18721</v>
      </c>
      <c r="AD967" t="s">
        <v>1860</v>
      </c>
      <c r="AE967" t="s">
        <v>18722</v>
      </c>
      <c r="AF967" t="s">
        <v>74</v>
      </c>
      <c r="AG967">
        <v>59</v>
      </c>
      <c r="AH967">
        <v>12</v>
      </c>
      <c r="AI967">
        <v>12</v>
      </c>
      <c r="AJ967">
        <v>1</v>
      </c>
      <c r="AK967">
        <v>17</v>
      </c>
      <c r="AL967" t="s">
        <v>178</v>
      </c>
      <c r="AM967" t="s">
        <v>179</v>
      </c>
      <c r="AN967" t="s">
        <v>180</v>
      </c>
      <c r="AO967" t="s">
        <v>5035</v>
      </c>
      <c r="AP967" t="s">
        <v>5036</v>
      </c>
      <c r="AQ967" t="s">
        <v>74</v>
      </c>
      <c r="AR967" t="s">
        <v>5037</v>
      </c>
      <c r="AS967" t="s">
        <v>5038</v>
      </c>
      <c r="AT967" t="s">
        <v>5993</v>
      </c>
      <c r="AU967">
        <v>2020</v>
      </c>
      <c r="AV967">
        <v>33</v>
      </c>
      <c r="AW967">
        <v>8</v>
      </c>
      <c r="AX967" t="s">
        <v>74</v>
      </c>
      <c r="AY967" t="s">
        <v>74</v>
      </c>
      <c r="AZ967" t="s">
        <v>74</v>
      </c>
      <c r="BA967" t="s">
        <v>74</v>
      </c>
      <c r="BB967">
        <v>3125</v>
      </c>
      <c r="BC967">
        <v>3149</v>
      </c>
      <c r="BD967" t="s">
        <v>74</v>
      </c>
      <c r="BE967" t="s">
        <v>18723</v>
      </c>
      <c r="BF967" t="str">
        <f>HYPERLINK("http://dx.doi.org/10.1175/JCLI-D-19-0546.1","http://dx.doi.org/10.1175/JCLI-D-19-0546.1")</f>
        <v>http://dx.doi.org/10.1175/JCLI-D-19-0546.1</v>
      </c>
      <c r="BG967" t="s">
        <v>74</v>
      </c>
      <c r="BH967" t="s">
        <v>74</v>
      </c>
      <c r="BI967">
        <v>25</v>
      </c>
      <c r="BJ967" t="s">
        <v>159</v>
      </c>
      <c r="BK967" t="s">
        <v>102</v>
      </c>
      <c r="BL967" t="s">
        <v>159</v>
      </c>
      <c r="BM967" t="s">
        <v>18724</v>
      </c>
      <c r="BN967" t="s">
        <v>74</v>
      </c>
      <c r="BO967" t="s">
        <v>5178</v>
      </c>
      <c r="BP967" t="s">
        <v>74</v>
      </c>
      <c r="BQ967" t="s">
        <v>74</v>
      </c>
      <c r="BR967" t="s">
        <v>106</v>
      </c>
      <c r="BS967" t="s">
        <v>18725</v>
      </c>
      <c r="BT967" t="str">
        <f>HYPERLINK("https%3A%2F%2Fwww.webofscience.com%2Fwos%2Fwoscc%2Ffull-record%2FWOS:000526576700001","View Full Record in Web of Science")</f>
        <v>View Full Record in Web of Science</v>
      </c>
    </row>
    <row r="968" spans="1:72" x14ac:dyDescent="0.15">
      <c r="A968" t="s">
        <v>72</v>
      </c>
      <c r="B968" t="s">
        <v>18726</v>
      </c>
      <c r="C968" t="s">
        <v>74</v>
      </c>
      <c r="D968" t="s">
        <v>74</v>
      </c>
      <c r="E968" t="s">
        <v>74</v>
      </c>
      <c r="F968" t="s">
        <v>18727</v>
      </c>
      <c r="G968" t="s">
        <v>74</v>
      </c>
      <c r="H968" t="s">
        <v>74</v>
      </c>
      <c r="I968" t="s">
        <v>18728</v>
      </c>
      <c r="J968" t="s">
        <v>5023</v>
      </c>
      <c r="K968" t="s">
        <v>74</v>
      </c>
      <c r="L968" t="s">
        <v>74</v>
      </c>
      <c r="M968" t="s">
        <v>78</v>
      </c>
      <c r="N968" t="s">
        <v>79</v>
      </c>
      <c r="O968" t="s">
        <v>74</v>
      </c>
      <c r="P968" t="s">
        <v>74</v>
      </c>
      <c r="Q968" t="s">
        <v>74</v>
      </c>
      <c r="R968" t="s">
        <v>74</v>
      </c>
      <c r="S968" t="s">
        <v>74</v>
      </c>
      <c r="T968" t="s">
        <v>18729</v>
      </c>
      <c r="U968" t="s">
        <v>18730</v>
      </c>
      <c r="V968" t="s">
        <v>18731</v>
      </c>
      <c r="W968" t="s">
        <v>18732</v>
      </c>
      <c r="X968" t="s">
        <v>12801</v>
      </c>
      <c r="Y968" t="s">
        <v>18733</v>
      </c>
      <c r="Z968" t="s">
        <v>18734</v>
      </c>
      <c r="AA968" t="s">
        <v>18735</v>
      </c>
      <c r="AB968" t="s">
        <v>18736</v>
      </c>
      <c r="AC968" t="s">
        <v>18737</v>
      </c>
      <c r="AD968" t="s">
        <v>18738</v>
      </c>
      <c r="AE968" t="s">
        <v>18739</v>
      </c>
      <c r="AF968" t="s">
        <v>74</v>
      </c>
      <c r="AG968">
        <v>65</v>
      </c>
      <c r="AH968">
        <v>3</v>
      </c>
      <c r="AI968">
        <v>3</v>
      </c>
      <c r="AJ968">
        <v>0</v>
      </c>
      <c r="AK968">
        <v>0</v>
      </c>
      <c r="AL968" t="s">
        <v>178</v>
      </c>
      <c r="AM968" t="s">
        <v>179</v>
      </c>
      <c r="AN968" t="s">
        <v>5057</v>
      </c>
      <c r="AO968" t="s">
        <v>5035</v>
      </c>
      <c r="AP968" t="s">
        <v>5036</v>
      </c>
      <c r="AQ968" t="s">
        <v>74</v>
      </c>
      <c r="AR968" t="s">
        <v>5037</v>
      </c>
      <c r="AS968" t="s">
        <v>5038</v>
      </c>
      <c r="AT968" t="s">
        <v>5993</v>
      </c>
      <c r="AU968">
        <v>2020</v>
      </c>
      <c r="AV968">
        <v>33</v>
      </c>
      <c r="AW968">
        <v>7</v>
      </c>
      <c r="AX968" t="s">
        <v>74</v>
      </c>
      <c r="AY968" t="s">
        <v>74</v>
      </c>
      <c r="AZ968" t="s">
        <v>74</v>
      </c>
      <c r="BA968" t="s">
        <v>74</v>
      </c>
      <c r="BB968">
        <v>2891</v>
      </c>
      <c r="BC968">
        <v>2905</v>
      </c>
      <c r="BD968" t="s">
        <v>74</v>
      </c>
      <c r="BE968" t="s">
        <v>18740</v>
      </c>
      <c r="BF968" t="str">
        <f>HYPERLINK("http://dx.doi.org/10.1175/JCLI-D-19-0472.1","http://dx.doi.org/10.1175/JCLI-D-19-0472.1")</f>
        <v>http://dx.doi.org/10.1175/JCLI-D-19-0472.1</v>
      </c>
      <c r="BG968" t="s">
        <v>74</v>
      </c>
      <c r="BH968" t="s">
        <v>74</v>
      </c>
      <c r="BI968">
        <v>15</v>
      </c>
      <c r="BJ968" t="s">
        <v>159</v>
      </c>
      <c r="BK968" t="s">
        <v>102</v>
      </c>
      <c r="BL968" t="s">
        <v>159</v>
      </c>
      <c r="BM968" t="s">
        <v>18741</v>
      </c>
      <c r="BN968" t="s">
        <v>74</v>
      </c>
      <c r="BO968" t="s">
        <v>189</v>
      </c>
      <c r="BP968" t="s">
        <v>74</v>
      </c>
      <c r="BQ968" t="s">
        <v>74</v>
      </c>
      <c r="BR968" t="s">
        <v>106</v>
      </c>
      <c r="BS968" t="s">
        <v>18742</v>
      </c>
      <c r="BT968" t="str">
        <f>HYPERLINK("https%3A%2F%2Fwww.webofscience.com%2Fwos%2Fwoscc%2Ffull-record%2FWOS:000526718900002","View Full Record in Web of Science")</f>
        <v>View Full Record in Web of Science</v>
      </c>
    </row>
    <row r="969" spans="1:72" x14ac:dyDescent="0.15">
      <c r="A969" t="s">
        <v>72</v>
      </c>
      <c r="B969" t="s">
        <v>18743</v>
      </c>
      <c r="C969" t="s">
        <v>74</v>
      </c>
      <c r="D969" t="s">
        <v>74</v>
      </c>
      <c r="E969" t="s">
        <v>74</v>
      </c>
      <c r="F969" t="s">
        <v>18744</v>
      </c>
      <c r="G969" t="s">
        <v>74</v>
      </c>
      <c r="H969" t="s">
        <v>74</v>
      </c>
      <c r="I969" t="s">
        <v>18745</v>
      </c>
      <c r="J969" t="s">
        <v>5238</v>
      </c>
      <c r="K969" t="s">
        <v>74</v>
      </c>
      <c r="L969" t="s">
        <v>74</v>
      </c>
      <c r="M969" t="s">
        <v>78</v>
      </c>
      <c r="N969" t="s">
        <v>79</v>
      </c>
      <c r="O969" t="s">
        <v>74</v>
      </c>
      <c r="P969" t="s">
        <v>74</v>
      </c>
      <c r="Q969" t="s">
        <v>74</v>
      </c>
      <c r="R969" t="s">
        <v>74</v>
      </c>
      <c r="S969" t="s">
        <v>74</v>
      </c>
      <c r="T969" t="s">
        <v>18746</v>
      </c>
      <c r="U969" t="s">
        <v>18747</v>
      </c>
      <c r="V969" t="s">
        <v>18748</v>
      </c>
      <c r="W969" t="s">
        <v>18749</v>
      </c>
      <c r="X969" t="s">
        <v>18750</v>
      </c>
      <c r="Y969" t="s">
        <v>18751</v>
      </c>
      <c r="Z969" t="s">
        <v>18752</v>
      </c>
      <c r="AA969" t="s">
        <v>18753</v>
      </c>
      <c r="AB969" t="s">
        <v>18754</v>
      </c>
      <c r="AC969" t="s">
        <v>18755</v>
      </c>
      <c r="AD969" t="s">
        <v>18756</v>
      </c>
      <c r="AE969" t="s">
        <v>18757</v>
      </c>
      <c r="AF969" t="s">
        <v>74</v>
      </c>
      <c r="AG969">
        <v>38</v>
      </c>
      <c r="AH969">
        <v>19</v>
      </c>
      <c r="AI969">
        <v>22</v>
      </c>
      <c r="AJ969">
        <v>2</v>
      </c>
      <c r="AK969">
        <v>24</v>
      </c>
      <c r="AL969" t="s">
        <v>124</v>
      </c>
      <c r="AM969" t="s">
        <v>93</v>
      </c>
      <c r="AN969" t="s">
        <v>125</v>
      </c>
      <c r="AO969" t="s">
        <v>5249</v>
      </c>
      <c r="AP969" t="s">
        <v>5250</v>
      </c>
      <c r="AQ969" t="s">
        <v>74</v>
      </c>
      <c r="AR969" t="s">
        <v>5251</v>
      </c>
      <c r="AS969" t="s">
        <v>5252</v>
      </c>
      <c r="AT969" t="s">
        <v>5993</v>
      </c>
      <c r="AU969">
        <v>2020</v>
      </c>
      <c r="AV969">
        <v>493</v>
      </c>
      <c r="AW969">
        <v>3</v>
      </c>
      <c r="AX969" t="s">
        <v>74</v>
      </c>
      <c r="AY969" t="s">
        <v>74</v>
      </c>
      <c r="AZ969" t="s">
        <v>74</v>
      </c>
      <c r="BA969" t="s">
        <v>74</v>
      </c>
      <c r="BB969">
        <v>4012</v>
      </c>
      <c r="BC969">
        <v>4021</v>
      </c>
      <c r="BD969" t="s">
        <v>74</v>
      </c>
      <c r="BE969" t="s">
        <v>18758</v>
      </c>
      <c r="BF969" t="str">
        <f>HYPERLINK("http://dx.doi.org/10.1093/mnras/staa384","http://dx.doi.org/10.1093/mnras/staa384")</f>
        <v>http://dx.doi.org/10.1093/mnras/staa384</v>
      </c>
      <c r="BG969" t="s">
        <v>74</v>
      </c>
      <c r="BH969" t="s">
        <v>74</v>
      </c>
      <c r="BI969">
        <v>10</v>
      </c>
      <c r="BJ969" t="s">
        <v>774</v>
      </c>
      <c r="BK969" t="s">
        <v>102</v>
      </c>
      <c r="BL969" t="s">
        <v>774</v>
      </c>
      <c r="BM969" t="s">
        <v>18759</v>
      </c>
      <c r="BN969" t="s">
        <v>74</v>
      </c>
      <c r="BO969" t="s">
        <v>74</v>
      </c>
      <c r="BP969" t="s">
        <v>74</v>
      </c>
      <c r="BQ969" t="s">
        <v>74</v>
      </c>
      <c r="BR969" t="s">
        <v>106</v>
      </c>
      <c r="BS969" t="s">
        <v>18760</v>
      </c>
      <c r="BT969" t="str">
        <f>HYPERLINK("https%3A%2F%2Fwww.webofscience.com%2Fwos%2Fwoscc%2Ffull-record%2FWOS:000526035600068","View Full Record in Web of Science")</f>
        <v>View Full Record in Web of Science</v>
      </c>
    </row>
    <row r="970" spans="1:72" x14ac:dyDescent="0.15">
      <c r="A970" t="s">
        <v>72</v>
      </c>
      <c r="B970" t="s">
        <v>18761</v>
      </c>
      <c r="C970" t="s">
        <v>74</v>
      </c>
      <c r="D970" t="s">
        <v>74</v>
      </c>
      <c r="E970" t="s">
        <v>74</v>
      </c>
      <c r="F970" t="s">
        <v>18762</v>
      </c>
      <c r="G970" t="s">
        <v>74</v>
      </c>
      <c r="H970" t="s">
        <v>74</v>
      </c>
      <c r="I970" t="s">
        <v>18763</v>
      </c>
      <c r="J970" t="s">
        <v>3362</v>
      </c>
      <c r="K970" t="s">
        <v>74</v>
      </c>
      <c r="L970" t="s">
        <v>74</v>
      </c>
      <c r="M970" t="s">
        <v>78</v>
      </c>
      <c r="N970" t="s">
        <v>79</v>
      </c>
      <c r="O970" t="s">
        <v>74</v>
      </c>
      <c r="P970" t="s">
        <v>74</v>
      </c>
      <c r="Q970" t="s">
        <v>74</v>
      </c>
      <c r="R970" t="s">
        <v>74</v>
      </c>
      <c r="S970" t="s">
        <v>74</v>
      </c>
      <c r="T970" t="s">
        <v>18764</v>
      </c>
      <c r="U970" t="s">
        <v>18765</v>
      </c>
      <c r="V970" t="s">
        <v>18766</v>
      </c>
      <c r="W970" t="s">
        <v>18767</v>
      </c>
      <c r="X970" t="s">
        <v>18768</v>
      </c>
      <c r="Y970" t="s">
        <v>18769</v>
      </c>
      <c r="Z970" t="s">
        <v>18770</v>
      </c>
      <c r="AA970" t="s">
        <v>18771</v>
      </c>
      <c r="AB970" t="s">
        <v>18772</v>
      </c>
      <c r="AC970" t="s">
        <v>18773</v>
      </c>
      <c r="AD970" t="s">
        <v>18774</v>
      </c>
      <c r="AE970" t="s">
        <v>18775</v>
      </c>
      <c r="AF970" t="s">
        <v>74</v>
      </c>
      <c r="AG970">
        <v>63</v>
      </c>
      <c r="AH970">
        <v>9</v>
      </c>
      <c r="AI970">
        <v>10</v>
      </c>
      <c r="AJ970">
        <v>1</v>
      </c>
      <c r="AK970">
        <v>8</v>
      </c>
      <c r="AL970" t="s">
        <v>1464</v>
      </c>
      <c r="AM970" t="s">
        <v>945</v>
      </c>
      <c r="AN970" t="s">
        <v>1465</v>
      </c>
      <c r="AO970" t="s">
        <v>3375</v>
      </c>
      <c r="AP970" t="s">
        <v>74</v>
      </c>
      <c r="AQ970" t="s">
        <v>74</v>
      </c>
      <c r="AR970" t="s">
        <v>3376</v>
      </c>
      <c r="AS970" t="s">
        <v>3377</v>
      </c>
      <c r="AT970" t="s">
        <v>18776</v>
      </c>
      <c r="AU970">
        <v>2020</v>
      </c>
      <c r="AV970">
        <v>7</v>
      </c>
      <c r="AW970">
        <v>4</v>
      </c>
      <c r="AX970" t="s">
        <v>74</v>
      </c>
      <c r="AY970" t="s">
        <v>74</v>
      </c>
      <c r="AZ970" t="s">
        <v>74</v>
      </c>
      <c r="BA970" t="s">
        <v>74</v>
      </c>
      <c r="BB970" t="s">
        <v>74</v>
      </c>
      <c r="BC970" t="s">
        <v>74</v>
      </c>
      <c r="BD970">
        <v>191429</v>
      </c>
      <c r="BE970" t="s">
        <v>18777</v>
      </c>
      <c r="BF970" t="str">
        <f>HYPERLINK("http://dx.doi.org/10.1098/rsos.191429","http://dx.doi.org/10.1098/rsos.191429")</f>
        <v>http://dx.doi.org/10.1098/rsos.191429</v>
      </c>
      <c r="BG970" t="s">
        <v>74</v>
      </c>
      <c r="BH970" t="s">
        <v>74</v>
      </c>
      <c r="BI970">
        <v>8</v>
      </c>
      <c r="BJ970" t="s">
        <v>1125</v>
      </c>
      <c r="BK970" t="s">
        <v>102</v>
      </c>
      <c r="BL970" t="s">
        <v>1126</v>
      </c>
      <c r="BM970" t="s">
        <v>18778</v>
      </c>
      <c r="BN970">
        <v>32431861</v>
      </c>
      <c r="BO970" t="s">
        <v>1778</v>
      </c>
      <c r="BP970" t="s">
        <v>74</v>
      </c>
      <c r="BQ970" t="s">
        <v>74</v>
      </c>
      <c r="BR970" t="s">
        <v>106</v>
      </c>
      <c r="BS970" t="s">
        <v>18779</v>
      </c>
      <c r="BT970" t="str">
        <f>HYPERLINK("https%3A%2F%2Fwww.webofscience.com%2Fwos%2Fwoscc%2Ffull-record%2FWOS:000526523000003","View Full Record in Web of Science")</f>
        <v>View Full Record in Web of Science</v>
      </c>
    </row>
    <row r="971" spans="1:72" x14ac:dyDescent="0.15">
      <c r="A971" t="s">
        <v>72</v>
      </c>
      <c r="B971" t="s">
        <v>18780</v>
      </c>
      <c r="C971" t="s">
        <v>74</v>
      </c>
      <c r="D971" t="s">
        <v>74</v>
      </c>
      <c r="E971" t="s">
        <v>74</v>
      </c>
      <c r="F971" t="s">
        <v>18781</v>
      </c>
      <c r="G971" t="s">
        <v>74</v>
      </c>
      <c r="H971" t="s">
        <v>74</v>
      </c>
      <c r="I971" t="s">
        <v>18782</v>
      </c>
      <c r="J971" t="s">
        <v>2785</v>
      </c>
      <c r="K971" t="s">
        <v>74</v>
      </c>
      <c r="L971" t="s">
        <v>74</v>
      </c>
      <c r="M971" t="s">
        <v>78</v>
      </c>
      <c r="N971" t="s">
        <v>245</v>
      </c>
      <c r="O971" t="s">
        <v>74</v>
      </c>
      <c r="P971" t="s">
        <v>74</v>
      </c>
      <c r="Q971" t="s">
        <v>74</v>
      </c>
      <c r="R971" t="s">
        <v>74</v>
      </c>
      <c r="S971" t="s">
        <v>74</v>
      </c>
      <c r="T971" t="s">
        <v>74</v>
      </c>
      <c r="U971" t="s">
        <v>18783</v>
      </c>
      <c r="V971" t="s">
        <v>18784</v>
      </c>
      <c r="W971" t="s">
        <v>18785</v>
      </c>
      <c r="X971" t="s">
        <v>18786</v>
      </c>
      <c r="Y971" t="s">
        <v>18787</v>
      </c>
      <c r="Z971" t="s">
        <v>18788</v>
      </c>
      <c r="AA971" t="s">
        <v>18789</v>
      </c>
      <c r="AB971" t="s">
        <v>18790</v>
      </c>
      <c r="AC971" t="s">
        <v>18791</v>
      </c>
      <c r="AD971" t="s">
        <v>18792</v>
      </c>
      <c r="AE971" t="s">
        <v>18793</v>
      </c>
      <c r="AF971" t="s">
        <v>74</v>
      </c>
      <c r="AG971">
        <v>229</v>
      </c>
      <c r="AH971">
        <v>19</v>
      </c>
      <c r="AI971">
        <v>20</v>
      </c>
      <c r="AJ971">
        <v>4</v>
      </c>
      <c r="AK971">
        <v>36</v>
      </c>
      <c r="AL971" t="s">
        <v>92</v>
      </c>
      <c r="AM971" t="s">
        <v>93</v>
      </c>
      <c r="AN971" t="s">
        <v>94</v>
      </c>
      <c r="AO971" t="s">
        <v>2797</v>
      </c>
      <c r="AP971" t="s">
        <v>74</v>
      </c>
      <c r="AQ971" t="s">
        <v>74</v>
      </c>
      <c r="AR971" t="s">
        <v>2799</v>
      </c>
      <c r="AS971" t="s">
        <v>2800</v>
      </c>
      <c r="AT971" t="s">
        <v>18776</v>
      </c>
      <c r="AU971">
        <v>2020</v>
      </c>
      <c r="AV971">
        <v>233</v>
      </c>
      <c r="AW971" t="s">
        <v>74</v>
      </c>
      <c r="AX971" t="s">
        <v>74</v>
      </c>
      <c r="AY971" t="s">
        <v>74</v>
      </c>
      <c r="AZ971" t="s">
        <v>74</v>
      </c>
      <c r="BA971" t="s">
        <v>74</v>
      </c>
      <c r="BB971" t="s">
        <v>74</v>
      </c>
      <c r="BC971" t="s">
        <v>74</v>
      </c>
      <c r="BD971">
        <v>106222</v>
      </c>
      <c r="BE971" t="s">
        <v>18794</v>
      </c>
      <c r="BF971" t="str">
        <f>HYPERLINK("http://dx.doi.org/10.1016/j.quascirev.2020.106222","http://dx.doi.org/10.1016/j.quascirev.2020.106222")</f>
        <v>http://dx.doi.org/10.1016/j.quascirev.2020.106222</v>
      </c>
      <c r="BG971" t="s">
        <v>74</v>
      </c>
      <c r="BH971" t="s">
        <v>74</v>
      </c>
      <c r="BI971">
        <v>17</v>
      </c>
      <c r="BJ971" t="s">
        <v>694</v>
      </c>
      <c r="BK971" t="s">
        <v>102</v>
      </c>
      <c r="BL971" t="s">
        <v>695</v>
      </c>
      <c r="BM971" t="s">
        <v>18795</v>
      </c>
      <c r="BN971" t="s">
        <v>74</v>
      </c>
      <c r="BO971" t="s">
        <v>74</v>
      </c>
      <c r="BP971" t="s">
        <v>74</v>
      </c>
      <c r="BQ971" t="s">
        <v>74</v>
      </c>
      <c r="BR971" t="s">
        <v>106</v>
      </c>
      <c r="BS971" t="s">
        <v>18796</v>
      </c>
      <c r="BT971" t="str">
        <f>HYPERLINK("https%3A%2F%2Fwww.webofscience.com%2Fwos%2Fwoscc%2Ffull-record%2FWOS:000525787700007","View Full Record in Web of Science")</f>
        <v>View Full Record in Web of Science</v>
      </c>
    </row>
    <row r="972" spans="1:72" x14ac:dyDescent="0.15">
      <c r="A972" t="s">
        <v>72</v>
      </c>
      <c r="B972" t="s">
        <v>18797</v>
      </c>
      <c r="C972" t="s">
        <v>74</v>
      </c>
      <c r="D972" t="s">
        <v>74</v>
      </c>
      <c r="E972" t="s">
        <v>74</v>
      </c>
      <c r="F972" t="s">
        <v>18798</v>
      </c>
      <c r="G972" t="s">
        <v>74</v>
      </c>
      <c r="H972" t="s">
        <v>74</v>
      </c>
      <c r="I972" t="s">
        <v>18799</v>
      </c>
      <c r="J972" t="s">
        <v>657</v>
      </c>
      <c r="K972" t="s">
        <v>74</v>
      </c>
      <c r="L972" t="s">
        <v>74</v>
      </c>
      <c r="M972" t="s">
        <v>78</v>
      </c>
      <c r="N972" t="s">
        <v>79</v>
      </c>
      <c r="O972" t="s">
        <v>74</v>
      </c>
      <c r="P972" t="s">
        <v>74</v>
      </c>
      <c r="Q972" t="s">
        <v>74</v>
      </c>
      <c r="R972" t="s">
        <v>74</v>
      </c>
      <c r="S972" t="s">
        <v>74</v>
      </c>
      <c r="T972" t="s">
        <v>18800</v>
      </c>
      <c r="U972" t="s">
        <v>18801</v>
      </c>
      <c r="V972" t="s">
        <v>18802</v>
      </c>
      <c r="W972" t="s">
        <v>18803</v>
      </c>
      <c r="X972" t="s">
        <v>18804</v>
      </c>
      <c r="Y972" t="s">
        <v>18805</v>
      </c>
      <c r="Z972" t="s">
        <v>18806</v>
      </c>
      <c r="AA972" t="s">
        <v>18807</v>
      </c>
      <c r="AB972" t="s">
        <v>18808</v>
      </c>
      <c r="AC972" t="s">
        <v>18809</v>
      </c>
      <c r="AD972" t="s">
        <v>18810</v>
      </c>
      <c r="AE972" t="s">
        <v>18811</v>
      </c>
      <c r="AF972" t="s">
        <v>74</v>
      </c>
      <c r="AG972">
        <v>52</v>
      </c>
      <c r="AH972">
        <v>41</v>
      </c>
      <c r="AI972">
        <v>45</v>
      </c>
      <c r="AJ972">
        <v>6</v>
      </c>
      <c r="AK972">
        <v>47</v>
      </c>
      <c r="AL972" t="s">
        <v>284</v>
      </c>
      <c r="AM972" t="s">
        <v>285</v>
      </c>
      <c r="AN972" t="s">
        <v>286</v>
      </c>
      <c r="AO972" t="s">
        <v>667</v>
      </c>
      <c r="AP972" t="s">
        <v>668</v>
      </c>
      <c r="AQ972" t="s">
        <v>74</v>
      </c>
      <c r="AR972" t="s">
        <v>669</v>
      </c>
      <c r="AS972" t="s">
        <v>670</v>
      </c>
      <c r="AT972" t="s">
        <v>18776</v>
      </c>
      <c r="AU972">
        <v>2020</v>
      </c>
      <c r="AV972">
        <v>535</v>
      </c>
      <c r="AW972" t="s">
        <v>74</v>
      </c>
      <c r="AX972" t="s">
        <v>74</v>
      </c>
      <c r="AY972" t="s">
        <v>74</v>
      </c>
      <c r="AZ972" t="s">
        <v>74</v>
      </c>
      <c r="BA972" t="s">
        <v>74</v>
      </c>
      <c r="BB972" t="s">
        <v>74</v>
      </c>
      <c r="BC972" t="s">
        <v>74</v>
      </c>
      <c r="BD972">
        <v>116118</v>
      </c>
      <c r="BE972" t="s">
        <v>18812</v>
      </c>
      <c r="BF972" t="str">
        <f>HYPERLINK("http://dx.doi.org/10.1016/j.epsl.2020.116118","http://dx.doi.org/10.1016/j.epsl.2020.116118")</f>
        <v>http://dx.doi.org/10.1016/j.epsl.2020.116118</v>
      </c>
      <c r="BG972" t="s">
        <v>74</v>
      </c>
      <c r="BH972" t="s">
        <v>74</v>
      </c>
      <c r="BI972">
        <v>11</v>
      </c>
      <c r="BJ972" t="s">
        <v>131</v>
      </c>
      <c r="BK972" t="s">
        <v>102</v>
      </c>
      <c r="BL972" t="s">
        <v>131</v>
      </c>
      <c r="BM972" t="s">
        <v>18813</v>
      </c>
      <c r="BN972" t="s">
        <v>74</v>
      </c>
      <c r="BO972" t="s">
        <v>7830</v>
      </c>
      <c r="BP972" t="s">
        <v>74</v>
      </c>
      <c r="BQ972" t="s">
        <v>74</v>
      </c>
      <c r="BR972" t="s">
        <v>106</v>
      </c>
      <c r="BS972" t="s">
        <v>18814</v>
      </c>
      <c r="BT972" t="str">
        <f>HYPERLINK("https%3A%2F%2Fwww.webofscience.com%2Fwos%2Fwoscc%2Ffull-record%2FWOS:000525394500017","View Full Record in Web of Science")</f>
        <v>View Full Record in Web of Science</v>
      </c>
    </row>
    <row r="973" spans="1:72" x14ac:dyDescent="0.15">
      <c r="A973" t="s">
        <v>72</v>
      </c>
      <c r="B973" t="s">
        <v>18815</v>
      </c>
      <c r="C973" t="s">
        <v>74</v>
      </c>
      <c r="D973" t="s">
        <v>74</v>
      </c>
      <c r="E973" t="s">
        <v>74</v>
      </c>
      <c r="F973" t="s">
        <v>18816</v>
      </c>
      <c r="G973" t="s">
        <v>74</v>
      </c>
      <c r="H973" t="s">
        <v>74</v>
      </c>
      <c r="I973" t="s">
        <v>18817</v>
      </c>
      <c r="J973" t="s">
        <v>18818</v>
      </c>
      <c r="K973" t="s">
        <v>74</v>
      </c>
      <c r="L973" t="s">
        <v>74</v>
      </c>
      <c r="M973" t="s">
        <v>78</v>
      </c>
      <c r="N973" t="s">
        <v>79</v>
      </c>
      <c r="O973" t="s">
        <v>74</v>
      </c>
      <c r="P973" t="s">
        <v>74</v>
      </c>
      <c r="Q973" t="s">
        <v>74</v>
      </c>
      <c r="R973" t="s">
        <v>74</v>
      </c>
      <c r="S973" t="s">
        <v>74</v>
      </c>
      <c r="T973" t="s">
        <v>18819</v>
      </c>
      <c r="U973" t="s">
        <v>18820</v>
      </c>
      <c r="V973" t="s">
        <v>18821</v>
      </c>
      <c r="W973" t="s">
        <v>18822</v>
      </c>
      <c r="X973" t="s">
        <v>18823</v>
      </c>
      <c r="Y973" t="s">
        <v>18824</v>
      </c>
      <c r="Z973" t="s">
        <v>18825</v>
      </c>
      <c r="AA973" t="s">
        <v>74</v>
      </c>
      <c r="AB973" t="s">
        <v>74</v>
      </c>
      <c r="AC973" t="s">
        <v>18826</v>
      </c>
      <c r="AD973" t="s">
        <v>18827</v>
      </c>
      <c r="AE973" t="s">
        <v>18828</v>
      </c>
      <c r="AF973" t="s">
        <v>74</v>
      </c>
      <c r="AG973">
        <v>22</v>
      </c>
      <c r="AH973">
        <v>1</v>
      </c>
      <c r="AI973">
        <v>1</v>
      </c>
      <c r="AJ973">
        <v>0</v>
      </c>
      <c r="AK973">
        <v>3</v>
      </c>
      <c r="AL973" t="s">
        <v>13094</v>
      </c>
      <c r="AM973" t="s">
        <v>399</v>
      </c>
      <c r="AN973" t="s">
        <v>13095</v>
      </c>
      <c r="AO973" t="s">
        <v>18829</v>
      </c>
      <c r="AP973" t="s">
        <v>18830</v>
      </c>
      <c r="AQ973" t="s">
        <v>74</v>
      </c>
      <c r="AR973" t="s">
        <v>18831</v>
      </c>
      <c r="AS973" t="s">
        <v>18832</v>
      </c>
      <c r="AT973" t="s">
        <v>5993</v>
      </c>
      <c r="AU973">
        <v>2020</v>
      </c>
      <c r="AV973">
        <v>58</v>
      </c>
      <c r="AW973">
        <v>4</v>
      </c>
      <c r="AX973" t="s">
        <v>74</v>
      </c>
      <c r="AY973" t="s">
        <v>74</v>
      </c>
      <c r="AZ973" t="s">
        <v>74</v>
      </c>
      <c r="BA973" t="s">
        <v>74</v>
      </c>
      <c r="BB973">
        <v>435</v>
      </c>
      <c r="BC973">
        <v>446</v>
      </c>
      <c r="BD973" t="s">
        <v>74</v>
      </c>
      <c r="BE973" t="s">
        <v>18833</v>
      </c>
      <c r="BF973" t="str">
        <f>HYPERLINK("http://dx.doi.org/10.1134/S0016702920030076","http://dx.doi.org/10.1134/S0016702920030076")</f>
        <v>http://dx.doi.org/10.1134/S0016702920030076</v>
      </c>
      <c r="BG973" t="s">
        <v>74</v>
      </c>
      <c r="BH973" t="s">
        <v>74</v>
      </c>
      <c r="BI973">
        <v>12</v>
      </c>
      <c r="BJ973" t="s">
        <v>131</v>
      </c>
      <c r="BK973" t="s">
        <v>102</v>
      </c>
      <c r="BL973" t="s">
        <v>131</v>
      </c>
      <c r="BM973" t="s">
        <v>18834</v>
      </c>
      <c r="BN973" t="s">
        <v>74</v>
      </c>
      <c r="BO973" t="s">
        <v>74</v>
      </c>
      <c r="BP973" t="s">
        <v>74</v>
      </c>
      <c r="BQ973" t="s">
        <v>74</v>
      </c>
      <c r="BR973" t="s">
        <v>106</v>
      </c>
      <c r="BS973" t="s">
        <v>18835</v>
      </c>
      <c r="BT973" t="str">
        <f>HYPERLINK("https%3A%2F%2Fwww.webofscience.com%2Fwos%2Fwoscc%2Ffull-record%2FWOS:000525599100006","View Full Record in Web of Science")</f>
        <v>View Full Record in Web of Science</v>
      </c>
    </row>
    <row r="974" spans="1:72" x14ac:dyDescent="0.15">
      <c r="A974" t="s">
        <v>72</v>
      </c>
      <c r="B974" t="s">
        <v>18836</v>
      </c>
      <c r="C974" t="s">
        <v>74</v>
      </c>
      <c r="D974" t="s">
        <v>74</v>
      </c>
      <c r="E974" t="s">
        <v>74</v>
      </c>
      <c r="F974" t="s">
        <v>18837</v>
      </c>
      <c r="G974" t="s">
        <v>74</v>
      </c>
      <c r="H974" t="s">
        <v>74</v>
      </c>
      <c r="I974" t="s">
        <v>18838</v>
      </c>
      <c r="J974" t="s">
        <v>10240</v>
      </c>
      <c r="K974" t="s">
        <v>74</v>
      </c>
      <c r="L974" t="s">
        <v>74</v>
      </c>
      <c r="M974" t="s">
        <v>78</v>
      </c>
      <c r="N974" t="s">
        <v>79</v>
      </c>
      <c r="O974" t="s">
        <v>74</v>
      </c>
      <c r="P974" t="s">
        <v>74</v>
      </c>
      <c r="Q974" t="s">
        <v>74</v>
      </c>
      <c r="R974" t="s">
        <v>74</v>
      </c>
      <c r="S974" t="s">
        <v>74</v>
      </c>
      <c r="T974" t="s">
        <v>18839</v>
      </c>
      <c r="U974" t="s">
        <v>18840</v>
      </c>
      <c r="V974" t="s">
        <v>18841</v>
      </c>
      <c r="W974" t="s">
        <v>18842</v>
      </c>
      <c r="X974" t="s">
        <v>18843</v>
      </c>
      <c r="Y974" t="s">
        <v>18844</v>
      </c>
      <c r="Z974" t="s">
        <v>18845</v>
      </c>
      <c r="AA974" t="s">
        <v>18846</v>
      </c>
      <c r="AB974" t="s">
        <v>18847</v>
      </c>
      <c r="AC974" t="s">
        <v>18848</v>
      </c>
      <c r="AD974" t="s">
        <v>18849</v>
      </c>
      <c r="AE974" t="s">
        <v>18850</v>
      </c>
      <c r="AF974" t="s">
        <v>74</v>
      </c>
      <c r="AG974">
        <v>45</v>
      </c>
      <c r="AH974">
        <v>3</v>
      </c>
      <c r="AI974">
        <v>3</v>
      </c>
      <c r="AJ974">
        <v>0</v>
      </c>
      <c r="AK974">
        <v>4</v>
      </c>
      <c r="AL974" t="s">
        <v>4638</v>
      </c>
      <c r="AM974" t="s">
        <v>1744</v>
      </c>
      <c r="AN974" t="s">
        <v>4639</v>
      </c>
      <c r="AO974" t="s">
        <v>10250</v>
      </c>
      <c r="AP974" t="s">
        <v>10251</v>
      </c>
      <c r="AQ974" t="s">
        <v>74</v>
      </c>
      <c r="AR974" t="s">
        <v>10252</v>
      </c>
      <c r="AS974" t="s">
        <v>10253</v>
      </c>
      <c r="AT974" t="s">
        <v>5993</v>
      </c>
      <c r="AU974">
        <v>2020</v>
      </c>
      <c r="AV974">
        <v>66</v>
      </c>
      <c r="AW974">
        <v>256</v>
      </c>
      <c r="AX974" t="s">
        <v>74</v>
      </c>
      <c r="AY974" t="s">
        <v>74</v>
      </c>
      <c r="AZ974" t="s">
        <v>74</v>
      </c>
      <c r="BA974" t="s">
        <v>74</v>
      </c>
      <c r="BB974">
        <v>231</v>
      </c>
      <c r="BC974">
        <v>247</v>
      </c>
      <c r="BD974" t="s">
        <v>74</v>
      </c>
      <c r="BE974" t="s">
        <v>18851</v>
      </c>
      <c r="BF974" t="str">
        <f>HYPERLINK("http://dx.doi.org/10.1017/jog.2019.98","http://dx.doi.org/10.1017/jog.2019.98")</f>
        <v>http://dx.doi.org/10.1017/jog.2019.98</v>
      </c>
      <c r="BG974" t="s">
        <v>74</v>
      </c>
      <c r="BH974" t="s">
        <v>74</v>
      </c>
      <c r="BI974">
        <v>17</v>
      </c>
      <c r="BJ974" t="s">
        <v>694</v>
      </c>
      <c r="BK974" t="s">
        <v>102</v>
      </c>
      <c r="BL974" t="s">
        <v>695</v>
      </c>
      <c r="BM974" t="s">
        <v>18852</v>
      </c>
      <c r="BN974" t="s">
        <v>74</v>
      </c>
      <c r="BO974" t="s">
        <v>161</v>
      </c>
      <c r="BP974" t="s">
        <v>74</v>
      </c>
      <c r="BQ974" t="s">
        <v>74</v>
      </c>
      <c r="BR974" t="s">
        <v>106</v>
      </c>
      <c r="BS974" t="s">
        <v>18853</v>
      </c>
      <c r="BT974" t="str">
        <f>HYPERLINK("https%3A%2F%2Fwww.webofscience.com%2Fwos%2Fwoscc%2Ffull-record%2FWOS:000525373800005","View Full Record in Web of Science")</f>
        <v>View Full Record in Web of Science</v>
      </c>
    </row>
    <row r="975" spans="1:72" x14ac:dyDescent="0.15">
      <c r="A975" t="s">
        <v>72</v>
      </c>
      <c r="B975" t="s">
        <v>18854</v>
      </c>
      <c r="C975" t="s">
        <v>74</v>
      </c>
      <c r="D975" t="s">
        <v>74</v>
      </c>
      <c r="E975" t="s">
        <v>74</v>
      </c>
      <c r="F975" t="s">
        <v>18855</v>
      </c>
      <c r="G975" t="s">
        <v>74</v>
      </c>
      <c r="H975" t="s">
        <v>74</v>
      </c>
      <c r="I975" t="s">
        <v>18856</v>
      </c>
      <c r="J975" t="s">
        <v>10240</v>
      </c>
      <c r="K975" t="s">
        <v>74</v>
      </c>
      <c r="L975" t="s">
        <v>74</v>
      </c>
      <c r="M975" t="s">
        <v>78</v>
      </c>
      <c r="N975" t="s">
        <v>79</v>
      </c>
      <c r="O975" t="s">
        <v>74</v>
      </c>
      <c r="P975" t="s">
        <v>74</v>
      </c>
      <c r="Q975" t="s">
        <v>74</v>
      </c>
      <c r="R975" t="s">
        <v>74</v>
      </c>
      <c r="S975" t="s">
        <v>74</v>
      </c>
      <c r="T975" t="s">
        <v>18857</v>
      </c>
      <c r="U975" t="s">
        <v>18858</v>
      </c>
      <c r="V975" t="s">
        <v>18859</v>
      </c>
      <c r="W975" t="s">
        <v>18860</v>
      </c>
      <c r="X975" t="s">
        <v>18861</v>
      </c>
      <c r="Y975" t="s">
        <v>18862</v>
      </c>
      <c r="Z975" t="s">
        <v>18863</v>
      </c>
      <c r="AA975" t="s">
        <v>18864</v>
      </c>
      <c r="AB975" t="s">
        <v>18865</v>
      </c>
      <c r="AC975" t="s">
        <v>18866</v>
      </c>
      <c r="AD975" t="s">
        <v>18867</v>
      </c>
      <c r="AE975" t="s">
        <v>18868</v>
      </c>
      <c r="AF975" t="s">
        <v>74</v>
      </c>
      <c r="AG975">
        <v>77</v>
      </c>
      <c r="AH975">
        <v>25</v>
      </c>
      <c r="AI975">
        <v>28</v>
      </c>
      <c r="AJ975">
        <v>2</v>
      </c>
      <c r="AK975">
        <v>15</v>
      </c>
      <c r="AL975" t="s">
        <v>4638</v>
      </c>
      <c r="AM975" t="s">
        <v>1744</v>
      </c>
      <c r="AN975" t="s">
        <v>4639</v>
      </c>
      <c r="AO975" t="s">
        <v>10250</v>
      </c>
      <c r="AP975" t="s">
        <v>10251</v>
      </c>
      <c r="AQ975" t="s">
        <v>74</v>
      </c>
      <c r="AR975" t="s">
        <v>10252</v>
      </c>
      <c r="AS975" t="s">
        <v>10253</v>
      </c>
      <c r="AT975" t="s">
        <v>5993</v>
      </c>
      <c r="AU975">
        <v>2020</v>
      </c>
      <c r="AV975">
        <v>66</v>
      </c>
      <c r="AW975">
        <v>256</v>
      </c>
      <c r="AX975" t="s">
        <v>74</v>
      </c>
      <c r="AY975" t="s">
        <v>74</v>
      </c>
      <c r="AZ975" t="s">
        <v>74</v>
      </c>
      <c r="BA975" t="s">
        <v>74</v>
      </c>
      <c r="BB975">
        <v>291</v>
      </c>
      <c r="BC975">
        <v>302</v>
      </c>
      <c r="BD975" t="s">
        <v>18869</v>
      </c>
      <c r="BE975" t="s">
        <v>18870</v>
      </c>
      <c r="BF975" t="str">
        <f>HYPERLINK("http://dx.doi.org/10.1017/jog.2020.6","http://dx.doi.org/10.1017/jog.2020.6")</f>
        <v>http://dx.doi.org/10.1017/jog.2020.6</v>
      </c>
      <c r="BG975" t="s">
        <v>74</v>
      </c>
      <c r="BH975" t="s">
        <v>74</v>
      </c>
      <c r="BI975">
        <v>12</v>
      </c>
      <c r="BJ975" t="s">
        <v>694</v>
      </c>
      <c r="BK975" t="s">
        <v>102</v>
      </c>
      <c r="BL975" t="s">
        <v>695</v>
      </c>
      <c r="BM975" t="s">
        <v>18852</v>
      </c>
      <c r="BN975" t="s">
        <v>74</v>
      </c>
      <c r="BO975" t="s">
        <v>1778</v>
      </c>
      <c r="BP975" t="s">
        <v>74</v>
      </c>
      <c r="BQ975" t="s">
        <v>74</v>
      </c>
      <c r="BR975" t="s">
        <v>106</v>
      </c>
      <c r="BS975" t="s">
        <v>18871</v>
      </c>
      <c r="BT975" t="str">
        <f>HYPERLINK("https%3A%2F%2Fwww.webofscience.com%2Fwos%2Fwoscc%2Ffull-record%2FWOS:000525373800009","View Full Record in Web of Science")</f>
        <v>View Full Record in Web of Science</v>
      </c>
    </row>
    <row r="976" spans="1:72" x14ac:dyDescent="0.15">
      <c r="A976" t="s">
        <v>72</v>
      </c>
      <c r="B976" t="s">
        <v>18872</v>
      </c>
      <c r="C976" t="s">
        <v>74</v>
      </c>
      <c r="D976" t="s">
        <v>74</v>
      </c>
      <c r="E976" t="s">
        <v>74</v>
      </c>
      <c r="F976" t="s">
        <v>18873</v>
      </c>
      <c r="G976" t="s">
        <v>74</v>
      </c>
      <c r="H976" t="s">
        <v>74</v>
      </c>
      <c r="I976" t="s">
        <v>18874</v>
      </c>
      <c r="J976" t="s">
        <v>18875</v>
      </c>
      <c r="K976" t="s">
        <v>74</v>
      </c>
      <c r="L976" t="s">
        <v>74</v>
      </c>
      <c r="M976" t="s">
        <v>78</v>
      </c>
      <c r="N976" t="s">
        <v>79</v>
      </c>
      <c r="O976" t="s">
        <v>74</v>
      </c>
      <c r="P976" t="s">
        <v>74</v>
      </c>
      <c r="Q976" t="s">
        <v>74</v>
      </c>
      <c r="R976" t="s">
        <v>74</v>
      </c>
      <c r="S976" t="s">
        <v>74</v>
      </c>
      <c r="T976" t="s">
        <v>18876</v>
      </c>
      <c r="U976" t="s">
        <v>74</v>
      </c>
      <c r="V976" t="s">
        <v>18877</v>
      </c>
      <c r="W976" t="s">
        <v>18878</v>
      </c>
      <c r="X976" t="s">
        <v>18879</v>
      </c>
      <c r="Y976" t="s">
        <v>18880</v>
      </c>
      <c r="Z976" t="s">
        <v>18881</v>
      </c>
      <c r="AA976" t="s">
        <v>74</v>
      </c>
      <c r="AB976" t="s">
        <v>74</v>
      </c>
      <c r="AC976" t="s">
        <v>18882</v>
      </c>
      <c r="AD976" t="s">
        <v>688</v>
      </c>
      <c r="AE976" t="s">
        <v>74</v>
      </c>
      <c r="AF976" t="s">
        <v>74</v>
      </c>
      <c r="AG976">
        <v>41</v>
      </c>
      <c r="AH976">
        <v>4</v>
      </c>
      <c r="AI976">
        <v>4</v>
      </c>
      <c r="AJ976">
        <v>0</v>
      </c>
      <c r="AK976">
        <v>3</v>
      </c>
      <c r="AL976" t="s">
        <v>18883</v>
      </c>
      <c r="AM976" t="s">
        <v>18884</v>
      </c>
      <c r="AN976" t="s">
        <v>18885</v>
      </c>
      <c r="AO976" t="s">
        <v>18886</v>
      </c>
      <c r="AP976" t="s">
        <v>18887</v>
      </c>
      <c r="AQ976" t="s">
        <v>74</v>
      </c>
      <c r="AR976" t="s">
        <v>18888</v>
      </c>
      <c r="AS976" t="s">
        <v>18889</v>
      </c>
      <c r="AT976" t="s">
        <v>5993</v>
      </c>
      <c r="AU976">
        <v>2020</v>
      </c>
      <c r="AV976">
        <v>47</v>
      </c>
      <c r="AW976">
        <v>1</v>
      </c>
      <c r="AX976" t="s">
        <v>74</v>
      </c>
      <c r="AY976" t="s">
        <v>74</v>
      </c>
      <c r="AZ976" t="s">
        <v>74</v>
      </c>
      <c r="BA976" t="s">
        <v>74</v>
      </c>
      <c r="BB976">
        <v>147</v>
      </c>
      <c r="BC976">
        <v>165</v>
      </c>
      <c r="BD976" t="s">
        <v>74</v>
      </c>
      <c r="BE976" t="s">
        <v>18890</v>
      </c>
      <c r="BF976" t="str">
        <f>HYPERLINK("http://dx.doi.org/10.3366/anh.2020.0628","http://dx.doi.org/10.3366/anh.2020.0628")</f>
        <v>http://dx.doi.org/10.3366/anh.2020.0628</v>
      </c>
      <c r="BG976" t="s">
        <v>74</v>
      </c>
      <c r="BH976" t="s">
        <v>74</v>
      </c>
      <c r="BI976">
        <v>19</v>
      </c>
      <c r="BJ976" t="s">
        <v>18891</v>
      </c>
      <c r="BK976" t="s">
        <v>18892</v>
      </c>
      <c r="BL976" t="s">
        <v>18893</v>
      </c>
      <c r="BM976" t="s">
        <v>18894</v>
      </c>
      <c r="BN976" t="s">
        <v>74</v>
      </c>
      <c r="BO976" t="s">
        <v>491</v>
      </c>
      <c r="BP976" t="s">
        <v>74</v>
      </c>
      <c r="BQ976" t="s">
        <v>74</v>
      </c>
      <c r="BR976" t="s">
        <v>106</v>
      </c>
      <c r="BS976" t="s">
        <v>18895</v>
      </c>
      <c r="BT976" t="str">
        <f>HYPERLINK("https%3A%2F%2Fwww.webofscience.com%2Fwos%2Fwoscc%2Ffull-record%2FWOS:000524972600012","View Full Record in Web of Science")</f>
        <v>View Full Record in Web of Science</v>
      </c>
    </row>
    <row r="977" spans="1:72" x14ac:dyDescent="0.15">
      <c r="A977" t="s">
        <v>72</v>
      </c>
      <c r="B977" t="s">
        <v>18896</v>
      </c>
      <c r="C977" t="s">
        <v>74</v>
      </c>
      <c r="D977" t="s">
        <v>74</v>
      </c>
      <c r="E977" t="s">
        <v>74</v>
      </c>
      <c r="F977" t="s">
        <v>18897</v>
      </c>
      <c r="G977" t="s">
        <v>74</v>
      </c>
      <c r="H977" t="s">
        <v>74</v>
      </c>
      <c r="I977" t="s">
        <v>18898</v>
      </c>
      <c r="J977" t="s">
        <v>18899</v>
      </c>
      <c r="K977" t="s">
        <v>74</v>
      </c>
      <c r="L977" t="s">
        <v>74</v>
      </c>
      <c r="M977" t="s">
        <v>18900</v>
      </c>
      <c r="N977" t="s">
        <v>79</v>
      </c>
      <c r="O977" t="s">
        <v>74</v>
      </c>
      <c r="P977" t="s">
        <v>74</v>
      </c>
      <c r="Q977" t="s">
        <v>74</v>
      </c>
      <c r="R977" t="s">
        <v>74</v>
      </c>
      <c r="S977" t="s">
        <v>74</v>
      </c>
      <c r="T977" t="s">
        <v>18901</v>
      </c>
      <c r="U977" t="s">
        <v>18902</v>
      </c>
      <c r="V977" t="s">
        <v>18903</v>
      </c>
      <c r="W977" t="s">
        <v>18904</v>
      </c>
      <c r="X977" t="s">
        <v>18905</v>
      </c>
      <c r="Y977" t="s">
        <v>18906</v>
      </c>
      <c r="Z977" t="s">
        <v>18907</v>
      </c>
      <c r="AA977" t="s">
        <v>13864</v>
      </c>
      <c r="AB977" t="s">
        <v>18908</v>
      </c>
      <c r="AC977" t="s">
        <v>74</v>
      </c>
      <c r="AD977" t="s">
        <v>74</v>
      </c>
      <c r="AE977" t="s">
        <v>74</v>
      </c>
      <c r="AF977" t="s">
        <v>74</v>
      </c>
      <c r="AG977">
        <v>63</v>
      </c>
      <c r="AH977">
        <v>7</v>
      </c>
      <c r="AI977">
        <v>10</v>
      </c>
      <c r="AJ977">
        <v>2</v>
      </c>
      <c r="AK977">
        <v>26</v>
      </c>
      <c r="AL977" t="s">
        <v>11741</v>
      </c>
      <c r="AM977" t="s">
        <v>11742</v>
      </c>
      <c r="AN977" t="s">
        <v>12945</v>
      </c>
      <c r="AO977" t="s">
        <v>18909</v>
      </c>
      <c r="AP977" t="s">
        <v>74</v>
      </c>
      <c r="AQ977" t="s">
        <v>74</v>
      </c>
      <c r="AR977" t="s">
        <v>18910</v>
      </c>
      <c r="AS977" t="s">
        <v>18911</v>
      </c>
      <c r="AT977" t="s">
        <v>5993</v>
      </c>
      <c r="AU977">
        <v>2020</v>
      </c>
      <c r="AV977">
        <v>63</v>
      </c>
      <c r="AW977">
        <v>4</v>
      </c>
      <c r="AX977" t="s">
        <v>74</v>
      </c>
      <c r="AY977" t="s">
        <v>74</v>
      </c>
      <c r="AZ977" t="s">
        <v>74</v>
      </c>
      <c r="BA977" t="s">
        <v>74</v>
      </c>
      <c r="BB977">
        <v>1318</v>
      </c>
      <c r="BC977">
        <v>1331</v>
      </c>
      <c r="BD977" t="s">
        <v>74</v>
      </c>
      <c r="BE977" t="s">
        <v>18912</v>
      </c>
      <c r="BF977" t="str">
        <f>HYPERLINK("http://dx.doi.org/10.6038/cjg2020M0698","http://dx.doi.org/10.6038/cjg2020M0698")</f>
        <v>http://dx.doi.org/10.6038/cjg2020M0698</v>
      </c>
      <c r="BG977" t="s">
        <v>74</v>
      </c>
      <c r="BH977" t="s">
        <v>74</v>
      </c>
      <c r="BI977">
        <v>14</v>
      </c>
      <c r="BJ977" t="s">
        <v>131</v>
      </c>
      <c r="BK977" t="s">
        <v>102</v>
      </c>
      <c r="BL977" t="s">
        <v>131</v>
      </c>
      <c r="BM977" t="s">
        <v>18913</v>
      </c>
      <c r="BN977" t="s">
        <v>74</v>
      </c>
      <c r="BO977" t="s">
        <v>74</v>
      </c>
      <c r="BP977" t="s">
        <v>74</v>
      </c>
      <c r="BQ977" t="s">
        <v>74</v>
      </c>
      <c r="BR977" t="s">
        <v>106</v>
      </c>
      <c r="BS977" t="s">
        <v>18914</v>
      </c>
      <c r="BT977" t="str">
        <f>HYPERLINK("https%3A%2F%2Fwww.webofscience.com%2Fwos%2Fwoscc%2Ffull-record%2FWOS:000524071300007","View Full Record in Web of Science")</f>
        <v>View Full Record in Web of Science</v>
      </c>
    </row>
    <row r="978" spans="1:72" x14ac:dyDescent="0.15">
      <c r="A978" t="s">
        <v>72</v>
      </c>
      <c r="B978" t="s">
        <v>18915</v>
      </c>
      <c r="C978" t="s">
        <v>74</v>
      </c>
      <c r="D978" t="s">
        <v>74</v>
      </c>
      <c r="E978" t="s">
        <v>74</v>
      </c>
      <c r="F978" t="s">
        <v>18916</v>
      </c>
      <c r="G978" t="s">
        <v>74</v>
      </c>
      <c r="H978" t="s">
        <v>74</v>
      </c>
      <c r="I978" t="s">
        <v>18917</v>
      </c>
      <c r="J978" t="s">
        <v>2744</v>
      </c>
      <c r="K978" t="s">
        <v>74</v>
      </c>
      <c r="L978" t="s">
        <v>74</v>
      </c>
      <c r="M978" t="s">
        <v>78</v>
      </c>
      <c r="N978" t="s">
        <v>79</v>
      </c>
      <c r="O978" t="s">
        <v>74</v>
      </c>
      <c r="P978" t="s">
        <v>74</v>
      </c>
      <c r="Q978" t="s">
        <v>74</v>
      </c>
      <c r="R978" t="s">
        <v>74</v>
      </c>
      <c r="S978" t="s">
        <v>74</v>
      </c>
      <c r="T978" t="s">
        <v>18918</v>
      </c>
      <c r="U978" t="s">
        <v>18919</v>
      </c>
      <c r="V978" t="s">
        <v>18920</v>
      </c>
      <c r="W978" t="s">
        <v>18921</v>
      </c>
      <c r="X978" t="s">
        <v>18922</v>
      </c>
      <c r="Y978" t="s">
        <v>18923</v>
      </c>
      <c r="Z978" t="s">
        <v>18924</v>
      </c>
      <c r="AA978" t="s">
        <v>18925</v>
      </c>
      <c r="AB978" t="s">
        <v>18926</v>
      </c>
      <c r="AC978" t="s">
        <v>74</v>
      </c>
      <c r="AD978" t="s">
        <v>74</v>
      </c>
      <c r="AE978" t="s">
        <v>74</v>
      </c>
      <c r="AF978" t="s">
        <v>74</v>
      </c>
      <c r="AG978">
        <v>59</v>
      </c>
      <c r="AH978">
        <v>8</v>
      </c>
      <c r="AI978">
        <v>9</v>
      </c>
      <c r="AJ978">
        <v>1</v>
      </c>
      <c r="AK978">
        <v>13</v>
      </c>
      <c r="AL978" t="s">
        <v>994</v>
      </c>
      <c r="AM978" t="s">
        <v>995</v>
      </c>
      <c r="AN978" t="s">
        <v>996</v>
      </c>
      <c r="AO978" t="s">
        <v>2756</v>
      </c>
      <c r="AP978" t="s">
        <v>74</v>
      </c>
      <c r="AQ978" t="s">
        <v>74</v>
      </c>
      <c r="AR978" t="s">
        <v>2757</v>
      </c>
      <c r="AS978" t="s">
        <v>2758</v>
      </c>
      <c r="AT978" t="s">
        <v>5993</v>
      </c>
      <c r="AU978">
        <v>2020</v>
      </c>
      <c r="AV978">
        <v>10</v>
      </c>
      <c r="AW978">
        <v>7</v>
      </c>
      <c r="AX978" t="s">
        <v>74</v>
      </c>
      <c r="AY978" t="s">
        <v>74</v>
      </c>
      <c r="AZ978" t="s">
        <v>74</v>
      </c>
      <c r="BA978" t="s">
        <v>74</v>
      </c>
      <c r="BB978">
        <v>3346</v>
      </c>
      <c r="BC978">
        <v>3355</v>
      </c>
      <c r="BD978" t="s">
        <v>74</v>
      </c>
      <c r="BE978" t="s">
        <v>18927</v>
      </c>
      <c r="BF978" t="str">
        <f>HYPERLINK("http://dx.doi.org/10.1002/ece3.6127","http://dx.doi.org/10.1002/ece3.6127")</f>
        <v>http://dx.doi.org/10.1002/ece3.6127</v>
      </c>
      <c r="BG978" t="s">
        <v>74</v>
      </c>
      <c r="BH978" t="s">
        <v>74</v>
      </c>
      <c r="BI978">
        <v>10</v>
      </c>
      <c r="BJ978" t="s">
        <v>2760</v>
      </c>
      <c r="BK978" t="s">
        <v>102</v>
      </c>
      <c r="BL978" t="s">
        <v>2761</v>
      </c>
      <c r="BM978" t="s">
        <v>18928</v>
      </c>
      <c r="BN978">
        <v>32273992</v>
      </c>
      <c r="BO978" t="s">
        <v>1778</v>
      </c>
      <c r="BP978" t="s">
        <v>74</v>
      </c>
      <c r="BQ978" t="s">
        <v>74</v>
      </c>
      <c r="BR978" t="s">
        <v>106</v>
      </c>
      <c r="BS978" t="s">
        <v>18929</v>
      </c>
      <c r="BT978" t="str">
        <f>HYPERLINK("https%3A%2F%2Fwww.webofscience.com%2Fwos%2Fwoscc%2Ffull-record%2FWOS:000524417200016","View Full Record in Web of Science")</f>
        <v>View Full Record in Web of Science</v>
      </c>
    </row>
    <row r="979" spans="1:72" x14ac:dyDescent="0.15">
      <c r="A979" t="s">
        <v>72</v>
      </c>
      <c r="B979" t="s">
        <v>18930</v>
      </c>
      <c r="C979" t="s">
        <v>74</v>
      </c>
      <c r="D979" t="s">
        <v>74</v>
      </c>
      <c r="E979" t="s">
        <v>74</v>
      </c>
      <c r="F979" t="s">
        <v>18931</v>
      </c>
      <c r="G979" t="s">
        <v>74</v>
      </c>
      <c r="H979" t="s">
        <v>74</v>
      </c>
      <c r="I979" t="s">
        <v>18932</v>
      </c>
      <c r="J979" t="s">
        <v>18933</v>
      </c>
      <c r="K979" t="s">
        <v>74</v>
      </c>
      <c r="L979" t="s">
        <v>74</v>
      </c>
      <c r="M979" t="s">
        <v>78</v>
      </c>
      <c r="N979" t="s">
        <v>245</v>
      </c>
      <c r="O979" t="s">
        <v>74</v>
      </c>
      <c r="P979" t="s">
        <v>74</v>
      </c>
      <c r="Q979" t="s">
        <v>74</v>
      </c>
      <c r="R979" t="s">
        <v>74</v>
      </c>
      <c r="S979" t="s">
        <v>74</v>
      </c>
      <c r="T979" t="s">
        <v>18934</v>
      </c>
      <c r="U979" t="s">
        <v>18935</v>
      </c>
      <c r="V979" t="s">
        <v>18936</v>
      </c>
      <c r="W979" t="s">
        <v>18937</v>
      </c>
      <c r="X979" t="s">
        <v>18938</v>
      </c>
      <c r="Y979" t="s">
        <v>18939</v>
      </c>
      <c r="Z979" t="s">
        <v>18940</v>
      </c>
      <c r="AA979" t="s">
        <v>18941</v>
      </c>
      <c r="AB979" t="s">
        <v>18942</v>
      </c>
      <c r="AC979" t="s">
        <v>18943</v>
      </c>
      <c r="AD979" t="s">
        <v>992</v>
      </c>
      <c r="AE979" t="s">
        <v>18944</v>
      </c>
      <c r="AF979" t="s">
        <v>74</v>
      </c>
      <c r="AG979">
        <v>78</v>
      </c>
      <c r="AH979">
        <v>31</v>
      </c>
      <c r="AI979">
        <v>32</v>
      </c>
      <c r="AJ979">
        <v>4</v>
      </c>
      <c r="AK979">
        <v>28</v>
      </c>
      <c r="AL979" t="s">
        <v>18945</v>
      </c>
      <c r="AM979" t="s">
        <v>18946</v>
      </c>
      <c r="AN979" t="s">
        <v>18947</v>
      </c>
      <c r="AO979" t="s">
        <v>18948</v>
      </c>
      <c r="AP979" t="s">
        <v>18949</v>
      </c>
      <c r="AQ979" t="s">
        <v>74</v>
      </c>
      <c r="AR979" t="s">
        <v>18950</v>
      </c>
      <c r="AS979" t="s">
        <v>18951</v>
      </c>
      <c r="AT979" t="s">
        <v>5993</v>
      </c>
      <c r="AU979">
        <v>2020</v>
      </c>
      <c r="AV979">
        <v>98</v>
      </c>
      <c r="AW979">
        <v>4</v>
      </c>
      <c r="AX979" t="s">
        <v>74</v>
      </c>
      <c r="AY979" t="s">
        <v>74</v>
      </c>
      <c r="AZ979" t="s">
        <v>74</v>
      </c>
      <c r="BA979" t="s">
        <v>74</v>
      </c>
      <c r="BB979">
        <v>237</v>
      </c>
      <c r="BC979">
        <v>244</v>
      </c>
      <c r="BD979" t="s">
        <v>74</v>
      </c>
      <c r="BE979" t="s">
        <v>18952</v>
      </c>
      <c r="BF979" t="str">
        <f>HYPERLINK("http://dx.doi.org/10.1139/cjz-2018-0276","http://dx.doi.org/10.1139/cjz-2018-0276")</f>
        <v>http://dx.doi.org/10.1139/cjz-2018-0276</v>
      </c>
      <c r="BG979" t="s">
        <v>74</v>
      </c>
      <c r="BH979" t="s">
        <v>74</v>
      </c>
      <c r="BI979">
        <v>8</v>
      </c>
      <c r="BJ979" t="s">
        <v>1499</v>
      </c>
      <c r="BK979" t="s">
        <v>102</v>
      </c>
      <c r="BL979" t="s">
        <v>1499</v>
      </c>
      <c r="BM979" t="s">
        <v>18953</v>
      </c>
      <c r="BN979" t="s">
        <v>74</v>
      </c>
      <c r="BO979" t="s">
        <v>74</v>
      </c>
      <c r="BP979" t="s">
        <v>74</v>
      </c>
      <c r="BQ979" t="s">
        <v>74</v>
      </c>
      <c r="BR979" t="s">
        <v>106</v>
      </c>
      <c r="BS979" t="s">
        <v>18954</v>
      </c>
      <c r="BT979" t="str">
        <f>HYPERLINK("https%3A%2F%2Fwww.webofscience.com%2Fwos%2Fwoscc%2Ffull-record%2FWOS:000524066300002","View Full Record in Web of Science")</f>
        <v>View Full Record in Web of Science</v>
      </c>
    </row>
    <row r="980" spans="1:72" x14ac:dyDescent="0.15">
      <c r="A980" t="s">
        <v>72</v>
      </c>
      <c r="B980" t="s">
        <v>18955</v>
      </c>
      <c r="C980" t="s">
        <v>74</v>
      </c>
      <c r="D980" t="s">
        <v>74</v>
      </c>
      <c r="E980" t="s">
        <v>74</v>
      </c>
      <c r="F980" t="s">
        <v>18956</v>
      </c>
      <c r="G980" t="s">
        <v>74</v>
      </c>
      <c r="H980" t="s">
        <v>74</v>
      </c>
      <c r="I980" t="s">
        <v>18957</v>
      </c>
      <c r="J980" t="s">
        <v>18958</v>
      </c>
      <c r="K980" t="s">
        <v>74</v>
      </c>
      <c r="L980" t="s">
        <v>74</v>
      </c>
      <c r="M980" t="s">
        <v>78</v>
      </c>
      <c r="N980" t="s">
        <v>79</v>
      </c>
      <c r="O980" t="s">
        <v>74</v>
      </c>
      <c r="P980" t="s">
        <v>74</v>
      </c>
      <c r="Q980" t="s">
        <v>74</v>
      </c>
      <c r="R980" t="s">
        <v>74</v>
      </c>
      <c r="S980" t="s">
        <v>74</v>
      </c>
      <c r="T980" t="s">
        <v>18959</v>
      </c>
      <c r="U980" t="s">
        <v>18960</v>
      </c>
      <c r="V980" t="s">
        <v>18961</v>
      </c>
      <c r="W980" t="s">
        <v>18962</v>
      </c>
      <c r="X980" t="s">
        <v>18963</v>
      </c>
      <c r="Y980" t="s">
        <v>18964</v>
      </c>
      <c r="Z980" t="s">
        <v>18965</v>
      </c>
      <c r="AA980" t="s">
        <v>18966</v>
      </c>
      <c r="AB980" t="s">
        <v>18967</v>
      </c>
      <c r="AC980" t="s">
        <v>74</v>
      </c>
      <c r="AD980" t="s">
        <v>74</v>
      </c>
      <c r="AE980" t="s">
        <v>74</v>
      </c>
      <c r="AF980" t="s">
        <v>74</v>
      </c>
      <c r="AG980">
        <v>74</v>
      </c>
      <c r="AH980">
        <v>11</v>
      </c>
      <c r="AI980">
        <v>12</v>
      </c>
      <c r="AJ980">
        <v>1</v>
      </c>
      <c r="AK980">
        <v>18</v>
      </c>
      <c r="AL980" t="s">
        <v>1440</v>
      </c>
      <c r="AM980" t="s">
        <v>399</v>
      </c>
      <c r="AN980" t="s">
        <v>1441</v>
      </c>
      <c r="AO980" t="s">
        <v>18968</v>
      </c>
      <c r="AP980" t="s">
        <v>18969</v>
      </c>
      <c r="AQ980" t="s">
        <v>74</v>
      </c>
      <c r="AR980" t="s">
        <v>18958</v>
      </c>
      <c r="AS980" t="s">
        <v>18970</v>
      </c>
      <c r="AT980" t="s">
        <v>5993</v>
      </c>
      <c r="AU980">
        <v>2020</v>
      </c>
      <c r="AV980">
        <v>39</v>
      </c>
      <c r="AW980">
        <v>2</v>
      </c>
      <c r="AX980" t="s">
        <v>74</v>
      </c>
      <c r="AY980" t="s">
        <v>74</v>
      </c>
      <c r="AZ980" t="s">
        <v>74</v>
      </c>
      <c r="BA980" t="s">
        <v>74</v>
      </c>
      <c r="BB980">
        <v>293</v>
      </c>
      <c r="BC980">
        <v>303</v>
      </c>
      <c r="BD980" t="s">
        <v>74</v>
      </c>
      <c r="BE980" t="s">
        <v>18971</v>
      </c>
      <c r="BF980" t="str">
        <f>HYPERLINK("http://dx.doi.org/10.1007/s00338-019-01890-w","http://dx.doi.org/10.1007/s00338-019-01890-w")</f>
        <v>http://dx.doi.org/10.1007/s00338-019-01890-w</v>
      </c>
      <c r="BG980" t="s">
        <v>74</v>
      </c>
      <c r="BH980" t="s">
        <v>74</v>
      </c>
      <c r="BI980">
        <v>11</v>
      </c>
      <c r="BJ980" t="s">
        <v>1680</v>
      </c>
      <c r="BK980" t="s">
        <v>102</v>
      </c>
      <c r="BL980" t="s">
        <v>1680</v>
      </c>
      <c r="BM980" t="s">
        <v>18972</v>
      </c>
      <c r="BN980" t="s">
        <v>74</v>
      </c>
      <c r="BO980" t="s">
        <v>74</v>
      </c>
      <c r="BP980" t="s">
        <v>74</v>
      </c>
      <c r="BQ980" t="s">
        <v>74</v>
      </c>
      <c r="BR980" t="s">
        <v>106</v>
      </c>
      <c r="BS980" t="s">
        <v>18973</v>
      </c>
      <c r="BT980" t="str">
        <f>HYPERLINK("https%3A%2F%2Fwww.webofscience.com%2Fwos%2Fwoscc%2Ffull-record%2FWOS:000524325200005","View Full Record in Web of Science")</f>
        <v>View Full Record in Web of Science</v>
      </c>
    </row>
    <row r="981" spans="1:72" x14ac:dyDescent="0.15">
      <c r="A981" t="s">
        <v>72</v>
      </c>
      <c r="B981" t="s">
        <v>18974</v>
      </c>
      <c r="C981" t="s">
        <v>74</v>
      </c>
      <c r="D981" t="s">
        <v>74</v>
      </c>
      <c r="E981" t="s">
        <v>74</v>
      </c>
      <c r="F981" t="s">
        <v>18975</v>
      </c>
      <c r="G981" t="s">
        <v>74</v>
      </c>
      <c r="H981" t="s">
        <v>74</v>
      </c>
      <c r="I981" t="s">
        <v>18976</v>
      </c>
      <c r="J981" t="s">
        <v>5330</v>
      </c>
      <c r="K981" t="s">
        <v>74</v>
      </c>
      <c r="L981" t="s">
        <v>74</v>
      </c>
      <c r="M981" t="s">
        <v>78</v>
      </c>
      <c r="N981" t="s">
        <v>79</v>
      </c>
      <c r="O981" t="s">
        <v>74</v>
      </c>
      <c r="P981" t="s">
        <v>74</v>
      </c>
      <c r="Q981" t="s">
        <v>74</v>
      </c>
      <c r="R981" t="s">
        <v>74</v>
      </c>
      <c r="S981" t="s">
        <v>74</v>
      </c>
      <c r="T981" t="s">
        <v>18977</v>
      </c>
      <c r="U981" t="s">
        <v>18978</v>
      </c>
      <c r="V981" t="s">
        <v>18979</v>
      </c>
      <c r="W981" t="s">
        <v>18980</v>
      </c>
      <c r="X981" t="s">
        <v>18981</v>
      </c>
      <c r="Y981" t="s">
        <v>18982</v>
      </c>
      <c r="Z981" t="s">
        <v>18983</v>
      </c>
      <c r="AA981" t="s">
        <v>18984</v>
      </c>
      <c r="AB981" t="s">
        <v>18985</v>
      </c>
      <c r="AC981" t="s">
        <v>18986</v>
      </c>
      <c r="AD981" t="s">
        <v>18987</v>
      </c>
      <c r="AE981" t="s">
        <v>18988</v>
      </c>
      <c r="AF981" t="s">
        <v>74</v>
      </c>
      <c r="AG981">
        <v>64</v>
      </c>
      <c r="AH981">
        <v>8</v>
      </c>
      <c r="AI981">
        <v>8</v>
      </c>
      <c r="AJ981">
        <v>0</v>
      </c>
      <c r="AK981">
        <v>5</v>
      </c>
      <c r="AL981" t="s">
        <v>92</v>
      </c>
      <c r="AM981" t="s">
        <v>93</v>
      </c>
      <c r="AN981" t="s">
        <v>94</v>
      </c>
      <c r="AO981" t="s">
        <v>5342</v>
      </c>
      <c r="AP981" t="s">
        <v>5343</v>
      </c>
      <c r="AQ981" t="s">
        <v>74</v>
      </c>
      <c r="AR981" t="s">
        <v>5344</v>
      </c>
      <c r="AS981" t="s">
        <v>5345</v>
      </c>
      <c r="AT981" t="s">
        <v>5993</v>
      </c>
      <c r="AU981">
        <v>2020</v>
      </c>
      <c r="AV981">
        <v>158</v>
      </c>
      <c r="AW981" t="s">
        <v>74</v>
      </c>
      <c r="AX981" t="s">
        <v>74</v>
      </c>
      <c r="AY981" t="s">
        <v>74</v>
      </c>
      <c r="AZ981" t="s">
        <v>74</v>
      </c>
      <c r="BA981" t="s">
        <v>74</v>
      </c>
      <c r="BB981" t="s">
        <v>74</v>
      </c>
      <c r="BC981" t="s">
        <v>74</v>
      </c>
      <c r="BD981">
        <v>103230</v>
      </c>
      <c r="BE981" t="s">
        <v>18989</v>
      </c>
      <c r="BF981" t="str">
        <f>HYPERLINK("http://dx.doi.org/10.1016/j.dsr.2020.103230","http://dx.doi.org/10.1016/j.dsr.2020.103230")</f>
        <v>http://dx.doi.org/10.1016/j.dsr.2020.103230</v>
      </c>
      <c r="BG981" t="s">
        <v>74</v>
      </c>
      <c r="BH981" t="s">
        <v>74</v>
      </c>
      <c r="BI981">
        <v>16</v>
      </c>
      <c r="BJ981" t="s">
        <v>213</v>
      </c>
      <c r="BK981" t="s">
        <v>102</v>
      </c>
      <c r="BL981" t="s">
        <v>213</v>
      </c>
      <c r="BM981" t="s">
        <v>18990</v>
      </c>
      <c r="BN981" t="s">
        <v>74</v>
      </c>
      <c r="BO981" t="s">
        <v>7005</v>
      </c>
      <c r="BP981" t="s">
        <v>74</v>
      </c>
      <c r="BQ981" t="s">
        <v>74</v>
      </c>
      <c r="BR981" t="s">
        <v>106</v>
      </c>
      <c r="BS981" t="s">
        <v>18991</v>
      </c>
      <c r="BT981" t="str">
        <f>HYPERLINK("https%3A%2F%2Fwww.webofscience.com%2Fwos%2Fwoscc%2Ffull-record%2FWOS:000523718600010","View Full Record in Web of Science")</f>
        <v>View Full Record in Web of Science</v>
      </c>
    </row>
    <row r="982" spans="1:72" x14ac:dyDescent="0.15">
      <c r="A982" t="s">
        <v>72</v>
      </c>
      <c r="B982" t="s">
        <v>18992</v>
      </c>
      <c r="C982" t="s">
        <v>74</v>
      </c>
      <c r="D982" t="s">
        <v>74</v>
      </c>
      <c r="E982" t="s">
        <v>74</v>
      </c>
      <c r="F982" t="s">
        <v>18993</v>
      </c>
      <c r="G982" t="s">
        <v>74</v>
      </c>
      <c r="H982" t="s">
        <v>74</v>
      </c>
      <c r="I982" t="s">
        <v>18994</v>
      </c>
      <c r="J982" t="s">
        <v>5001</v>
      </c>
      <c r="K982" t="s">
        <v>74</v>
      </c>
      <c r="L982" t="s">
        <v>74</v>
      </c>
      <c r="M982" t="s">
        <v>78</v>
      </c>
      <c r="N982" t="s">
        <v>79</v>
      </c>
      <c r="O982" t="s">
        <v>74</v>
      </c>
      <c r="P982" t="s">
        <v>74</v>
      </c>
      <c r="Q982" t="s">
        <v>74</v>
      </c>
      <c r="R982" t="s">
        <v>74</v>
      </c>
      <c r="S982" t="s">
        <v>74</v>
      </c>
      <c r="T982" t="s">
        <v>74</v>
      </c>
      <c r="U982" t="s">
        <v>18995</v>
      </c>
      <c r="V982" t="s">
        <v>18996</v>
      </c>
      <c r="W982" t="s">
        <v>18997</v>
      </c>
      <c r="X982" t="s">
        <v>18998</v>
      </c>
      <c r="Y982" t="s">
        <v>18999</v>
      </c>
      <c r="Z982" t="s">
        <v>74</v>
      </c>
      <c r="AA982" t="s">
        <v>19000</v>
      </c>
      <c r="AB982" t="s">
        <v>19001</v>
      </c>
      <c r="AC982" t="s">
        <v>19002</v>
      </c>
      <c r="AD982" t="s">
        <v>19003</v>
      </c>
      <c r="AE982" t="s">
        <v>19004</v>
      </c>
      <c r="AF982" t="s">
        <v>74</v>
      </c>
      <c r="AG982">
        <v>34</v>
      </c>
      <c r="AH982">
        <v>10</v>
      </c>
      <c r="AI982">
        <v>9</v>
      </c>
      <c r="AJ982">
        <v>1</v>
      </c>
      <c r="AK982">
        <v>11</v>
      </c>
      <c r="AL982" t="s">
        <v>5012</v>
      </c>
      <c r="AM982" t="s">
        <v>5013</v>
      </c>
      <c r="AN982" t="s">
        <v>5014</v>
      </c>
      <c r="AO982" t="s">
        <v>5015</v>
      </c>
      <c r="AP982" t="s">
        <v>5016</v>
      </c>
      <c r="AQ982" t="s">
        <v>74</v>
      </c>
      <c r="AR982" t="s">
        <v>5001</v>
      </c>
      <c r="AS982" t="s">
        <v>472</v>
      </c>
      <c r="AT982" t="s">
        <v>18776</v>
      </c>
      <c r="AU982">
        <v>2020</v>
      </c>
      <c r="AV982">
        <v>48</v>
      </c>
      <c r="AW982">
        <v>4</v>
      </c>
      <c r="AX982" t="s">
        <v>74</v>
      </c>
      <c r="AY982" t="s">
        <v>74</v>
      </c>
      <c r="AZ982" t="s">
        <v>74</v>
      </c>
      <c r="BA982" t="s">
        <v>74</v>
      </c>
      <c r="BB982">
        <v>313</v>
      </c>
      <c r="BC982">
        <v>317</v>
      </c>
      <c r="BD982" t="s">
        <v>74</v>
      </c>
      <c r="BE982" t="s">
        <v>19005</v>
      </c>
      <c r="BF982" t="str">
        <f>HYPERLINK("http://dx.doi.org/10.1130/G46916.1","http://dx.doi.org/10.1130/G46916.1")</f>
        <v>http://dx.doi.org/10.1130/G46916.1</v>
      </c>
      <c r="BG982" t="s">
        <v>74</v>
      </c>
      <c r="BH982" t="s">
        <v>74</v>
      </c>
      <c r="BI982">
        <v>5</v>
      </c>
      <c r="BJ982" t="s">
        <v>472</v>
      </c>
      <c r="BK982" t="s">
        <v>102</v>
      </c>
      <c r="BL982" t="s">
        <v>472</v>
      </c>
      <c r="BM982" t="s">
        <v>19006</v>
      </c>
      <c r="BN982" t="s">
        <v>74</v>
      </c>
      <c r="BO982" t="s">
        <v>74</v>
      </c>
      <c r="BP982" t="s">
        <v>74</v>
      </c>
      <c r="BQ982" t="s">
        <v>74</v>
      </c>
      <c r="BR982" t="s">
        <v>106</v>
      </c>
      <c r="BS982" t="s">
        <v>19007</v>
      </c>
      <c r="BT982" t="str">
        <f>HYPERLINK("https%3A%2F%2Fwww.webofscience.com%2Fwos%2Fwoscc%2Ffull-record%2FWOS:000524233700004","View Full Record in Web of Science")</f>
        <v>View Full Record in Web of Science</v>
      </c>
    </row>
    <row r="983" spans="1:72" x14ac:dyDescent="0.15">
      <c r="A983" t="s">
        <v>72</v>
      </c>
      <c r="B983" t="s">
        <v>19008</v>
      </c>
      <c r="C983" t="s">
        <v>74</v>
      </c>
      <c r="D983" t="s">
        <v>74</v>
      </c>
      <c r="E983" t="s">
        <v>74</v>
      </c>
      <c r="F983" t="s">
        <v>19009</v>
      </c>
      <c r="G983" t="s">
        <v>74</v>
      </c>
      <c r="H983" t="s">
        <v>74</v>
      </c>
      <c r="I983" t="s">
        <v>19010</v>
      </c>
      <c r="J983" t="s">
        <v>19011</v>
      </c>
      <c r="K983" t="s">
        <v>74</v>
      </c>
      <c r="L983" t="s">
        <v>74</v>
      </c>
      <c r="M983" t="s">
        <v>78</v>
      </c>
      <c r="N983" t="s">
        <v>79</v>
      </c>
      <c r="O983" t="s">
        <v>74</v>
      </c>
      <c r="P983" t="s">
        <v>74</v>
      </c>
      <c r="Q983" t="s">
        <v>74</v>
      </c>
      <c r="R983" t="s">
        <v>74</v>
      </c>
      <c r="S983" t="s">
        <v>74</v>
      </c>
      <c r="T983" t="s">
        <v>19012</v>
      </c>
      <c r="U983" t="s">
        <v>74</v>
      </c>
      <c r="V983" t="s">
        <v>19013</v>
      </c>
      <c r="W983" t="s">
        <v>19014</v>
      </c>
      <c r="X983" t="s">
        <v>19015</v>
      </c>
      <c r="Y983" t="s">
        <v>19016</v>
      </c>
      <c r="Z983" t="s">
        <v>19017</v>
      </c>
      <c r="AA983" t="s">
        <v>74</v>
      </c>
      <c r="AB983" t="s">
        <v>74</v>
      </c>
      <c r="AC983" t="s">
        <v>19018</v>
      </c>
      <c r="AD983" t="s">
        <v>19019</v>
      </c>
      <c r="AE983" t="s">
        <v>19020</v>
      </c>
      <c r="AF983" t="s">
        <v>74</v>
      </c>
      <c r="AG983">
        <v>13</v>
      </c>
      <c r="AH983">
        <v>1</v>
      </c>
      <c r="AI983">
        <v>1</v>
      </c>
      <c r="AJ983">
        <v>0</v>
      </c>
      <c r="AK983">
        <v>4</v>
      </c>
      <c r="AL983" t="s">
        <v>92</v>
      </c>
      <c r="AM983" t="s">
        <v>93</v>
      </c>
      <c r="AN983" t="s">
        <v>94</v>
      </c>
      <c r="AO983" t="s">
        <v>19021</v>
      </c>
      <c r="AP983" t="s">
        <v>19022</v>
      </c>
      <c r="AQ983" t="s">
        <v>74</v>
      </c>
      <c r="AR983" t="s">
        <v>19023</v>
      </c>
      <c r="AS983" t="s">
        <v>19024</v>
      </c>
      <c r="AT983" t="s">
        <v>5993</v>
      </c>
      <c r="AU983">
        <v>2020</v>
      </c>
      <c r="AV983">
        <v>89</v>
      </c>
      <c r="AW983" t="s">
        <v>74</v>
      </c>
      <c r="AX983" t="s">
        <v>74</v>
      </c>
      <c r="AY983" t="s">
        <v>74</v>
      </c>
      <c r="AZ983" t="s">
        <v>74</v>
      </c>
      <c r="BA983" t="s">
        <v>74</v>
      </c>
      <c r="BB983" t="s">
        <v>74</v>
      </c>
      <c r="BC983" t="s">
        <v>74</v>
      </c>
      <c r="BD983">
        <v>104000</v>
      </c>
      <c r="BE983" t="s">
        <v>19025</v>
      </c>
      <c r="BF983" t="str">
        <f>HYPERLINK("http://dx.doi.org/10.1016/j.bse.2019.104000","http://dx.doi.org/10.1016/j.bse.2019.104000")</f>
        <v>http://dx.doi.org/10.1016/j.bse.2019.104000</v>
      </c>
      <c r="BG983" t="s">
        <v>74</v>
      </c>
      <c r="BH983" t="s">
        <v>74</v>
      </c>
      <c r="BI983">
        <v>4</v>
      </c>
      <c r="BJ983" t="s">
        <v>10393</v>
      </c>
      <c r="BK983" t="s">
        <v>102</v>
      </c>
      <c r="BL983" t="s">
        <v>10394</v>
      </c>
      <c r="BM983" t="s">
        <v>19026</v>
      </c>
      <c r="BN983" t="s">
        <v>74</v>
      </c>
      <c r="BO983" t="s">
        <v>74</v>
      </c>
      <c r="BP983" t="s">
        <v>74</v>
      </c>
      <c r="BQ983" t="s">
        <v>74</v>
      </c>
      <c r="BR983" t="s">
        <v>106</v>
      </c>
      <c r="BS983" t="s">
        <v>19027</v>
      </c>
      <c r="BT983" t="str">
        <f>HYPERLINK("https%3A%2F%2Fwww.webofscience.com%2Fwos%2Fwoscc%2Ffull-record%2FWOS:000523702500014","View Full Record in Web of Science")</f>
        <v>View Full Record in Web of Science</v>
      </c>
    </row>
    <row r="984" spans="1:72" x14ac:dyDescent="0.15">
      <c r="A984" t="s">
        <v>72</v>
      </c>
      <c r="B984" t="s">
        <v>19028</v>
      </c>
      <c r="C984" t="s">
        <v>74</v>
      </c>
      <c r="D984" t="s">
        <v>74</v>
      </c>
      <c r="E984" t="s">
        <v>74</v>
      </c>
      <c r="F984" t="s">
        <v>19029</v>
      </c>
      <c r="G984" t="s">
        <v>74</v>
      </c>
      <c r="H984" t="s">
        <v>74</v>
      </c>
      <c r="I984" t="s">
        <v>19030</v>
      </c>
      <c r="J984" t="s">
        <v>77</v>
      </c>
      <c r="K984" t="s">
        <v>74</v>
      </c>
      <c r="L984" t="s">
        <v>74</v>
      </c>
      <c r="M984" t="s">
        <v>78</v>
      </c>
      <c r="N984" t="s">
        <v>79</v>
      </c>
      <c r="O984" t="s">
        <v>74</v>
      </c>
      <c r="P984" t="s">
        <v>74</v>
      </c>
      <c r="Q984" t="s">
        <v>74</v>
      </c>
      <c r="R984" t="s">
        <v>74</v>
      </c>
      <c r="S984" t="s">
        <v>74</v>
      </c>
      <c r="T984" t="s">
        <v>19031</v>
      </c>
      <c r="U984" t="s">
        <v>19032</v>
      </c>
      <c r="V984" t="s">
        <v>19033</v>
      </c>
      <c r="W984" t="s">
        <v>19034</v>
      </c>
      <c r="X984" t="s">
        <v>19035</v>
      </c>
      <c r="Y984" t="s">
        <v>19036</v>
      </c>
      <c r="Z984" t="s">
        <v>19037</v>
      </c>
      <c r="AA984" t="s">
        <v>19038</v>
      </c>
      <c r="AB984" t="s">
        <v>19039</v>
      </c>
      <c r="AC984" t="s">
        <v>74</v>
      </c>
      <c r="AD984" t="s">
        <v>74</v>
      </c>
      <c r="AE984" t="s">
        <v>74</v>
      </c>
      <c r="AF984" t="s">
        <v>74</v>
      </c>
      <c r="AG984">
        <v>67</v>
      </c>
      <c r="AH984">
        <v>126</v>
      </c>
      <c r="AI984">
        <v>135</v>
      </c>
      <c r="AJ984">
        <v>13</v>
      </c>
      <c r="AK984">
        <v>128</v>
      </c>
      <c r="AL984" t="s">
        <v>92</v>
      </c>
      <c r="AM984" t="s">
        <v>93</v>
      </c>
      <c r="AN984" t="s">
        <v>94</v>
      </c>
      <c r="AO984" t="s">
        <v>95</v>
      </c>
      <c r="AP984" t="s">
        <v>96</v>
      </c>
      <c r="AQ984" t="s">
        <v>74</v>
      </c>
      <c r="AR984" t="s">
        <v>97</v>
      </c>
      <c r="AS984" t="s">
        <v>98</v>
      </c>
      <c r="AT984" t="s">
        <v>5993</v>
      </c>
      <c r="AU984">
        <v>2020</v>
      </c>
      <c r="AV984">
        <v>137</v>
      </c>
      <c r="AW984" t="s">
        <v>74</v>
      </c>
      <c r="AX984" t="s">
        <v>74</v>
      </c>
      <c r="AY984" t="s">
        <v>74</v>
      </c>
      <c r="AZ984" t="s">
        <v>74</v>
      </c>
      <c r="BA984" t="s">
        <v>74</v>
      </c>
      <c r="BB984" t="s">
        <v>74</v>
      </c>
      <c r="BC984" t="s">
        <v>74</v>
      </c>
      <c r="BD984">
        <v>105587</v>
      </c>
      <c r="BE984" t="s">
        <v>19040</v>
      </c>
      <c r="BF984" t="str">
        <f>HYPERLINK("http://dx.doi.org/10.1016/j.envint.2020.105587","http://dx.doi.org/10.1016/j.envint.2020.105587")</f>
        <v>http://dx.doi.org/10.1016/j.envint.2020.105587</v>
      </c>
      <c r="BG984" t="s">
        <v>74</v>
      </c>
      <c r="BH984" t="s">
        <v>74</v>
      </c>
      <c r="BI984">
        <v>8</v>
      </c>
      <c r="BJ984" t="s">
        <v>101</v>
      </c>
      <c r="BK984" t="s">
        <v>102</v>
      </c>
      <c r="BL984" t="s">
        <v>103</v>
      </c>
      <c r="BM984" t="s">
        <v>19041</v>
      </c>
      <c r="BN984">
        <v>32097803</v>
      </c>
      <c r="BO984" t="s">
        <v>1778</v>
      </c>
      <c r="BP984" t="s">
        <v>74</v>
      </c>
      <c r="BQ984" t="s">
        <v>74</v>
      </c>
      <c r="BR984" t="s">
        <v>106</v>
      </c>
      <c r="BS984" t="s">
        <v>19042</v>
      </c>
      <c r="BT984" t="str">
        <f>HYPERLINK("https%3A%2F%2Fwww.webofscience.com%2Fwos%2Fwoscc%2Ffull-record%2FWOS:000517970800056","View Full Record in Web of Science")</f>
        <v>View Full Record in Web of Science</v>
      </c>
    </row>
    <row r="985" spans="1:72" x14ac:dyDescent="0.15">
      <c r="A985" t="s">
        <v>72</v>
      </c>
      <c r="B985" t="s">
        <v>19043</v>
      </c>
      <c r="C985" t="s">
        <v>74</v>
      </c>
      <c r="D985" t="s">
        <v>74</v>
      </c>
      <c r="E985" t="s">
        <v>74</v>
      </c>
      <c r="F985" t="s">
        <v>19044</v>
      </c>
      <c r="G985" t="s">
        <v>74</v>
      </c>
      <c r="H985" t="s">
        <v>74</v>
      </c>
      <c r="I985" t="s">
        <v>19045</v>
      </c>
      <c r="J985" t="s">
        <v>19046</v>
      </c>
      <c r="K985" t="s">
        <v>74</v>
      </c>
      <c r="L985" t="s">
        <v>74</v>
      </c>
      <c r="M985" t="s">
        <v>78</v>
      </c>
      <c r="N985" t="s">
        <v>79</v>
      </c>
      <c r="O985" t="s">
        <v>74</v>
      </c>
      <c r="P985" t="s">
        <v>74</v>
      </c>
      <c r="Q985" t="s">
        <v>74</v>
      </c>
      <c r="R985" t="s">
        <v>74</v>
      </c>
      <c r="S985" t="s">
        <v>74</v>
      </c>
      <c r="T985" t="s">
        <v>19047</v>
      </c>
      <c r="U985" t="s">
        <v>19048</v>
      </c>
      <c r="V985" t="s">
        <v>19049</v>
      </c>
      <c r="W985" t="s">
        <v>19050</v>
      </c>
      <c r="X985" t="s">
        <v>19051</v>
      </c>
      <c r="Y985" t="s">
        <v>19052</v>
      </c>
      <c r="Z985" t="s">
        <v>19053</v>
      </c>
      <c r="AA985" t="s">
        <v>19054</v>
      </c>
      <c r="AB985" t="s">
        <v>19055</v>
      </c>
      <c r="AC985" t="s">
        <v>19056</v>
      </c>
      <c r="AD985" t="s">
        <v>19057</v>
      </c>
      <c r="AE985" t="s">
        <v>19058</v>
      </c>
      <c r="AF985" t="s">
        <v>74</v>
      </c>
      <c r="AG985">
        <v>96</v>
      </c>
      <c r="AH985">
        <v>17</v>
      </c>
      <c r="AI985">
        <v>19</v>
      </c>
      <c r="AJ985">
        <v>2</v>
      </c>
      <c r="AK985">
        <v>78</v>
      </c>
      <c r="AL985" t="s">
        <v>284</v>
      </c>
      <c r="AM985" t="s">
        <v>285</v>
      </c>
      <c r="AN985" t="s">
        <v>286</v>
      </c>
      <c r="AO985" t="s">
        <v>19059</v>
      </c>
      <c r="AP985" t="s">
        <v>74</v>
      </c>
      <c r="AQ985" t="s">
        <v>74</v>
      </c>
      <c r="AR985" t="s">
        <v>19060</v>
      </c>
      <c r="AS985" t="s">
        <v>19061</v>
      </c>
      <c r="AT985" t="s">
        <v>5993</v>
      </c>
      <c r="AU985">
        <v>2020</v>
      </c>
      <c r="AV985">
        <v>11</v>
      </c>
      <c r="AW985" t="s">
        <v>74</v>
      </c>
      <c r="AX985" t="s">
        <v>74</v>
      </c>
      <c r="AY985" t="s">
        <v>74</v>
      </c>
      <c r="AZ985" t="s">
        <v>74</v>
      </c>
      <c r="BA985" t="s">
        <v>74</v>
      </c>
      <c r="BB985">
        <v>1</v>
      </c>
      <c r="BC985">
        <v>11</v>
      </c>
      <c r="BD985" t="s">
        <v>74</v>
      </c>
      <c r="BE985" t="s">
        <v>19062</v>
      </c>
      <c r="BF985" t="str">
        <f>HYPERLINK("http://dx.doi.org/10.1016/j.ijppaw.2019.11.002","http://dx.doi.org/10.1016/j.ijppaw.2019.11.002")</f>
        <v>http://dx.doi.org/10.1016/j.ijppaw.2019.11.002</v>
      </c>
      <c r="BG985" t="s">
        <v>74</v>
      </c>
      <c r="BH985" t="s">
        <v>74</v>
      </c>
      <c r="BI985">
        <v>11</v>
      </c>
      <c r="BJ985" t="s">
        <v>19063</v>
      </c>
      <c r="BK985" t="s">
        <v>102</v>
      </c>
      <c r="BL985" t="s">
        <v>19064</v>
      </c>
      <c r="BM985" t="s">
        <v>19065</v>
      </c>
      <c r="BN985">
        <v>31879589</v>
      </c>
      <c r="BO985" t="s">
        <v>1778</v>
      </c>
      <c r="BP985" t="s">
        <v>74</v>
      </c>
      <c r="BQ985" t="s">
        <v>74</v>
      </c>
      <c r="BR985" t="s">
        <v>106</v>
      </c>
      <c r="BS985" t="s">
        <v>19066</v>
      </c>
      <c r="BT985" t="str">
        <f>HYPERLINK("https%3A%2F%2Fwww.webofscience.com%2Fwos%2Fwoscc%2Ffull-record%2FWOS:000523574400001","View Full Record in Web of Science")</f>
        <v>View Full Record in Web of Science</v>
      </c>
    </row>
    <row r="986" spans="1:72" x14ac:dyDescent="0.15">
      <c r="A986" t="s">
        <v>72</v>
      </c>
      <c r="B986" t="s">
        <v>19067</v>
      </c>
      <c r="C986" t="s">
        <v>74</v>
      </c>
      <c r="D986" t="s">
        <v>74</v>
      </c>
      <c r="E986" t="s">
        <v>74</v>
      </c>
      <c r="F986" t="s">
        <v>19068</v>
      </c>
      <c r="G986" t="s">
        <v>74</v>
      </c>
      <c r="H986" t="s">
        <v>74</v>
      </c>
      <c r="I986" t="s">
        <v>19069</v>
      </c>
      <c r="J986" t="s">
        <v>19070</v>
      </c>
      <c r="K986" t="s">
        <v>74</v>
      </c>
      <c r="L986" t="s">
        <v>74</v>
      </c>
      <c r="M986" t="s">
        <v>78</v>
      </c>
      <c r="N986" t="s">
        <v>79</v>
      </c>
      <c r="O986" t="s">
        <v>74</v>
      </c>
      <c r="P986" t="s">
        <v>74</v>
      </c>
      <c r="Q986" t="s">
        <v>74</v>
      </c>
      <c r="R986" t="s">
        <v>74</v>
      </c>
      <c r="S986" t="s">
        <v>74</v>
      </c>
      <c r="T986" t="s">
        <v>19071</v>
      </c>
      <c r="U986" t="s">
        <v>19072</v>
      </c>
      <c r="V986" t="s">
        <v>19073</v>
      </c>
      <c r="W986" t="s">
        <v>19074</v>
      </c>
      <c r="X986" t="s">
        <v>19075</v>
      </c>
      <c r="Y986" t="s">
        <v>19076</v>
      </c>
      <c r="Z986" t="s">
        <v>19077</v>
      </c>
      <c r="AA986" t="s">
        <v>19078</v>
      </c>
      <c r="AB986" t="s">
        <v>19079</v>
      </c>
      <c r="AC986" t="s">
        <v>74</v>
      </c>
      <c r="AD986" t="s">
        <v>74</v>
      </c>
      <c r="AE986" t="s">
        <v>74</v>
      </c>
      <c r="AF986" t="s">
        <v>74</v>
      </c>
      <c r="AG986">
        <v>20</v>
      </c>
      <c r="AH986">
        <v>8</v>
      </c>
      <c r="AI986">
        <v>9</v>
      </c>
      <c r="AJ986">
        <v>1</v>
      </c>
      <c r="AK986">
        <v>8</v>
      </c>
      <c r="AL986" t="s">
        <v>19080</v>
      </c>
      <c r="AM986" t="s">
        <v>1119</v>
      </c>
      <c r="AN986" t="s">
        <v>19081</v>
      </c>
      <c r="AO986" t="s">
        <v>19082</v>
      </c>
      <c r="AP986" t="s">
        <v>19083</v>
      </c>
      <c r="AQ986" t="s">
        <v>74</v>
      </c>
      <c r="AR986" t="s">
        <v>19084</v>
      </c>
      <c r="AS986" t="s">
        <v>19085</v>
      </c>
      <c r="AT986" t="s">
        <v>5993</v>
      </c>
      <c r="AU986">
        <v>2020</v>
      </c>
      <c r="AV986">
        <v>14</v>
      </c>
      <c r="AW986">
        <v>2</v>
      </c>
      <c r="AX986" t="s">
        <v>74</v>
      </c>
      <c r="AY986" t="s">
        <v>74</v>
      </c>
      <c r="AZ986" t="s">
        <v>74</v>
      </c>
      <c r="BA986" t="s">
        <v>74</v>
      </c>
      <c r="BB986">
        <v>121</v>
      </c>
      <c r="BC986">
        <v>131</v>
      </c>
      <c r="BD986" t="s">
        <v>74</v>
      </c>
      <c r="BE986" t="s">
        <v>19086</v>
      </c>
      <c r="BF986" t="str">
        <f>HYPERLINK("http://dx.doi.org/10.1515/jag-2019-0053","http://dx.doi.org/10.1515/jag-2019-0053")</f>
        <v>http://dx.doi.org/10.1515/jag-2019-0053</v>
      </c>
      <c r="BG986" t="s">
        <v>74</v>
      </c>
      <c r="BH986" t="s">
        <v>74</v>
      </c>
      <c r="BI986">
        <v>11</v>
      </c>
      <c r="BJ986" t="s">
        <v>15780</v>
      </c>
      <c r="BK986" t="s">
        <v>3838</v>
      </c>
      <c r="BL986" t="s">
        <v>15780</v>
      </c>
      <c r="BM986" t="s">
        <v>19087</v>
      </c>
      <c r="BN986" t="s">
        <v>74</v>
      </c>
      <c r="BO986" t="s">
        <v>74</v>
      </c>
      <c r="BP986" t="s">
        <v>74</v>
      </c>
      <c r="BQ986" t="s">
        <v>74</v>
      </c>
      <c r="BR986" t="s">
        <v>106</v>
      </c>
      <c r="BS986" t="s">
        <v>19088</v>
      </c>
      <c r="BT986" t="str">
        <f>HYPERLINK("https%3A%2F%2Fwww.webofscience.com%2Fwos%2Fwoscc%2Ffull-record%2FWOS:000523675400002","View Full Record in Web of Science")</f>
        <v>View Full Record in Web of Science</v>
      </c>
    </row>
    <row r="987" spans="1:72" x14ac:dyDescent="0.15">
      <c r="A987" t="s">
        <v>72</v>
      </c>
      <c r="B987" t="s">
        <v>19089</v>
      </c>
      <c r="C987" t="s">
        <v>74</v>
      </c>
      <c r="D987" t="s">
        <v>74</v>
      </c>
      <c r="E987" t="s">
        <v>74</v>
      </c>
      <c r="F987" t="s">
        <v>19090</v>
      </c>
      <c r="G987" t="s">
        <v>74</v>
      </c>
      <c r="H987" t="s">
        <v>74</v>
      </c>
      <c r="I987" t="s">
        <v>19091</v>
      </c>
      <c r="J987" t="s">
        <v>453</v>
      </c>
      <c r="K987" t="s">
        <v>74</v>
      </c>
      <c r="L987" t="s">
        <v>74</v>
      </c>
      <c r="M987" t="s">
        <v>78</v>
      </c>
      <c r="N987" t="s">
        <v>245</v>
      </c>
      <c r="O987" t="s">
        <v>74</v>
      </c>
      <c r="P987" t="s">
        <v>74</v>
      </c>
      <c r="Q987" t="s">
        <v>74</v>
      </c>
      <c r="R987" t="s">
        <v>74</v>
      </c>
      <c r="S987" t="s">
        <v>74</v>
      </c>
      <c r="T987" t="s">
        <v>19092</v>
      </c>
      <c r="U987" t="s">
        <v>19093</v>
      </c>
      <c r="V987" t="s">
        <v>19094</v>
      </c>
      <c r="W987" t="s">
        <v>19095</v>
      </c>
      <c r="X987" t="s">
        <v>19096</v>
      </c>
      <c r="Y987" t="s">
        <v>19097</v>
      </c>
      <c r="Z987" t="s">
        <v>19098</v>
      </c>
      <c r="AA987" t="s">
        <v>19099</v>
      </c>
      <c r="AB987" t="s">
        <v>19100</v>
      </c>
      <c r="AC987" t="s">
        <v>19101</v>
      </c>
      <c r="AD987" t="s">
        <v>19102</v>
      </c>
      <c r="AE987" t="s">
        <v>19103</v>
      </c>
      <c r="AF987" t="s">
        <v>74</v>
      </c>
      <c r="AG987">
        <v>489</v>
      </c>
      <c r="AH987">
        <v>56</v>
      </c>
      <c r="AI987">
        <v>62</v>
      </c>
      <c r="AJ987">
        <v>2</v>
      </c>
      <c r="AK987">
        <v>22</v>
      </c>
      <c r="AL987" t="s">
        <v>284</v>
      </c>
      <c r="AM987" t="s">
        <v>285</v>
      </c>
      <c r="AN987" t="s">
        <v>286</v>
      </c>
      <c r="AO987" t="s">
        <v>466</v>
      </c>
      <c r="AP987" t="s">
        <v>467</v>
      </c>
      <c r="AQ987" t="s">
        <v>74</v>
      </c>
      <c r="AR987" t="s">
        <v>468</v>
      </c>
      <c r="AS987" t="s">
        <v>469</v>
      </c>
      <c r="AT987" t="s">
        <v>5993</v>
      </c>
      <c r="AU987">
        <v>2020</v>
      </c>
      <c r="AV987">
        <v>80</v>
      </c>
      <c r="AW987" t="s">
        <v>74</v>
      </c>
      <c r="AX987" t="s">
        <v>74</v>
      </c>
      <c r="AY987" t="s">
        <v>74</v>
      </c>
      <c r="AZ987" t="s">
        <v>74</v>
      </c>
      <c r="BA987" t="s">
        <v>74</v>
      </c>
      <c r="BB987">
        <v>50</v>
      </c>
      <c r="BC987">
        <v>122</v>
      </c>
      <c r="BD987" t="s">
        <v>74</v>
      </c>
      <c r="BE987" t="s">
        <v>19104</v>
      </c>
      <c r="BF987" t="str">
        <f>HYPERLINK("http://dx.doi.org/10.1016/j.gr.2019.11.001","http://dx.doi.org/10.1016/j.gr.2019.11.001")</f>
        <v>http://dx.doi.org/10.1016/j.gr.2019.11.001</v>
      </c>
      <c r="BG987" t="s">
        <v>74</v>
      </c>
      <c r="BH987" t="s">
        <v>74</v>
      </c>
      <c r="BI987">
        <v>73</v>
      </c>
      <c r="BJ987" t="s">
        <v>471</v>
      </c>
      <c r="BK987" t="s">
        <v>102</v>
      </c>
      <c r="BL987" t="s">
        <v>472</v>
      </c>
      <c r="BM987" t="s">
        <v>19105</v>
      </c>
      <c r="BN987" t="s">
        <v>74</v>
      </c>
      <c r="BO987" t="s">
        <v>189</v>
      </c>
      <c r="BP987" t="s">
        <v>74</v>
      </c>
      <c r="BQ987" t="s">
        <v>74</v>
      </c>
      <c r="BR987" t="s">
        <v>106</v>
      </c>
      <c r="BS987" t="s">
        <v>19106</v>
      </c>
      <c r="BT987" t="str">
        <f>HYPERLINK("https%3A%2F%2Fwww.webofscience.com%2Fwos%2Fwoscc%2Ffull-record%2FWOS:000522974700004","View Full Record in Web of Science")</f>
        <v>View Full Record in Web of Science</v>
      </c>
    </row>
    <row r="988" spans="1:72" x14ac:dyDescent="0.15">
      <c r="A988" t="s">
        <v>72</v>
      </c>
      <c r="B988" t="s">
        <v>19107</v>
      </c>
      <c r="C988" t="s">
        <v>74</v>
      </c>
      <c r="D988" t="s">
        <v>74</v>
      </c>
      <c r="E988" t="s">
        <v>74</v>
      </c>
      <c r="F988" t="s">
        <v>19108</v>
      </c>
      <c r="G988" t="s">
        <v>74</v>
      </c>
      <c r="H988" t="s">
        <v>74</v>
      </c>
      <c r="I988" t="s">
        <v>19109</v>
      </c>
      <c r="J988" t="s">
        <v>13666</v>
      </c>
      <c r="K988" t="s">
        <v>74</v>
      </c>
      <c r="L988" t="s">
        <v>74</v>
      </c>
      <c r="M988" t="s">
        <v>78</v>
      </c>
      <c r="N988" t="s">
        <v>79</v>
      </c>
      <c r="O988" t="s">
        <v>74</v>
      </c>
      <c r="P988" t="s">
        <v>74</v>
      </c>
      <c r="Q988" t="s">
        <v>74</v>
      </c>
      <c r="R988" t="s">
        <v>74</v>
      </c>
      <c r="S988" t="s">
        <v>74</v>
      </c>
      <c r="T988" t="s">
        <v>74</v>
      </c>
      <c r="U988" t="s">
        <v>74</v>
      </c>
      <c r="V988" t="s">
        <v>19110</v>
      </c>
      <c r="W988" t="s">
        <v>19111</v>
      </c>
      <c r="X988" t="s">
        <v>19112</v>
      </c>
      <c r="Y988" t="s">
        <v>19113</v>
      </c>
      <c r="Z988" t="s">
        <v>19114</v>
      </c>
      <c r="AA988" t="s">
        <v>19115</v>
      </c>
      <c r="AB988" t="s">
        <v>19116</v>
      </c>
      <c r="AC988" t="s">
        <v>19117</v>
      </c>
      <c r="AD988" t="s">
        <v>19118</v>
      </c>
      <c r="AE988" t="s">
        <v>19119</v>
      </c>
      <c r="AF988" t="s">
        <v>74</v>
      </c>
      <c r="AG988">
        <v>32</v>
      </c>
      <c r="AH988">
        <v>6</v>
      </c>
      <c r="AI988">
        <v>6</v>
      </c>
      <c r="AJ988">
        <v>0</v>
      </c>
      <c r="AK988">
        <v>5</v>
      </c>
      <c r="AL988" t="s">
        <v>10089</v>
      </c>
      <c r="AM988" t="s">
        <v>152</v>
      </c>
      <c r="AN988" t="s">
        <v>10090</v>
      </c>
      <c r="AO988" t="s">
        <v>13677</v>
      </c>
      <c r="AP988" t="s">
        <v>74</v>
      </c>
      <c r="AQ988" t="s">
        <v>74</v>
      </c>
      <c r="AR988" t="s">
        <v>13678</v>
      </c>
      <c r="AS988" t="s">
        <v>13679</v>
      </c>
      <c r="AT988" t="s">
        <v>5993</v>
      </c>
      <c r="AU988">
        <v>2020</v>
      </c>
      <c r="AV988">
        <v>9</v>
      </c>
      <c r="AW988">
        <v>14</v>
      </c>
      <c r="AX988" t="s">
        <v>74</v>
      </c>
      <c r="AY988" t="s">
        <v>74</v>
      </c>
      <c r="AZ988" t="s">
        <v>74</v>
      </c>
      <c r="BA988" t="s">
        <v>74</v>
      </c>
      <c r="BB988" t="s">
        <v>74</v>
      </c>
      <c r="BC988" t="s">
        <v>74</v>
      </c>
      <c r="BD988" t="s">
        <v>19120</v>
      </c>
      <c r="BE988" t="s">
        <v>19121</v>
      </c>
      <c r="BF988" t="str">
        <f>HYPERLINK("http://dx.doi.org/10.1128/MRA.00020-20","http://dx.doi.org/10.1128/MRA.00020-20")</f>
        <v>http://dx.doi.org/10.1128/MRA.00020-20</v>
      </c>
      <c r="BG988" t="s">
        <v>74</v>
      </c>
      <c r="BH988" t="s">
        <v>74</v>
      </c>
      <c r="BI988">
        <v>3</v>
      </c>
      <c r="BJ988" t="s">
        <v>2045</v>
      </c>
      <c r="BK988" t="s">
        <v>3838</v>
      </c>
      <c r="BL988" t="s">
        <v>2045</v>
      </c>
      <c r="BM988" t="s">
        <v>19122</v>
      </c>
      <c r="BN988">
        <v>32241854</v>
      </c>
      <c r="BO988" t="s">
        <v>1778</v>
      </c>
      <c r="BP988" t="s">
        <v>74</v>
      </c>
      <c r="BQ988" t="s">
        <v>74</v>
      </c>
      <c r="BR988" t="s">
        <v>106</v>
      </c>
      <c r="BS988" t="s">
        <v>19123</v>
      </c>
      <c r="BT988" t="str">
        <f>HYPERLINK("https%3A%2F%2Fwww.webofscience.com%2Fwos%2Fwoscc%2Ffull-record%2FWOS:000523384500002","View Full Record in Web of Science")</f>
        <v>View Full Record in Web of Science</v>
      </c>
    </row>
    <row r="989" spans="1:72" x14ac:dyDescent="0.15">
      <c r="A989" t="s">
        <v>72</v>
      </c>
      <c r="B989" t="s">
        <v>19124</v>
      </c>
      <c r="C989" t="s">
        <v>74</v>
      </c>
      <c r="D989" t="s">
        <v>74</v>
      </c>
      <c r="E989" t="s">
        <v>74</v>
      </c>
      <c r="F989" t="s">
        <v>19125</v>
      </c>
      <c r="G989" t="s">
        <v>74</v>
      </c>
      <c r="H989" t="s">
        <v>74</v>
      </c>
      <c r="I989" t="s">
        <v>19126</v>
      </c>
      <c r="J989" t="s">
        <v>5711</v>
      </c>
      <c r="K989" t="s">
        <v>74</v>
      </c>
      <c r="L989" t="s">
        <v>74</v>
      </c>
      <c r="M989" t="s">
        <v>78</v>
      </c>
      <c r="N989" t="s">
        <v>79</v>
      </c>
      <c r="O989" t="s">
        <v>74</v>
      </c>
      <c r="P989" t="s">
        <v>74</v>
      </c>
      <c r="Q989" t="s">
        <v>74</v>
      </c>
      <c r="R989" t="s">
        <v>74</v>
      </c>
      <c r="S989" t="s">
        <v>74</v>
      </c>
      <c r="T989" t="s">
        <v>74</v>
      </c>
      <c r="U989" t="s">
        <v>19127</v>
      </c>
      <c r="V989" t="s">
        <v>19128</v>
      </c>
      <c r="W989" t="s">
        <v>19129</v>
      </c>
      <c r="X989" t="s">
        <v>19130</v>
      </c>
      <c r="Y989" t="s">
        <v>19131</v>
      </c>
      <c r="Z989" t="s">
        <v>19132</v>
      </c>
      <c r="AA989" t="s">
        <v>19133</v>
      </c>
      <c r="AB989" t="s">
        <v>19134</v>
      </c>
      <c r="AC989" t="s">
        <v>19135</v>
      </c>
      <c r="AD989" t="s">
        <v>19135</v>
      </c>
      <c r="AE989" t="s">
        <v>19136</v>
      </c>
      <c r="AF989" t="s">
        <v>74</v>
      </c>
      <c r="AG989">
        <v>42</v>
      </c>
      <c r="AH989">
        <v>9</v>
      </c>
      <c r="AI989">
        <v>9</v>
      </c>
      <c r="AJ989">
        <v>0</v>
      </c>
      <c r="AK989">
        <v>5</v>
      </c>
      <c r="AL989" t="s">
        <v>1049</v>
      </c>
      <c r="AM989" t="s">
        <v>1050</v>
      </c>
      <c r="AN989" t="s">
        <v>1051</v>
      </c>
      <c r="AO989" t="s">
        <v>5723</v>
      </c>
      <c r="AP989" t="s">
        <v>5724</v>
      </c>
      <c r="AQ989" t="s">
        <v>74</v>
      </c>
      <c r="AR989" t="s">
        <v>5725</v>
      </c>
      <c r="AS989" t="s">
        <v>5726</v>
      </c>
      <c r="AT989" t="s">
        <v>18776</v>
      </c>
      <c r="AU989">
        <v>2020</v>
      </c>
      <c r="AV989">
        <v>13</v>
      </c>
      <c r="AW989">
        <v>3</v>
      </c>
      <c r="AX989" t="s">
        <v>74</v>
      </c>
      <c r="AY989" t="s">
        <v>74</v>
      </c>
      <c r="AZ989" t="s">
        <v>74</v>
      </c>
      <c r="BA989" t="s">
        <v>74</v>
      </c>
      <c r="BB989">
        <v>1575</v>
      </c>
      <c r="BC989">
        <v>1591</v>
      </c>
      <c r="BD989" t="s">
        <v>74</v>
      </c>
      <c r="BE989" t="s">
        <v>19137</v>
      </c>
      <c r="BF989" t="str">
        <f>HYPERLINK("http://dx.doi.org/10.5194/amt-13-1575-2020","http://dx.doi.org/10.5194/amt-13-1575-2020")</f>
        <v>http://dx.doi.org/10.5194/amt-13-1575-2020</v>
      </c>
      <c r="BG989" t="s">
        <v>74</v>
      </c>
      <c r="BH989" t="s">
        <v>74</v>
      </c>
      <c r="BI989">
        <v>17</v>
      </c>
      <c r="BJ989" t="s">
        <v>159</v>
      </c>
      <c r="BK989" t="s">
        <v>102</v>
      </c>
      <c r="BL989" t="s">
        <v>159</v>
      </c>
      <c r="BM989" t="s">
        <v>19138</v>
      </c>
      <c r="BN989" t="s">
        <v>74</v>
      </c>
      <c r="BO989" t="s">
        <v>1060</v>
      </c>
      <c r="BP989" t="s">
        <v>74</v>
      </c>
      <c r="BQ989" t="s">
        <v>74</v>
      </c>
      <c r="BR989" t="s">
        <v>106</v>
      </c>
      <c r="BS989" t="s">
        <v>19139</v>
      </c>
      <c r="BT989" t="str">
        <f>HYPERLINK("https%3A%2F%2Fwww.webofscience.com%2Fwos%2Fwoscc%2Ffull-record%2FWOS:000522843100003","View Full Record in Web of Science")</f>
        <v>View Full Record in Web of Science</v>
      </c>
    </row>
    <row r="990" spans="1:72" x14ac:dyDescent="0.15">
      <c r="A990" t="s">
        <v>72</v>
      </c>
      <c r="B990" t="s">
        <v>19140</v>
      </c>
      <c r="C990" t="s">
        <v>74</v>
      </c>
      <c r="D990" t="s">
        <v>74</v>
      </c>
      <c r="E990" t="s">
        <v>74</v>
      </c>
      <c r="F990" t="s">
        <v>19141</v>
      </c>
      <c r="G990" t="s">
        <v>74</v>
      </c>
      <c r="H990" t="s">
        <v>74</v>
      </c>
      <c r="I990" t="s">
        <v>19142</v>
      </c>
      <c r="J990" t="s">
        <v>14550</v>
      </c>
      <c r="K990" t="s">
        <v>74</v>
      </c>
      <c r="L990" t="s">
        <v>74</v>
      </c>
      <c r="M990" t="s">
        <v>78</v>
      </c>
      <c r="N990" t="s">
        <v>79</v>
      </c>
      <c r="O990" t="s">
        <v>74</v>
      </c>
      <c r="P990" t="s">
        <v>74</v>
      </c>
      <c r="Q990" t="s">
        <v>74</v>
      </c>
      <c r="R990" t="s">
        <v>74</v>
      </c>
      <c r="S990" t="s">
        <v>74</v>
      </c>
      <c r="T990" t="s">
        <v>19143</v>
      </c>
      <c r="U990" t="s">
        <v>19144</v>
      </c>
      <c r="V990" t="s">
        <v>19145</v>
      </c>
      <c r="W990" t="s">
        <v>19146</v>
      </c>
      <c r="X990" t="s">
        <v>19147</v>
      </c>
      <c r="Y990" t="s">
        <v>14556</v>
      </c>
      <c r="Z990" t="s">
        <v>19148</v>
      </c>
      <c r="AA990" t="s">
        <v>19149</v>
      </c>
      <c r="AB990" t="s">
        <v>19150</v>
      </c>
      <c r="AC990" t="s">
        <v>19151</v>
      </c>
      <c r="AD990" t="s">
        <v>19152</v>
      </c>
      <c r="AE990" t="s">
        <v>19153</v>
      </c>
      <c r="AF990" t="s">
        <v>74</v>
      </c>
      <c r="AG990">
        <v>72</v>
      </c>
      <c r="AH990">
        <v>2</v>
      </c>
      <c r="AI990">
        <v>4</v>
      </c>
      <c r="AJ990">
        <v>1</v>
      </c>
      <c r="AK990">
        <v>12</v>
      </c>
      <c r="AL990" t="s">
        <v>4718</v>
      </c>
      <c r="AM990" t="s">
        <v>4719</v>
      </c>
      <c r="AN990" t="s">
        <v>4720</v>
      </c>
      <c r="AO990" t="s">
        <v>14564</v>
      </c>
      <c r="AP990" t="s">
        <v>14565</v>
      </c>
      <c r="AQ990" t="s">
        <v>74</v>
      </c>
      <c r="AR990" t="s">
        <v>14566</v>
      </c>
      <c r="AS990" t="s">
        <v>14567</v>
      </c>
      <c r="AT990" t="s">
        <v>5993</v>
      </c>
      <c r="AU990">
        <v>2020</v>
      </c>
      <c r="AV990">
        <v>159</v>
      </c>
      <c r="AW990">
        <v>4</v>
      </c>
      <c r="AX990" t="s">
        <v>74</v>
      </c>
      <c r="AY990" t="s">
        <v>74</v>
      </c>
      <c r="AZ990" t="s">
        <v>74</v>
      </c>
      <c r="BA990" t="s">
        <v>74</v>
      </c>
      <c r="BB990" t="s">
        <v>74</v>
      </c>
      <c r="BC990" t="s">
        <v>74</v>
      </c>
      <c r="BD990">
        <v>172</v>
      </c>
      <c r="BE990" t="s">
        <v>19154</v>
      </c>
      <c r="BF990" t="str">
        <f>HYPERLINK("http://dx.doi.org/10.3847/1538-3881/ab7449","http://dx.doi.org/10.3847/1538-3881/ab7449")</f>
        <v>http://dx.doi.org/10.3847/1538-3881/ab7449</v>
      </c>
      <c r="BG990" t="s">
        <v>74</v>
      </c>
      <c r="BH990" t="s">
        <v>74</v>
      </c>
      <c r="BI990">
        <v>18</v>
      </c>
      <c r="BJ990" t="s">
        <v>774</v>
      </c>
      <c r="BK990" t="s">
        <v>102</v>
      </c>
      <c r="BL990" t="s">
        <v>774</v>
      </c>
      <c r="BM990" t="s">
        <v>19155</v>
      </c>
      <c r="BN990" t="s">
        <v>74</v>
      </c>
      <c r="BO990" t="s">
        <v>1657</v>
      </c>
      <c r="BP990" t="s">
        <v>74</v>
      </c>
      <c r="BQ990" t="s">
        <v>74</v>
      </c>
      <c r="BR990" t="s">
        <v>106</v>
      </c>
      <c r="BS990" t="s">
        <v>19156</v>
      </c>
      <c r="BT990" t="str">
        <f>HYPERLINK("https%3A%2F%2Fwww.webofscience.com%2Fwos%2Fwoscc%2Ffull-record%2FWOS:000522442800001","View Full Record in Web of Science")</f>
        <v>View Full Record in Web of Science</v>
      </c>
    </row>
    <row r="991" spans="1:72" x14ac:dyDescent="0.15">
      <c r="A991" t="s">
        <v>72</v>
      </c>
      <c r="B991" t="s">
        <v>19157</v>
      </c>
      <c r="C991" t="s">
        <v>74</v>
      </c>
      <c r="D991" t="s">
        <v>74</v>
      </c>
      <c r="E991" t="s">
        <v>74</v>
      </c>
      <c r="F991" t="s">
        <v>19158</v>
      </c>
      <c r="G991" t="s">
        <v>74</v>
      </c>
      <c r="H991" t="s">
        <v>74</v>
      </c>
      <c r="I991" t="s">
        <v>19159</v>
      </c>
      <c r="J991" t="s">
        <v>1783</v>
      </c>
      <c r="K991" t="s">
        <v>74</v>
      </c>
      <c r="L991" t="s">
        <v>74</v>
      </c>
      <c r="M991" t="s">
        <v>78</v>
      </c>
      <c r="N991" t="s">
        <v>79</v>
      </c>
      <c r="O991" t="s">
        <v>74</v>
      </c>
      <c r="P991" t="s">
        <v>74</v>
      </c>
      <c r="Q991" t="s">
        <v>74</v>
      </c>
      <c r="R991" t="s">
        <v>74</v>
      </c>
      <c r="S991" t="s">
        <v>74</v>
      </c>
      <c r="T991" t="s">
        <v>19160</v>
      </c>
      <c r="U991" t="s">
        <v>19161</v>
      </c>
      <c r="V991" t="s">
        <v>19162</v>
      </c>
      <c r="W991" t="s">
        <v>19163</v>
      </c>
      <c r="X991" t="s">
        <v>19164</v>
      </c>
      <c r="Y991" t="s">
        <v>19165</v>
      </c>
      <c r="Z991" t="s">
        <v>19166</v>
      </c>
      <c r="AA991" t="s">
        <v>19167</v>
      </c>
      <c r="AB991" t="s">
        <v>19168</v>
      </c>
      <c r="AC991" t="s">
        <v>19169</v>
      </c>
      <c r="AD991" t="s">
        <v>19170</v>
      </c>
      <c r="AE991" t="s">
        <v>19171</v>
      </c>
      <c r="AF991" t="s">
        <v>74</v>
      </c>
      <c r="AG991">
        <v>38</v>
      </c>
      <c r="AH991">
        <v>2</v>
      </c>
      <c r="AI991">
        <v>2</v>
      </c>
      <c r="AJ991">
        <v>1</v>
      </c>
      <c r="AK991">
        <v>2</v>
      </c>
      <c r="AL991" t="s">
        <v>1440</v>
      </c>
      <c r="AM991" t="s">
        <v>399</v>
      </c>
      <c r="AN991" t="s">
        <v>1441</v>
      </c>
      <c r="AO991" t="s">
        <v>1796</v>
      </c>
      <c r="AP991" t="s">
        <v>1797</v>
      </c>
      <c r="AQ991" t="s">
        <v>74</v>
      </c>
      <c r="AR991" t="s">
        <v>1798</v>
      </c>
      <c r="AS991" t="s">
        <v>1799</v>
      </c>
      <c r="AT991" t="s">
        <v>11250</v>
      </c>
      <c r="AU991">
        <v>2020</v>
      </c>
      <c r="AV991">
        <v>43</v>
      </c>
      <c r="AW991">
        <v>5</v>
      </c>
      <c r="AX991" t="s">
        <v>74</v>
      </c>
      <c r="AY991" t="s">
        <v>74</v>
      </c>
      <c r="AZ991" t="s">
        <v>74</v>
      </c>
      <c r="BA991" t="s">
        <v>74</v>
      </c>
      <c r="BB991">
        <v>555</v>
      </c>
      <c r="BC991">
        <v>563</v>
      </c>
      <c r="BD991" t="s">
        <v>74</v>
      </c>
      <c r="BE991" t="s">
        <v>19172</v>
      </c>
      <c r="BF991" t="str">
        <f>HYPERLINK("http://dx.doi.org/10.1007/s00300-020-02659-6","http://dx.doi.org/10.1007/s00300-020-02659-6")</f>
        <v>http://dx.doi.org/10.1007/s00300-020-02659-6</v>
      </c>
      <c r="BG991" t="s">
        <v>74</v>
      </c>
      <c r="BH991" t="s">
        <v>14775</v>
      </c>
      <c r="BI991">
        <v>9</v>
      </c>
      <c r="BJ991" t="s">
        <v>1004</v>
      </c>
      <c r="BK991" t="s">
        <v>102</v>
      </c>
      <c r="BL991" t="s">
        <v>1005</v>
      </c>
      <c r="BM991" t="s">
        <v>13979</v>
      </c>
      <c r="BN991" t="s">
        <v>74</v>
      </c>
      <c r="BO991" t="s">
        <v>189</v>
      </c>
      <c r="BP991" t="s">
        <v>74</v>
      </c>
      <c r="BQ991" t="s">
        <v>74</v>
      </c>
      <c r="BR991" t="s">
        <v>106</v>
      </c>
      <c r="BS991" t="s">
        <v>19173</v>
      </c>
      <c r="BT991" t="str">
        <f>HYPERLINK("https%3A%2F%2Fwww.webofscience.com%2Fwos%2Fwoscc%2Ffull-record%2FWOS:000522918600001","View Full Record in Web of Science")</f>
        <v>View Full Record in Web of Science</v>
      </c>
    </row>
    <row r="992" spans="1:72" x14ac:dyDescent="0.15">
      <c r="A992" t="s">
        <v>72</v>
      </c>
      <c r="B992" t="s">
        <v>19174</v>
      </c>
      <c r="C992" t="s">
        <v>74</v>
      </c>
      <c r="D992" t="s">
        <v>74</v>
      </c>
      <c r="E992" t="s">
        <v>74</v>
      </c>
      <c r="F992" t="s">
        <v>19175</v>
      </c>
      <c r="G992" t="s">
        <v>74</v>
      </c>
      <c r="H992" t="s">
        <v>74</v>
      </c>
      <c r="I992" t="s">
        <v>19176</v>
      </c>
      <c r="J992" t="s">
        <v>19177</v>
      </c>
      <c r="K992" t="s">
        <v>74</v>
      </c>
      <c r="L992" t="s">
        <v>74</v>
      </c>
      <c r="M992" t="s">
        <v>78</v>
      </c>
      <c r="N992" t="s">
        <v>79</v>
      </c>
      <c r="O992" t="s">
        <v>74</v>
      </c>
      <c r="P992" t="s">
        <v>74</v>
      </c>
      <c r="Q992" t="s">
        <v>74</v>
      </c>
      <c r="R992" t="s">
        <v>74</v>
      </c>
      <c r="S992" t="s">
        <v>74</v>
      </c>
      <c r="T992" t="s">
        <v>19178</v>
      </c>
      <c r="U992" t="s">
        <v>19179</v>
      </c>
      <c r="V992" t="s">
        <v>19180</v>
      </c>
      <c r="W992" t="s">
        <v>19181</v>
      </c>
      <c r="X992" t="s">
        <v>19182</v>
      </c>
      <c r="Y992" t="s">
        <v>19183</v>
      </c>
      <c r="Z992" t="s">
        <v>19184</v>
      </c>
      <c r="AA992" t="s">
        <v>19185</v>
      </c>
      <c r="AB992" t="s">
        <v>19186</v>
      </c>
      <c r="AC992" t="s">
        <v>19187</v>
      </c>
      <c r="AD992" t="s">
        <v>19188</v>
      </c>
      <c r="AE992" t="s">
        <v>19189</v>
      </c>
      <c r="AF992" t="s">
        <v>74</v>
      </c>
      <c r="AG992">
        <v>54</v>
      </c>
      <c r="AH992">
        <v>7</v>
      </c>
      <c r="AI992">
        <v>8</v>
      </c>
      <c r="AJ992">
        <v>0</v>
      </c>
      <c r="AK992">
        <v>3</v>
      </c>
      <c r="AL992" t="s">
        <v>578</v>
      </c>
      <c r="AM992" t="s">
        <v>93</v>
      </c>
      <c r="AN992" t="s">
        <v>579</v>
      </c>
      <c r="AO992" t="s">
        <v>19190</v>
      </c>
      <c r="AP992" t="s">
        <v>19191</v>
      </c>
      <c r="AQ992" t="s">
        <v>74</v>
      </c>
      <c r="AR992" t="s">
        <v>19192</v>
      </c>
      <c r="AS992" t="s">
        <v>19193</v>
      </c>
      <c r="AT992" t="s">
        <v>5993</v>
      </c>
      <c r="AU992">
        <v>2020</v>
      </c>
      <c r="AV992">
        <v>148</v>
      </c>
      <c r="AW992" t="s">
        <v>74</v>
      </c>
      <c r="AX992" t="s">
        <v>74</v>
      </c>
      <c r="AY992" t="s">
        <v>74</v>
      </c>
      <c r="AZ992" t="s">
        <v>74</v>
      </c>
      <c r="BA992" t="s">
        <v>74</v>
      </c>
      <c r="BB992" t="s">
        <v>74</v>
      </c>
      <c r="BC992" t="s">
        <v>74</v>
      </c>
      <c r="BD992">
        <v>101583</v>
      </c>
      <c r="BE992" t="s">
        <v>19194</v>
      </c>
      <c r="BF992" t="str">
        <f>HYPERLINK("http://dx.doi.org/10.1016/j.ocemod.2020.101583","http://dx.doi.org/10.1016/j.ocemod.2020.101583")</f>
        <v>http://dx.doi.org/10.1016/j.ocemod.2020.101583</v>
      </c>
      <c r="BG992" t="s">
        <v>74</v>
      </c>
      <c r="BH992" t="s">
        <v>74</v>
      </c>
      <c r="BI992">
        <v>11</v>
      </c>
      <c r="BJ992" t="s">
        <v>7297</v>
      </c>
      <c r="BK992" t="s">
        <v>102</v>
      </c>
      <c r="BL992" t="s">
        <v>7297</v>
      </c>
      <c r="BM992" t="s">
        <v>19195</v>
      </c>
      <c r="BN992" t="s">
        <v>74</v>
      </c>
      <c r="BO992" t="s">
        <v>189</v>
      </c>
      <c r="BP992" t="s">
        <v>74</v>
      </c>
      <c r="BQ992" t="s">
        <v>74</v>
      </c>
      <c r="BR992" t="s">
        <v>106</v>
      </c>
      <c r="BS992" t="s">
        <v>19196</v>
      </c>
      <c r="BT992" t="str">
        <f>HYPERLINK("https%3A%2F%2Fwww.webofscience.com%2Fwos%2Fwoscc%2Ffull-record%2FWOS:000521827200005","View Full Record in Web of Science")</f>
        <v>View Full Record in Web of Science</v>
      </c>
    </row>
    <row r="993" spans="1:72" x14ac:dyDescent="0.15">
      <c r="A993" t="s">
        <v>72</v>
      </c>
      <c r="B993" t="s">
        <v>19197</v>
      </c>
      <c r="C993" t="s">
        <v>74</v>
      </c>
      <c r="D993" t="s">
        <v>74</v>
      </c>
      <c r="E993" t="s">
        <v>74</v>
      </c>
      <c r="F993" t="s">
        <v>19198</v>
      </c>
      <c r="G993" t="s">
        <v>74</v>
      </c>
      <c r="H993" t="s">
        <v>74</v>
      </c>
      <c r="I993" t="s">
        <v>19199</v>
      </c>
      <c r="J993" t="s">
        <v>19177</v>
      </c>
      <c r="K993" t="s">
        <v>74</v>
      </c>
      <c r="L993" t="s">
        <v>74</v>
      </c>
      <c r="M993" t="s">
        <v>78</v>
      </c>
      <c r="N993" t="s">
        <v>79</v>
      </c>
      <c r="O993" t="s">
        <v>74</v>
      </c>
      <c r="P993" t="s">
        <v>74</v>
      </c>
      <c r="Q993" t="s">
        <v>74</v>
      </c>
      <c r="R993" t="s">
        <v>74</v>
      </c>
      <c r="S993" t="s">
        <v>74</v>
      </c>
      <c r="T993" t="s">
        <v>19200</v>
      </c>
      <c r="U993" t="s">
        <v>19201</v>
      </c>
      <c r="V993" t="s">
        <v>19202</v>
      </c>
      <c r="W993" t="s">
        <v>19203</v>
      </c>
      <c r="X993" t="s">
        <v>19204</v>
      </c>
      <c r="Y993" t="s">
        <v>19205</v>
      </c>
      <c r="Z993" t="s">
        <v>19206</v>
      </c>
      <c r="AA993" t="s">
        <v>74</v>
      </c>
      <c r="AB993" t="s">
        <v>74</v>
      </c>
      <c r="AC993" t="s">
        <v>19207</v>
      </c>
      <c r="AD993" t="s">
        <v>19208</v>
      </c>
      <c r="AE993" t="s">
        <v>19209</v>
      </c>
      <c r="AF993" t="s">
        <v>74</v>
      </c>
      <c r="AG993">
        <v>46</v>
      </c>
      <c r="AH993">
        <v>6</v>
      </c>
      <c r="AI993">
        <v>6</v>
      </c>
      <c r="AJ993">
        <v>3</v>
      </c>
      <c r="AK993">
        <v>11</v>
      </c>
      <c r="AL993" t="s">
        <v>578</v>
      </c>
      <c r="AM993" t="s">
        <v>93</v>
      </c>
      <c r="AN993" t="s">
        <v>579</v>
      </c>
      <c r="AO993" t="s">
        <v>19190</v>
      </c>
      <c r="AP993" t="s">
        <v>19191</v>
      </c>
      <c r="AQ993" t="s">
        <v>74</v>
      </c>
      <c r="AR993" t="s">
        <v>19192</v>
      </c>
      <c r="AS993" t="s">
        <v>19193</v>
      </c>
      <c r="AT993" t="s">
        <v>5993</v>
      </c>
      <c r="AU993">
        <v>2020</v>
      </c>
      <c r="AV993">
        <v>148</v>
      </c>
      <c r="AW993" t="s">
        <v>74</v>
      </c>
      <c r="AX993" t="s">
        <v>74</v>
      </c>
      <c r="AY993" t="s">
        <v>74</v>
      </c>
      <c r="AZ993" t="s">
        <v>74</v>
      </c>
      <c r="BA993" t="s">
        <v>74</v>
      </c>
      <c r="BB993" t="s">
        <v>74</v>
      </c>
      <c r="BC993" t="s">
        <v>74</v>
      </c>
      <c r="BD993">
        <v>101591</v>
      </c>
      <c r="BE993" t="s">
        <v>19210</v>
      </c>
      <c r="BF993" t="str">
        <f>HYPERLINK("http://dx.doi.org/10.1016/j.ocemod.2020.101591","http://dx.doi.org/10.1016/j.ocemod.2020.101591")</f>
        <v>http://dx.doi.org/10.1016/j.ocemod.2020.101591</v>
      </c>
      <c r="BG993" t="s">
        <v>74</v>
      </c>
      <c r="BH993" t="s">
        <v>74</v>
      </c>
      <c r="BI993">
        <v>15</v>
      </c>
      <c r="BJ993" t="s">
        <v>7297</v>
      </c>
      <c r="BK993" t="s">
        <v>102</v>
      </c>
      <c r="BL993" t="s">
        <v>7297</v>
      </c>
      <c r="BM993" t="s">
        <v>19195</v>
      </c>
      <c r="BN993" t="s">
        <v>74</v>
      </c>
      <c r="BO993" t="s">
        <v>74</v>
      </c>
      <c r="BP993" t="s">
        <v>74</v>
      </c>
      <c r="BQ993" t="s">
        <v>74</v>
      </c>
      <c r="BR993" t="s">
        <v>106</v>
      </c>
      <c r="BS993" t="s">
        <v>19211</v>
      </c>
      <c r="BT993" t="str">
        <f>HYPERLINK("https%3A%2F%2Fwww.webofscience.com%2Fwos%2Fwoscc%2Ffull-record%2FWOS:000521827200004","View Full Record in Web of Science")</f>
        <v>View Full Record in Web of Science</v>
      </c>
    </row>
    <row r="994" spans="1:72" x14ac:dyDescent="0.15">
      <c r="A994" t="s">
        <v>72</v>
      </c>
      <c r="B994" t="s">
        <v>19212</v>
      </c>
      <c r="C994" t="s">
        <v>74</v>
      </c>
      <c r="D994" t="s">
        <v>74</v>
      </c>
      <c r="E994" t="s">
        <v>74</v>
      </c>
      <c r="F994" t="s">
        <v>19213</v>
      </c>
      <c r="G994" t="s">
        <v>74</v>
      </c>
      <c r="H994" t="s">
        <v>74</v>
      </c>
      <c r="I994" t="s">
        <v>19214</v>
      </c>
      <c r="J994" t="s">
        <v>591</v>
      </c>
      <c r="K994" t="s">
        <v>74</v>
      </c>
      <c r="L994" t="s">
        <v>74</v>
      </c>
      <c r="M994" t="s">
        <v>78</v>
      </c>
      <c r="N994" t="s">
        <v>79</v>
      </c>
      <c r="O994" t="s">
        <v>74</v>
      </c>
      <c r="P994" t="s">
        <v>74</v>
      </c>
      <c r="Q994" t="s">
        <v>74</v>
      </c>
      <c r="R994" t="s">
        <v>74</v>
      </c>
      <c r="S994" t="s">
        <v>74</v>
      </c>
      <c r="T994" t="s">
        <v>74</v>
      </c>
      <c r="U994" t="s">
        <v>74</v>
      </c>
      <c r="V994" t="s">
        <v>19215</v>
      </c>
      <c r="W994" t="s">
        <v>19216</v>
      </c>
      <c r="X994" t="s">
        <v>19217</v>
      </c>
      <c r="Y994" t="s">
        <v>19218</v>
      </c>
      <c r="Z994" t="s">
        <v>19219</v>
      </c>
      <c r="AA994" t="s">
        <v>74</v>
      </c>
      <c r="AB994" t="s">
        <v>74</v>
      </c>
      <c r="AC994" t="s">
        <v>74</v>
      </c>
      <c r="AD994" t="s">
        <v>74</v>
      </c>
      <c r="AE994" t="s">
        <v>74</v>
      </c>
      <c r="AF994" t="s">
        <v>74</v>
      </c>
      <c r="AG994">
        <v>25</v>
      </c>
      <c r="AH994">
        <v>6</v>
      </c>
      <c r="AI994">
        <v>6</v>
      </c>
      <c r="AJ994">
        <v>3</v>
      </c>
      <c r="AK994">
        <v>14</v>
      </c>
      <c r="AL994" t="s">
        <v>578</v>
      </c>
      <c r="AM994" t="s">
        <v>93</v>
      </c>
      <c r="AN994" t="s">
        <v>579</v>
      </c>
      <c r="AO994" t="s">
        <v>601</v>
      </c>
      <c r="AP994" t="s">
        <v>602</v>
      </c>
      <c r="AQ994" t="s">
        <v>74</v>
      </c>
      <c r="AR994" t="s">
        <v>603</v>
      </c>
      <c r="AS994" t="s">
        <v>604</v>
      </c>
      <c r="AT994" t="s">
        <v>5993</v>
      </c>
      <c r="AU994">
        <v>2020</v>
      </c>
      <c r="AV994">
        <v>114</v>
      </c>
      <c r="AW994" t="s">
        <v>74</v>
      </c>
      <c r="AX994" t="s">
        <v>74</v>
      </c>
      <c r="AY994" t="s">
        <v>74</v>
      </c>
      <c r="AZ994" t="s">
        <v>74</v>
      </c>
      <c r="BA994" t="s">
        <v>74</v>
      </c>
      <c r="BB994" t="s">
        <v>74</v>
      </c>
      <c r="BC994" t="s">
        <v>74</v>
      </c>
      <c r="BD994">
        <v>103502</v>
      </c>
      <c r="BE994" t="s">
        <v>19220</v>
      </c>
      <c r="BF994" t="str">
        <f>HYPERLINK("http://dx.doi.org/10.1016/j.marpol.2019.04.006","http://dx.doi.org/10.1016/j.marpol.2019.04.006")</f>
        <v>http://dx.doi.org/10.1016/j.marpol.2019.04.006</v>
      </c>
      <c r="BG994" t="s">
        <v>74</v>
      </c>
      <c r="BH994" t="s">
        <v>74</v>
      </c>
      <c r="BI994">
        <v>10</v>
      </c>
      <c r="BJ994" t="s">
        <v>606</v>
      </c>
      <c r="BK994" t="s">
        <v>607</v>
      </c>
      <c r="BL994" t="s">
        <v>608</v>
      </c>
      <c r="BM994" t="s">
        <v>19221</v>
      </c>
      <c r="BN994" t="s">
        <v>74</v>
      </c>
      <c r="BO994" t="s">
        <v>74</v>
      </c>
      <c r="BP994" t="s">
        <v>74</v>
      </c>
      <c r="BQ994" t="s">
        <v>74</v>
      </c>
      <c r="BR994" t="s">
        <v>106</v>
      </c>
      <c r="BS994" t="s">
        <v>19222</v>
      </c>
      <c r="BT994" t="str">
        <f>HYPERLINK("https%3A%2F%2Fwww.webofscience.com%2Fwos%2Fwoscc%2Ffull-record%2FWOS:000521511700013","View Full Record in Web of Science")</f>
        <v>View Full Record in Web of Science</v>
      </c>
    </row>
    <row r="995" spans="1:72" x14ac:dyDescent="0.15">
      <c r="A995" t="s">
        <v>72</v>
      </c>
      <c r="B995" t="s">
        <v>19223</v>
      </c>
      <c r="C995" t="s">
        <v>74</v>
      </c>
      <c r="D995" t="s">
        <v>74</v>
      </c>
      <c r="E995" t="s">
        <v>74</v>
      </c>
      <c r="F995" t="s">
        <v>19224</v>
      </c>
      <c r="G995" t="s">
        <v>74</v>
      </c>
      <c r="H995" t="s">
        <v>74</v>
      </c>
      <c r="I995" t="s">
        <v>19225</v>
      </c>
      <c r="J995" t="s">
        <v>5489</v>
      </c>
      <c r="K995" t="s">
        <v>74</v>
      </c>
      <c r="L995" t="s">
        <v>74</v>
      </c>
      <c r="M995" t="s">
        <v>78</v>
      </c>
      <c r="N995" t="s">
        <v>79</v>
      </c>
      <c r="O995" t="s">
        <v>74</v>
      </c>
      <c r="P995" t="s">
        <v>74</v>
      </c>
      <c r="Q995" t="s">
        <v>74</v>
      </c>
      <c r="R995" t="s">
        <v>74</v>
      </c>
      <c r="S995" t="s">
        <v>74</v>
      </c>
      <c r="T995" t="s">
        <v>19226</v>
      </c>
      <c r="U995" t="s">
        <v>19227</v>
      </c>
      <c r="V995" t="s">
        <v>19228</v>
      </c>
      <c r="W995" t="s">
        <v>19229</v>
      </c>
      <c r="X995" t="s">
        <v>19230</v>
      </c>
      <c r="Y995" t="s">
        <v>19231</v>
      </c>
      <c r="Z995" t="s">
        <v>19232</v>
      </c>
      <c r="AA995" t="s">
        <v>19233</v>
      </c>
      <c r="AB995" t="s">
        <v>19234</v>
      </c>
      <c r="AC995" t="s">
        <v>19235</v>
      </c>
      <c r="AD995" t="s">
        <v>19236</v>
      </c>
      <c r="AE995" t="s">
        <v>19237</v>
      </c>
      <c r="AF995" t="s">
        <v>74</v>
      </c>
      <c r="AG995">
        <v>57</v>
      </c>
      <c r="AH995">
        <v>12</v>
      </c>
      <c r="AI995">
        <v>12</v>
      </c>
      <c r="AJ995">
        <v>0</v>
      </c>
      <c r="AK995">
        <v>13</v>
      </c>
      <c r="AL995" t="s">
        <v>284</v>
      </c>
      <c r="AM995" t="s">
        <v>285</v>
      </c>
      <c r="AN995" t="s">
        <v>286</v>
      </c>
      <c r="AO995" t="s">
        <v>5501</v>
      </c>
      <c r="AP995" t="s">
        <v>5502</v>
      </c>
      <c r="AQ995" t="s">
        <v>74</v>
      </c>
      <c r="AR995" t="s">
        <v>5503</v>
      </c>
      <c r="AS995" t="s">
        <v>5504</v>
      </c>
      <c r="AT995" t="s">
        <v>5993</v>
      </c>
      <c r="AU995">
        <v>2020</v>
      </c>
      <c r="AV995">
        <v>422</v>
      </c>
      <c r="AW995" t="s">
        <v>74</v>
      </c>
      <c r="AX995" t="s">
        <v>74</v>
      </c>
      <c r="AY995" t="s">
        <v>74</v>
      </c>
      <c r="AZ995" t="s">
        <v>74</v>
      </c>
      <c r="BA995" t="s">
        <v>74</v>
      </c>
      <c r="BB995" t="s">
        <v>74</v>
      </c>
      <c r="BC995" t="s">
        <v>74</v>
      </c>
      <c r="BD995">
        <v>106091</v>
      </c>
      <c r="BE995" t="s">
        <v>19238</v>
      </c>
      <c r="BF995" t="str">
        <f>HYPERLINK("http://dx.doi.org/10.1016/j.margeo.2019.106091","http://dx.doi.org/10.1016/j.margeo.2019.106091")</f>
        <v>http://dx.doi.org/10.1016/j.margeo.2019.106091</v>
      </c>
      <c r="BG995" t="s">
        <v>74</v>
      </c>
      <c r="BH995" t="s">
        <v>74</v>
      </c>
      <c r="BI995">
        <v>16</v>
      </c>
      <c r="BJ995" t="s">
        <v>5506</v>
      </c>
      <c r="BK995" t="s">
        <v>102</v>
      </c>
      <c r="BL995" t="s">
        <v>5507</v>
      </c>
      <c r="BM995" t="s">
        <v>19239</v>
      </c>
      <c r="BN995" t="s">
        <v>74</v>
      </c>
      <c r="BO995" t="s">
        <v>74</v>
      </c>
      <c r="BP995" t="s">
        <v>74</v>
      </c>
      <c r="BQ995" t="s">
        <v>74</v>
      </c>
      <c r="BR995" t="s">
        <v>106</v>
      </c>
      <c r="BS995" t="s">
        <v>19240</v>
      </c>
      <c r="BT995" t="str">
        <f>HYPERLINK("https%3A%2F%2Fwww.webofscience.com%2Fwos%2Fwoscc%2Ffull-record%2FWOS:000520939700001","View Full Record in Web of Science")</f>
        <v>View Full Record in Web of Science</v>
      </c>
    </row>
    <row r="996" spans="1:72" x14ac:dyDescent="0.15">
      <c r="A996" t="s">
        <v>72</v>
      </c>
      <c r="B996" t="s">
        <v>19241</v>
      </c>
      <c r="C996" t="s">
        <v>74</v>
      </c>
      <c r="D996" t="s">
        <v>74</v>
      </c>
      <c r="E996" t="s">
        <v>74</v>
      </c>
      <c r="F996" t="s">
        <v>19242</v>
      </c>
      <c r="G996" t="s">
        <v>74</v>
      </c>
      <c r="H996" t="s">
        <v>74</v>
      </c>
      <c r="I996" t="s">
        <v>19243</v>
      </c>
      <c r="J996" t="s">
        <v>19244</v>
      </c>
      <c r="K996" t="s">
        <v>74</v>
      </c>
      <c r="L996" t="s">
        <v>74</v>
      </c>
      <c r="M996" t="s">
        <v>78</v>
      </c>
      <c r="N996" t="s">
        <v>79</v>
      </c>
      <c r="O996" t="s">
        <v>74</v>
      </c>
      <c r="P996" t="s">
        <v>74</v>
      </c>
      <c r="Q996" t="s">
        <v>74</v>
      </c>
      <c r="R996" t="s">
        <v>74</v>
      </c>
      <c r="S996" t="s">
        <v>74</v>
      </c>
      <c r="T996" t="s">
        <v>19245</v>
      </c>
      <c r="U996" t="s">
        <v>19246</v>
      </c>
      <c r="V996" t="s">
        <v>19247</v>
      </c>
      <c r="W996" t="s">
        <v>19248</v>
      </c>
      <c r="X996" t="s">
        <v>19249</v>
      </c>
      <c r="Y996" t="s">
        <v>19250</v>
      </c>
      <c r="Z996" t="s">
        <v>19251</v>
      </c>
      <c r="AA996" t="s">
        <v>19252</v>
      </c>
      <c r="AB996" t="s">
        <v>19253</v>
      </c>
      <c r="AC996" t="s">
        <v>19254</v>
      </c>
      <c r="AD996" t="s">
        <v>19254</v>
      </c>
      <c r="AE996" t="s">
        <v>19255</v>
      </c>
      <c r="AF996" t="s">
        <v>74</v>
      </c>
      <c r="AG996">
        <v>46</v>
      </c>
      <c r="AH996">
        <v>1</v>
      </c>
      <c r="AI996">
        <v>1</v>
      </c>
      <c r="AJ996">
        <v>0</v>
      </c>
      <c r="AK996">
        <v>3</v>
      </c>
      <c r="AL996" t="s">
        <v>578</v>
      </c>
      <c r="AM996" t="s">
        <v>93</v>
      </c>
      <c r="AN996" t="s">
        <v>579</v>
      </c>
      <c r="AO996" t="s">
        <v>19256</v>
      </c>
      <c r="AP996" t="s">
        <v>19257</v>
      </c>
      <c r="AQ996" t="s">
        <v>74</v>
      </c>
      <c r="AR996" t="s">
        <v>19258</v>
      </c>
      <c r="AS996" t="s">
        <v>19259</v>
      </c>
      <c r="AT996" t="s">
        <v>5993</v>
      </c>
      <c r="AU996">
        <v>2020</v>
      </c>
      <c r="AV996">
        <v>124</v>
      </c>
      <c r="AW996">
        <v>4</v>
      </c>
      <c r="AX996" t="s">
        <v>74</v>
      </c>
      <c r="AY996" t="s">
        <v>74</v>
      </c>
      <c r="AZ996" t="s">
        <v>74</v>
      </c>
      <c r="BA996" t="s">
        <v>74</v>
      </c>
      <c r="BB996">
        <v>403</v>
      </c>
      <c r="BC996">
        <v>410</v>
      </c>
      <c r="BD996" t="s">
        <v>74</v>
      </c>
      <c r="BE996" t="s">
        <v>19260</v>
      </c>
      <c r="BF996" t="str">
        <f>HYPERLINK("http://dx.doi.org/10.1016/j.bja.2019.12.008","http://dx.doi.org/10.1016/j.bja.2019.12.008")</f>
        <v>http://dx.doi.org/10.1016/j.bja.2019.12.008</v>
      </c>
      <c r="BG996" t="s">
        <v>74</v>
      </c>
      <c r="BH996" t="s">
        <v>74</v>
      </c>
      <c r="BI996">
        <v>8</v>
      </c>
      <c r="BJ996" t="s">
        <v>19261</v>
      </c>
      <c r="BK996" t="s">
        <v>925</v>
      </c>
      <c r="BL996" t="s">
        <v>19261</v>
      </c>
      <c r="BM996" t="s">
        <v>19262</v>
      </c>
      <c r="BN996">
        <v>32014238</v>
      </c>
      <c r="BO996" t="s">
        <v>319</v>
      </c>
      <c r="BP996" t="s">
        <v>74</v>
      </c>
      <c r="BQ996" t="s">
        <v>74</v>
      </c>
      <c r="BR996" t="s">
        <v>106</v>
      </c>
      <c r="BS996" t="s">
        <v>19263</v>
      </c>
      <c r="BT996" t="str">
        <f>HYPERLINK("https%3A%2F%2Fwww.webofscience.com%2Fwos%2Fwoscc%2Ffull-record%2FWOS:000519986700015","View Full Record in Web of Science")</f>
        <v>View Full Record in Web of Science</v>
      </c>
    </row>
    <row r="997" spans="1:72" x14ac:dyDescent="0.15">
      <c r="A997" t="s">
        <v>72</v>
      </c>
      <c r="B997" t="s">
        <v>19264</v>
      </c>
      <c r="C997" t="s">
        <v>74</v>
      </c>
      <c r="D997" t="s">
        <v>74</v>
      </c>
      <c r="E997" t="s">
        <v>74</v>
      </c>
      <c r="F997" t="s">
        <v>19265</v>
      </c>
      <c r="G997" t="s">
        <v>74</v>
      </c>
      <c r="H997" t="s">
        <v>74</v>
      </c>
      <c r="I997" t="s">
        <v>19266</v>
      </c>
      <c r="J997" t="s">
        <v>19267</v>
      </c>
      <c r="K997" t="s">
        <v>74</v>
      </c>
      <c r="L997" t="s">
        <v>74</v>
      </c>
      <c r="M997" t="s">
        <v>78</v>
      </c>
      <c r="N997" t="s">
        <v>79</v>
      </c>
      <c r="O997" t="s">
        <v>74</v>
      </c>
      <c r="P997" t="s">
        <v>74</v>
      </c>
      <c r="Q997" t="s">
        <v>74</v>
      </c>
      <c r="R997" t="s">
        <v>74</v>
      </c>
      <c r="S997" t="s">
        <v>74</v>
      </c>
      <c r="T997" t="s">
        <v>19268</v>
      </c>
      <c r="U997" t="s">
        <v>19269</v>
      </c>
      <c r="V997" t="s">
        <v>19270</v>
      </c>
      <c r="W997" t="s">
        <v>19271</v>
      </c>
      <c r="X997" t="s">
        <v>19272</v>
      </c>
      <c r="Y997" t="s">
        <v>19273</v>
      </c>
      <c r="Z997" t="s">
        <v>19274</v>
      </c>
      <c r="AA997" t="s">
        <v>19275</v>
      </c>
      <c r="AB997" t="s">
        <v>19276</v>
      </c>
      <c r="AC997" t="s">
        <v>19277</v>
      </c>
      <c r="AD997" t="s">
        <v>19278</v>
      </c>
      <c r="AE997" t="s">
        <v>19279</v>
      </c>
      <c r="AF997" t="s">
        <v>74</v>
      </c>
      <c r="AG997">
        <v>37</v>
      </c>
      <c r="AH997">
        <v>1</v>
      </c>
      <c r="AI997">
        <v>1</v>
      </c>
      <c r="AJ997">
        <v>1</v>
      </c>
      <c r="AK997">
        <v>13</v>
      </c>
      <c r="AL997" t="s">
        <v>284</v>
      </c>
      <c r="AM997" t="s">
        <v>285</v>
      </c>
      <c r="AN997" t="s">
        <v>713</v>
      </c>
      <c r="AO997" t="s">
        <v>19280</v>
      </c>
      <c r="AP997" t="s">
        <v>19281</v>
      </c>
      <c r="AQ997" t="s">
        <v>74</v>
      </c>
      <c r="AR997" t="s">
        <v>19282</v>
      </c>
      <c r="AS997" t="s">
        <v>19283</v>
      </c>
      <c r="AT997" t="s">
        <v>5993</v>
      </c>
      <c r="AU997">
        <v>2020</v>
      </c>
      <c r="AV997">
        <v>104</v>
      </c>
      <c r="AW997" t="s">
        <v>74</v>
      </c>
      <c r="AX997" t="s">
        <v>74</v>
      </c>
      <c r="AY997" t="s">
        <v>74</v>
      </c>
      <c r="AZ997" t="s">
        <v>74</v>
      </c>
      <c r="BA997" t="s">
        <v>74</v>
      </c>
      <c r="BB997" t="s">
        <v>74</v>
      </c>
      <c r="BC997" t="s">
        <v>74</v>
      </c>
      <c r="BD997">
        <v>103532</v>
      </c>
      <c r="BE997" t="s">
        <v>19284</v>
      </c>
      <c r="BF997" t="str">
        <f>HYPERLINK("http://dx.doi.org/10.1016/j.actao.2020.103532","http://dx.doi.org/10.1016/j.actao.2020.103532")</f>
        <v>http://dx.doi.org/10.1016/j.actao.2020.103532</v>
      </c>
      <c r="BG997" t="s">
        <v>74</v>
      </c>
      <c r="BH997" t="s">
        <v>74</v>
      </c>
      <c r="BI997">
        <v>4</v>
      </c>
      <c r="BJ997" t="s">
        <v>1446</v>
      </c>
      <c r="BK997" t="s">
        <v>102</v>
      </c>
      <c r="BL997" t="s">
        <v>103</v>
      </c>
      <c r="BM997" t="s">
        <v>19285</v>
      </c>
      <c r="BN997" t="s">
        <v>74</v>
      </c>
      <c r="BO997" t="s">
        <v>74</v>
      </c>
      <c r="BP997" t="s">
        <v>74</v>
      </c>
      <c r="BQ997" t="s">
        <v>74</v>
      </c>
      <c r="BR997" t="s">
        <v>106</v>
      </c>
      <c r="BS997" t="s">
        <v>19286</v>
      </c>
      <c r="BT997" t="str">
        <f>HYPERLINK("https%3A%2F%2Fwww.webofscience.com%2Fwos%2Fwoscc%2Ffull-record%2FWOS:000523601200002","View Full Record in Web of Science")</f>
        <v>View Full Record in Web of Science</v>
      </c>
    </row>
    <row r="998" spans="1:72" x14ac:dyDescent="0.15">
      <c r="A998" t="s">
        <v>72</v>
      </c>
      <c r="B998" t="s">
        <v>19287</v>
      </c>
      <c r="C998" t="s">
        <v>74</v>
      </c>
      <c r="D998" t="s">
        <v>74</v>
      </c>
      <c r="E998" t="s">
        <v>74</v>
      </c>
      <c r="F998" t="s">
        <v>19288</v>
      </c>
      <c r="G998" t="s">
        <v>74</v>
      </c>
      <c r="H998" t="s">
        <v>74</v>
      </c>
      <c r="I998" t="s">
        <v>19289</v>
      </c>
      <c r="J998" t="s">
        <v>17356</v>
      </c>
      <c r="K998" t="s">
        <v>74</v>
      </c>
      <c r="L998" t="s">
        <v>74</v>
      </c>
      <c r="M998" t="s">
        <v>78</v>
      </c>
      <c r="N998" t="s">
        <v>79</v>
      </c>
      <c r="O998" t="s">
        <v>74</v>
      </c>
      <c r="P998" t="s">
        <v>74</v>
      </c>
      <c r="Q998" t="s">
        <v>74</v>
      </c>
      <c r="R998" t="s">
        <v>74</v>
      </c>
      <c r="S998" t="s">
        <v>74</v>
      </c>
      <c r="T998" t="s">
        <v>19290</v>
      </c>
      <c r="U998" t="s">
        <v>19291</v>
      </c>
      <c r="V998" t="s">
        <v>19292</v>
      </c>
      <c r="W998" t="s">
        <v>19293</v>
      </c>
      <c r="X998" t="s">
        <v>19294</v>
      </c>
      <c r="Y998" t="s">
        <v>19295</v>
      </c>
      <c r="Z998" t="s">
        <v>19296</v>
      </c>
      <c r="AA998" t="s">
        <v>19297</v>
      </c>
      <c r="AB998" t="s">
        <v>19298</v>
      </c>
      <c r="AC998" t="s">
        <v>19299</v>
      </c>
      <c r="AD998" t="s">
        <v>19300</v>
      </c>
      <c r="AE998" t="s">
        <v>19301</v>
      </c>
      <c r="AF998" t="s">
        <v>74</v>
      </c>
      <c r="AG998">
        <v>51</v>
      </c>
      <c r="AH998">
        <v>15</v>
      </c>
      <c r="AI998">
        <v>18</v>
      </c>
      <c r="AJ998">
        <v>0</v>
      </c>
      <c r="AK998">
        <v>1</v>
      </c>
      <c r="AL998" t="s">
        <v>4638</v>
      </c>
      <c r="AM998" t="s">
        <v>1744</v>
      </c>
      <c r="AN998" t="s">
        <v>4639</v>
      </c>
      <c r="AO998" t="s">
        <v>17367</v>
      </c>
      <c r="AP998" t="s">
        <v>17368</v>
      </c>
      <c r="AQ998" t="s">
        <v>74</v>
      </c>
      <c r="AR998" t="s">
        <v>17369</v>
      </c>
      <c r="AS998" t="s">
        <v>17370</v>
      </c>
      <c r="AT998" t="s">
        <v>5993</v>
      </c>
      <c r="AU998">
        <v>2020</v>
      </c>
      <c r="AV998">
        <v>61</v>
      </c>
      <c r="AW998">
        <v>81</v>
      </c>
      <c r="AX998" t="s">
        <v>74</v>
      </c>
      <c r="AY998" t="s">
        <v>74</v>
      </c>
      <c r="AZ998" t="s">
        <v>74</v>
      </c>
      <c r="BA998" t="s">
        <v>74</v>
      </c>
      <c r="BB998">
        <v>92</v>
      </c>
      <c r="BC998">
        <v>98</v>
      </c>
      <c r="BD998" t="s">
        <v>19302</v>
      </c>
      <c r="BE998" t="s">
        <v>19303</v>
      </c>
      <c r="BF998" t="str">
        <f>HYPERLINK("http://dx.doi.org/10.1017/aog.2020.19","http://dx.doi.org/10.1017/aog.2020.19")</f>
        <v>http://dx.doi.org/10.1017/aog.2020.19</v>
      </c>
      <c r="BG998" t="s">
        <v>74</v>
      </c>
      <c r="BH998" t="s">
        <v>74</v>
      </c>
      <c r="BI998">
        <v>7</v>
      </c>
      <c r="BJ998" t="s">
        <v>694</v>
      </c>
      <c r="BK998" t="s">
        <v>102</v>
      </c>
      <c r="BL998" t="s">
        <v>695</v>
      </c>
      <c r="BM998" t="s">
        <v>17373</v>
      </c>
      <c r="BN998" t="s">
        <v>74</v>
      </c>
      <c r="BO998" t="s">
        <v>6409</v>
      </c>
      <c r="BP998" t="s">
        <v>74</v>
      </c>
      <c r="BQ998" t="s">
        <v>74</v>
      </c>
      <c r="BR998" t="s">
        <v>106</v>
      </c>
      <c r="BS998" t="s">
        <v>19304</v>
      </c>
      <c r="BT998" t="str">
        <f>HYPERLINK("https%3A%2F%2Fwww.webofscience.com%2Fwos%2Fwoscc%2Ffull-record%2FWOS:000565350800010","View Full Record in Web of Science")</f>
        <v>View Full Record in Web of Science</v>
      </c>
    </row>
    <row r="999" spans="1:72" x14ac:dyDescent="0.15">
      <c r="A999" t="s">
        <v>72</v>
      </c>
      <c r="B999" t="s">
        <v>19305</v>
      </c>
      <c r="C999" t="s">
        <v>74</v>
      </c>
      <c r="D999" t="s">
        <v>74</v>
      </c>
      <c r="E999" t="s">
        <v>74</v>
      </c>
      <c r="F999" t="s">
        <v>19306</v>
      </c>
      <c r="G999" t="s">
        <v>74</v>
      </c>
      <c r="H999" t="s">
        <v>74</v>
      </c>
      <c r="I999" t="s">
        <v>19307</v>
      </c>
      <c r="J999" t="s">
        <v>8270</v>
      </c>
      <c r="K999" t="s">
        <v>74</v>
      </c>
      <c r="L999" t="s">
        <v>74</v>
      </c>
      <c r="M999" t="s">
        <v>78</v>
      </c>
      <c r="N999" t="s">
        <v>79</v>
      </c>
      <c r="O999" t="s">
        <v>74</v>
      </c>
      <c r="P999" t="s">
        <v>74</v>
      </c>
      <c r="Q999" t="s">
        <v>74</v>
      </c>
      <c r="R999" t="s">
        <v>74</v>
      </c>
      <c r="S999" t="s">
        <v>74</v>
      </c>
      <c r="T999" t="s">
        <v>19308</v>
      </c>
      <c r="U999" t="s">
        <v>19309</v>
      </c>
      <c r="V999" t="s">
        <v>19310</v>
      </c>
      <c r="W999" t="s">
        <v>19311</v>
      </c>
      <c r="X999" t="s">
        <v>19312</v>
      </c>
      <c r="Y999" t="s">
        <v>19313</v>
      </c>
      <c r="Z999" t="s">
        <v>19314</v>
      </c>
      <c r="AA999" t="s">
        <v>19315</v>
      </c>
      <c r="AB999" t="s">
        <v>19316</v>
      </c>
      <c r="AC999" t="s">
        <v>19317</v>
      </c>
      <c r="AD999" t="s">
        <v>10540</v>
      </c>
      <c r="AE999" t="s">
        <v>19318</v>
      </c>
      <c r="AF999" t="s">
        <v>74</v>
      </c>
      <c r="AG999">
        <v>87</v>
      </c>
      <c r="AH999">
        <v>8</v>
      </c>
      <c r="AI999">
        <v>9</v>
      </c>
      <c r="AJ999">
        <v>0</v>
      </c>
      <c r="AK999">
        <v>7</v>
      </c>
      <c r="AL999" t="s">
        <v>4638</v>
      </c>
      <c r="AM999" t="s">
        <v>399</v>
      </c>
      <c r="AN999" t="s">
        <v>4867</v>
      </c>
      <c r="AO999" t="s">
        <v>8274</v>
      </c>
      <c r="AP999" t="s">
        <v>8275</v>
      </c>
      <c r="AQ999" t="s">
        <v>74</v>
      </c>
      <c r="AR999" t="s">
        <v>8276</v>
      </c>
      <c r="AS999" t="s">
        <v>8277</v>
      </c>
      <c r="AT999" t="s">
        <v>5993</v>
      </c>
      <c r="AU999">
        <v>2020</v>
      </c>
      <c r="AV999">
        <v>32</v>
      </c>
      <c r="AW999">
        <v>2</v>
      </c>
      <c r="AX999" t="s">
        <v>74</v>
      </c>
      <c r="AY999" t="s">
        <v>74</v>
      </c>
      <c r="AZ999" t="s">
        <v>2622</v>
      </c>
      <c r="BA999" t="s">
        <v>74</v>
      </c>
      <c r="BB999">
        <v>85</v>
      </c>
      <c r="BC999">
        <v>106</v>
      </c>
      <c r="BD999" t="s">
        <v>19319</v>
      </c>
      <c r="BE999" t="s">
        <v>19320</v>
      </c>
      <c r="BF999" t="str">
        <f>HYPERLINK("http://dx.doi.org/10.1017/S0954102019000403","http://dx.doi.org/10.1017/S0954102019000403")</f>
        <v>http://dx.doi.org/10.1017/S0954102019000403</v>
      </c>
      <c r="BG999" t="s">
        <v>74</v>
      </c>
      <c r="BH999" t="s">
        <v>74</v>
      </c>
      <c r="BI999">
        <v>22</v>
      </c>
      <c r="BJ999" t="s">
        <v>8279</v>
      </c>
      <c r="BK999" t="s">
        <v>102</v>
      </c>
      <c r="BL999" t="s">
        <v>8280</v>
      </c>
      <c r="BM999" t="s">
        <v>17255</v>
      </c>
      <c r="BN999" t="s">
        <v>74</v>
      </c>
      <c r="BO999" t="s">
        <v>1657</v>
      </c>
      <c r="BP999" t="s">
        <v>74</v>
      </c>
      <c r="BQ999" t="s">
        <v>74</v>
      </c>
      <c r="BR999" t="s">
        <v>106</v>
      </c>
      <c r="BS999" t="s">
        <v>19321</v>
      </c>
      <c r="BT999" t="str">
        <f>HYPERLINK("https%3A%2F%2Fwww.webofscience.com%2Fwos%2Fwoscc%2Ffull-record%2FWOS:000516643200003","View Full Record in Web of Science")</f>
        <v>View Full Record in Web of Science</v>
      </c>
    </row>
    <row r="1000" spans="1:72" x14ac:dyDescent="0.15">
      <c r="A1000" t="s">
        <v>72</v>
      </c>
      <c r="B1000" t="s">
        <v>19322</v>
      </c>
      <c r="C1000" t="s">
        <v>74</v>
      </c>
      <c r="D1000" t="s">
        <v>74</v>
      </c>
      <c r="E1000" t="s">
        <v>74</v>
      </c>
      <c r="F1000" t="s">
        <v>19323</v>
      </c>
      <c r="G1000" t="s">
        <v>74</v>
      </c>
      <c r="H1000" t="s">
        <v>74</v>
      </c>
      <c r="I1000" t="s">
        <v>19324</v>
      </c>
      <c r="J1000" t="s">
        <v>8270</v>
      </c>
      <c r="K1000" t="s">
        <v>74</v>
      </c>
      <c r="L1000" t="s">
        <v>74</v>
      </c>
      <c r="M1000" t="s">
        <v>78</v>
      </c>
      <c r="N1000" t="s">
        <v>79</v>
      </c>
      <c r="O1000" t="s">
        <v>74</v>
      </c>
      <c r="P1000" t="s">
        <v>74</v>
      </c>
      <c r="Q1000" t="s">
        <v>74</v>
      </c>
      <c r="R1000" t="s">
        <v>74</v>
      </c>
      <c r="S1000" t="s">
        <v>74</v>
      </c>
      <c r="T1000" t="s">
        <v>19325</v>
      </c>
      <c r="U1000" t="s">
        <v>19326</v>
      </c>
      <c r="V1000" t="s">
        <v>19327</v>
      </c>
      <c r="W1000" t="s">
        <v>19328</v>
      </c>
      <c r="X1000" t="s">
        <v>19329</v>
      </c>
      <c r="Y1000" t="s">
        <v>19330</v>
      </c>
      <c r="Z1000" t="s">
        <v>19331</v>
      </c>
      <c r="AA1000" t="s">
        <v>19332</v>
      </c>
      <c r="AB1000" t="s">
        <v>19333</v>
      </c>
      <c r="AC1000" t="s">
        <v>19334</v>
      </c>
      <c r="AD1000" t="s">
        <v>74</v>
      </c>
      <c r="AE1000" t="s">
        <v>19335</v>
      </c>
      <c r="AF1000" t="s">
        <v>74</v>
      </c>
      <c r="AG1000">
        <v>34</v>
      </c>
      <c r="AH1000">
        <v>5</v>
      </c>
      <c r="AI1000">
        <v>5</v>
      </c>
      <c r="AJ1000">
        <v>0</v>
      </c>
      <c r="AK1000">
        <v>6</v>
      </c>
      <c r="AL1000" t="s">
        <v>4638</v>
      </c>
      <c r="AM1000" t="s">
        <v>399</v>
      </c>
      <c r="AN1000" t="s">
        <v>4867</v>
      </c>
      <c r="AO1000" t="s">
        <v>8274</v>
      </c>
      <c r="AP1000" t="s">
        <v>8275</v>
      </c>
      <c r="AQ1000" t="s">
        <v>74</v>
      </c>
      <c r="AR1000" t="s">
        <v>8276</v>
      </c>
      <c r="AS1000" t="s">
        <v>8277</v>
      </c>
      <c r="AT1000" t="s">
        <v>5993</v>
      </c>
      <c r="AU1000">
        <v>2020</v>
      </c>
      <c r="AV1000">
        <v>32</v>
      </c>
      <c r="AW1000">
        <v>2</v>
      </c>
      <c r="AX1000" t="s">
        <v>74</v>
      </c>
      <c r="AY1000" t="s">
        <v>74</v>
      </c>
      <c r="AZ1000" t="s">
        <v>2622</v>
      </c>
      <c r="BA1000" t="s">
        <v>74</v>
      </c>
      <c r="BB1000">
        <v>130</v>
      </c>
      <c r="BC1000">
        <v>137</v>
      </c>
      <c r="BD1000" t="s">
        <v>19336</v>
      </c>
      <c r="BE1000" t="s">
        <v>19337</v>
      </c>
      <c r="BF1000" t="str">
        <f>HYPERLINK("http://dx.doi.org/10.1017/S095410201900035X","http://dx.doi.org/10.1017/S095410201900035X")</f>
        <v>http://dx.doi.org/10.1017/S095410201900035X</v>
      </c>
      <c r="BG1000" t="s">
        <v>74</v>
      </c>
      <c r="BH1000" t="s">
        <v>74</v>
      </c>
      <c r="BI1000">
        <v>8</v>
      </c>
      <c r="BJ1000" t="s">
        <v>8279</v>
      </c>
      <c r="BK1000" t="s">
        <v>102</v>
      </c>
      <c r="BL1000" t="s">
        <v>8280</v>
      </c>
      <c r="BM1000" t="s">
        <v>17255</v>
      </c>
      <c r="BN1000" t="s">
        <v>74</v>
      </c>
      <c r="BO1000" t="s">
        <v>74</v>
      </c>
      <c r="BP1000" t="s">
        <v>74</v>
      </c>
      <c r="BQ1000" t="s">
        <v>74</v>
      </c>
      <c r="BR1000" t="s">
        <v>106</v>
      </c>
      <c r="BS1000" t="s">
        <v>19338</v>
      </c>
      <c r="BT1000" t="str">
        <f>HYPERLINK("https%3A%2F%2Fwww.webofscience.com%2Fwos%2Fwoscc%2Ffull-record%2FWOS:000516643200005","View Full Record in Web of Science")</f>
        <v>View Full Record in Web of Science</v>
      </c>
    </row>
    <row r="1001" spans="1:72" x14ac:dyDescent="0.15">
      <c r="A1001" t="s">
        <v>72</v>
      </c>
      <c r="B1001" t="s">
        <v>19339</v>
      </c>
      <c r="C1001" t="s">
        <v>74</v>
      </c>
      <c r="D1001" t="s">
        <v>74</v>
      </c>
      <c r="E1001" t="s">
        <v>74</v>
      </c>
      <c r="F1001" t="s">
        <v>19340</v>
      </c>
      <c r="G1001" t="s">
        <v>74</v>
      </c>
      <c r="H1001" t="s">
        <v>74</v>
      </c>
      <c r="I1001" t="s">
        <v>19341</v>
      </c>
      <c r="J1001" t="s">
        <v>19342</v>
      </c>
      <c r="K1001" t="s">
        <v>74</v>
      </c>
      <c r="L1001" t="s">
        <v>74</v>
      </c>
      <c r="M1001" t="s">
        <v>78</v>
      </c>
      <c r="N1001" t="s">
        <v>79</v>
      </c>
      <c r="O1001" t="s">
        <v>74</v>
      </c>
      <c r="P1001" t="s">
        <v>74</v>
      </c>
      <c r="Q1001" t="s">
        <v>74</v>
      </c>
      <c r="R1001" t="s">
        <v>74</v>
      </c>
      <c r="S1001" t="s">
        <v>74</v>
      </c>
      <c r="T1001" t="s">
        <v>19343</v>
      </c>
      <c r="U1001" t="s">
        <v>19344</v>
      </c>
      <c r="V1001" t="s">
        <v>19345</v>
      </c>
      <c r="W1001" t="s">
        <v>19346</v>
      </c>
      <c r="X1001" t="s">
        <v>19347</v>
      </c>
      <c r="Y1001" t="s">
        <v>19348</v>
      </c>
      <c r="Z1001" t="s">
        <v>19349</v>
      </c>
      <c r="AA1001" t="s">
        <v>19350</v>
      </c>
      <c r="AB1001" t="s">
        <v>19351</v>
      </c>
      <c r="AC1001" t="s">
        <v>19352</v>
      </c>
      <c r="AD1001" t="s">
        <v>19352</v>
      </c>
      <c r="AE1001" t="s">
        <v>19353</v>
      </c>
      <c r="AF1001" t="s">
        <v>74</v>
      </c>
      <c r="AG1001">
        <v>89</v>
      </c>
      <c r="AH1001">
        <v>21</v>
      </c>
      <c r="AI1001">
        <v>21</v>
      </c>
      <c r="AJ1001">
        <v>5</v>
      </c>
      <c r="AK1001">
        <v>11</v>
      </c>
      <c r="AL1001" t="s">
        <v>4283</v>
      </c>
      <c r="AM1001" t="s">
        <v>4284</v>
      </c>
      <c r="AN1001" t="s">
        <v>4285</v>
      </c>
      <c r="AO1001" t="s">
        <v>74</v>
      </c>
      <c r="AP1001" t="s">
        <v>19354</v>
      </c>
      <c r="AQ1001" t="s">
        <v>74</v>
      </c>
      <c r="AR1001" t="s">
        <v>19355</v>
      </c>
      <c r="AS1001" t="s">
        <v>19356</v>
      </c>
      <c r="AT1001" t="s">
        <v>5993</v>
      </c>
      <c r="AU1001">
        <v>2020</v>
      </c>
      <c r="AV1001">
        <v>9</v>
      </c>
      <c r="AW1001">
        <v>4</v>
      </c>
      <c r="AX1001" t="s">
        <v>74</v>
      </c>
      <c r="AY1001" t="s">
        <v>74</v>
      </c>
      <c r="AZ1001" t="s">
        <v>74</v>
      </c>
      <c r="BA1001" t="s">
        <v>74</v>
      </c>
      <c r="BB1001" t="s">
        <v>74</v>
      </c>
      <c r="BC1001" t="s">
        <v>74</v>
      </c>
      <c r="BD1001">
        <v>325</v>
      </c>
      <c r="BE1001" t="s">
        <v>19357</v>
      </c>
      <c r="BF1001" t="str">
        <f>HYPERLINK("http://dx.doi.org/10.3390/antiox9040325","http://dx.doi.org/10.3390/antiox9040325")</f>
        <v>http://dx.doi.org/10.3390/antiox9040325</v>
      </c>
      <c r="BG1001" t="s">
        <v>74</v>
      </c>
      <c r="BH1001" t="s">
        <v>74</v>
      </c>
      <c r="BI1001">
        <v>17</v>
      </c>
      <c r="BJ1001" t="s">
        <v>19358</v>
      </c>
      <c r="BK1001" t="s">
        <v>102</v>
      </c>
      <c r="BL1001" t="s">
        <v>19359</v>
      </c>
      <c r="BM1001" t="s">
        <v>19360</v>
      </c>
      <c r="BN1001">
        <v>32316382</v>
      </c>
      <c r="BO1001" t="s">
        <v>161</v>
      </c>
      <c r="BP1001" t="s">
        <v>74</v>
      </c>
      <c r="BQ1001" t="s">
        <v>74</v>
      </c>
      <c r="BR1001" t="s">
        <v>106</v>
      </c>
      <c r="BS1001" t="s">
        <v>19361</v>
      </c>
      <c r="BT1001" t="str">
        <f>HYPERLINK("https%3A%2F%2Fwww.webofscience.com%2Fwos%2Fwoscc%2Ffull-record%2FWOS:000536961200023","View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2024-07-28T15:23:42Z</dcterms:created>
  <dcterms:modified xsi:type="dcterms:W3CDTF">2024-07-28T15:23:42Z</dcterms:modified>
</cp:coreProperties>
</file>